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3080" yWindow="0" windowWidth="25600" windowHeight="16180" tabRatio="691" activeTab="1"/>
  </bookViews>
  <sheets>
    <sheet name="Spinel-- no zeroes" sheetId="24" r:id="rId1"/>
    <sheet name="Spinel endmembers" sheetId="20" r:id="rId2"/>
    <sheet name="Olivine" sheetId="14" r:id="rId3"/>
    <sheet name="Orthopyroxene" sheetId="15" r:id="rId4"/>
    <sheet name="T calculator" sheetId="21" r:id="rId5"/>
    <sheet name="fO2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58" i="20" l="1"/>
  <c r="AJ57" i="20"/>
  <c r="AJ56" i="20"/>
  <c r="U49" i="6"/>
  <c r="T47" i="24"/>
  <c r="Y47" i="24"/>
  <c r="T59" i="24"/>
  <c r="Y59" i="24"/>
  <c r="C59" i="6"/>
  <c r="AD59" i="24"/>
  <c r="AI59" i="24"/>
  <c r="AJ59" i="24"/>
  <c r="AH59" i="24"/>
  <c r="AB59" i="21"/>
  <c r="AK59" i="24"/>
  <c r="AM59" i="24"/>
  <c r="AA59" i="21"/>
  <c r="AC59" i="21"/>
  <c r="AE59" i="21"/>
  <c r="AG59" i="21"/>
  <c r="F59" i="6"/>
  <c r="O59" i="6"/>
  <c r="Q59" i="6"/>
  <c r="S59" i="6"/>
  <c r="U59" i="6"/>
  <c r="W59" i="6"/>
  <c r="AA59" i="6"/>
  <c r="AC59" i="6"/>
  <c r="AE59" i="6"/>
  <c r="A59" i="21"/>
  <c r="D59" i="21"/>
  <c r="E59" i="21"/>
  <c r="F59" i="21"/>
  <c r="G59" i="21"/>
  <c r="H59" i="21"/>
  <c r="I59" i="21"/>
  <c r="J59" i="21"/>
  <c r="K59" i="21"/>
  <c r="L59" i="21"/>
  <c r="M59" i="21"/>
  <c r="O59" i="21"/>
  <c r="P59" i="21"/>
  <c r="Q59" i="21"/>
  <c r="R59" i="21"/>
  <c r="S59" i="21"/>
  <c r="T59" i="21"/>
  <c r="U59" i="21"/>
  <c r="V59" i="21"/>
  <c r="W59" i="21"/>
  <c r="X59" i="21"/>
  <c r="Y59" i="21"/>
  <c r="C59" i="15"/>
  <c r="O59" i="15"/>
  <c r="Q59" i="15"/>
  <c r="S59" i="15"/>
  <c r="T59" i="15"/>
  <c r="U59" i="15"/>
  <c r="V59" i="15"/>
  <c r="W59" i="15"/>
  <c r="X59" i="15"/>
  <c r="Y59" i="15"/>
  <c r="Z59" i="15"/>
  <c r="AA59" i="15"/>
  <c r="AB59" i="15"/>
  <c r="AC59" i="15"/>
  <c r="AE59" i="15"/>
  <c r="AF59" i="15"/>
  <c r="AH59" i="15"/>
  <c r="AI59" i="15"/>
  <c r="AK59" i="15"/>
  <c r="AL59" i="15"/>
  <c r="AM59" i="15"/>
  <c r="AN59" i="15"/>
  <c r="AO59" i="15"/>
  <c r="AQ59" i="15"/>
  <c r="AS59" i="15"/>
  <c r="AU59" i="15"/>
  <c r="AV59" i="15"/>
  <c r="AW59" i="15"/>
  <c r="AX59" i="15"/>
  <c r="AY59" i="15"/>
  <c r="AZ59" i="15"/>
  <c r="BB59" i="15"/>
  <c r="BC59" i="15"/>
  <c r="BD59" i="15"/>
  <c r="BE59" i="15"/>
  <c r="BF59" i="15"/>
  <c r="BG59" i="15"/>
  <c r="BI59" i="15"/>
  <c r="BM59" i="15"/>
  <c r="C59" i="14"/>
  <c r="O59" i="14"/>
  <c r="Q59" i="14"/>
  <c r="R59" i="14"/>
  <c r="S59" i="14"/>
  <c r="T59" i="14"/>
  <c r="U59" i="14"/>
  <c r="V59" i="14"/>
  <c r="W59" i="14"/>
  <c r="X59" i="14"/>
  <c r="Y59" i="14"/>
  <c r="Z59" i="14"/>
  <c r="AA59" i="14"/>
  <c r="AC59" i="14"/>
  <c r="AG59" i="14"/>
  <c r="C59" i="20"/>
  <c r="AF59" i="24"/>
  <c r="E59" i="20"/>
  <c r="AG59" i="24"/>
  <c r="F59" i="20"/>
  <c r="G59" i="20"/>
  <c r="H59" i="20"/>
  <c r="I59" i="20"/>
  <c r="J59" i="20"/>
  <c r="AL59" i="24"/>
  <c r="K59" i="20"/>
  <c r="L59" i="20"/>
  <c r="AN59" i="24"/>
  <c r="M59" i="20"/>
  <c r="AO59" i="24"/>
  <c r="N59" i="20"/>
  <c r="AP59" i="24"/>
  <c r="O59" i="20"/>
  <c r="Q59" i="20"/>
  <c r="T59" i="20"/>
  <c r="U59" i="20"/>
  <c r="V59" i="20"/>
  <c r="W59" i="20"/>
  <c r="X59" i="20"/>
  <c r="Y59" i="20"/>
  <c r="AA59" i="20"/>
  <c r="AB59" i="20"/>
  <c r="AC59" i="20"/>
  <c r="AD59" i="20"/>
  <c r="AE59" i="20"/>
  <c r="AF59" i="20"/>
  <c r="P59" i="24"/>
  <c r="R59" i="24"/>
  <c r="S59" i="24"/>
  <c r="U59" i="24"/>
  <c r="V59" i="24"/>
  <c r="W59" i="24"/>
  <c r="X59" i="24"/>
  <c r="Z59" i="24"/>
  <c r="AA59" i="24"/>
  <c r="AB59" i="24"/>
  <c r="AC59" i="24"/>
  <c r="AQ59" i="24"/>
  <c r="AR59" i="24"/>
  <c r="AT59" i="24"/>
  <c r="AV59" i="24"/>
  <c r="AX59" i="24"/>
  <c r="BA59" i="24"/>
  <c r="BB59" i="24"/>
  <c r="BD59" i="24"/>
  <c r="BF59" i="24"/>
  <c r="C51" i="6"/>
  <c r="U51" i="24"/>
  <c r="R51" i="24"/>
  <c r="S51" i="24"/>
  <c r="T51" i="24"/>
  <c r="V51" i="24"/>
  <c r="W51" i="24"/>
  <c r="X51" i="24"/>
  <c r="Y51" i="24"/>
  <c r="Z51" i="24"/>
  <c r="AB51" i="24"/>
  <c r="AA51" i="24"/>
  <c r="AD51" i="24"/>
  <c r="AI51" i="24"/>
  <c r="AJ51" i="24"/>
  <c r="AH51" i="24"/>
  <c r="AB51" i="21"/>
  <c r="AK51" i="24"/>
  <c r="AM51" i="24"/>
  <c r="W51" i="14"/>
  <c r="U51" i="14"/>
  <c r="AA51" i="21"/>
  <c r="AC51" i="21"/>
  <c r="AE51" i="21"/>
  <c r="AG51" i="21"/>
  <c r="F51" i="6"/>
  <c r="AC51" i="14"/>
  <c r="O51" i="6"/>
  <c r="Q51" i="15"/>
  <c r="U51" i="15"/>
  <c r="S51" i="15"/>
  <c r="AS51" i="15"/>
  <c r="AU51" i="15"/>
  <c r="V51" i="15"/>
  <c r="AV51" i="15"/>
  <c r="T51" i="15"/>
  <c r="AW51" i="15"/>
  <c r="W51" i="15"/>
  <c r="Y51" i="15"/>
  <c r="AY51" i="15"/>
  <c r="Z51" i="15"/>
  <c r="BB51" i="15"/>
  <c r="AA51" i="15"/>
  <c r="BC51" i="15"/>
  <c r="X51" i="15"/>
  <c r="BD51" i="15"/>
  <c r="BF51" i="15"/>
  <c r="BI51" i="15"/>
  <c r="Q51" i="6"/>
  <c r="S51" i="6"/>
  <c r="U51" i="6"/>
  <c r="W51" i="6"/>
  <c r="AA51" i="6"/>
  <c r="AC51" i="6"/>
  <c r="AE51" i="6"/>
  <c r="C52" i="6"/>
  <c r="U52" i="24"/>
  <c r="R52" i="24"/>
  <c r="S52" i="24"/>
  <c r="T52" i="24"/>
  <c r="V52" i="24"/>
  <c r="W52" i="24"/>
  <c r="X52" i="24"/>
  <c r="Y52" i="24"/>
  <c r="Z52" i="24"/>
  <c r="AB52" i="24"/>
  <c r="AA52" i="24"/>
  <c r="AD52" i="24"/>
  <c r="AI52" i="24"/>
  <c r="AJ52" i="24"/>
  <c r="AH52" i="24"/>
  <c r="AB52" i="21"/>
  <c r="AK52" i="24"/>
  <c r="AM52" i="24"/>
  <c r="W52" i="14"/>
  <c r="U52" i="14"/>
  <c r="AA52" i="21"/>
  <c r="AC52" i="21"/>
  <c r="AE52" i="21"/>
  <c r="AG52" i="21"/>
  <c r="F52" i="6"/>
  <c r="AC52" i="14"/>
  <c r="O52" i="6"/>
  <c r="Q52" i="15"/>
  <c r="U52" i="15"/>
  <c r="S52" i="15"/>
  <c r="AS52" i="15"/>
  <c r="AU52" i="15"/>
  <c r="V52" i="15"/>
  <c r="AV52" i="15"/>
  <c r="T52" i="15"/>
  <c r="AW52" i="15"/>
  <c r="W52" i="15"/>
  <c r="Y52" i="15"/>
  <c r="AY52" i="15"/>
  <c r="Z52" i="15"/>
  <c r="BB52" i="15"/>
  <c r="AA52" i="15"/>
  <c r="BC52" i="15"/>
  <c r="X52" i="15"/>
  <c r="BD52" i="15"/>
  <c r="BF52" i="15"/>
  <c r="BI52" i="15"/>
  <c r="Q52" i="6"/>
  <c r="S52" i="6"/>
  <c r="U52" i="6"/>
  <c r="W52" i="6"/>
  <c r="AA52" i="6"/>
  <c r="AC52" i="6"/>
  <c r="AE52" i="6"/>
  <c r="C53" i="6"/>
  <c r="U53" i="24"/>
  <c r="R53" i="24"/>
  <c r="S53" i="24"/>
  <c r="T53" i="24"/>
  <c r="V53" i="24"/>
  <c r="W53" i="24"/>
  <c r="X53" i="24"/>
  <c r="Y53" i="24"/>
  <c r="Z53" i="24"/>
  <c r="AB53" i="24"/>
  <c r="AA53" i="24"/>
  <c r="AD53" i="24"/>
  <c r="AI53" i="24"/>
  <c r="AJ53" i="24"/>
  <c r="AH53" i="24"/>
  <c r="AB53" i="21"/>
  <c r="AK53" i="24"/>
  <c r="AM53" i="24"/>
  <c r="W53" i="14"/>
  <c r="U53" i="14"/>
  <c r="AA53" i="21"/>
  <c r="AC53" i="21"/>
  <c r="AE53" i="21"/>
  <c r="AG53" i="21"/>
  <c r="F53" i="6"/>
  <c r="AC53" i="14"/>
  <c r="O53" i="6"/>
  <c r="Q53" i="15"/>
  <c r="U53" i="15"/>
  <c r="S53" i="15"/>
  <c r="AS53" i="15"/>
  <c r="AU53" i="15"/>
  <c r="V53" i="15"/>
  <c r="AV53" i="15"/>
  <c r="T53" i="15"/>
  <c r="AW53" i="15"/>
  <c r="W53" i="15"/>
  <c r="Y53" i="15"/>
  <c r="AY53" i="15"/>
  <c r="Z53" i="15"/>
  <c r="BB53" i="15"/>
  <c r="AA53" i="15"/>
  <c r="BC53" i="15"/>
  <c r="X53" i="15"/>
  <c r="BD53" i="15"/>
  <c r="BF53" i="15"/>
  <c r="BI53" i="15"/>
  <c r="Q53" i="6"/>
  <c r="S53" i="6"/>
  <c r="U53" i="6"/>
  <c r="W53" i="6"/>
  <c r="AA53" i="6"/>
  <c r="AC53" i="6"/>
  <c r="AE53" i="6"/>
  <c r="C54" i="6"/>
  <c r="U54" i="24"/>
  <c r="R54" i="24"/>
  <c r="S54" i="24"/>
  <c r="T54" i="24"/>
  <c r="V54" i="24"/>
  <c r="W54" i="24"/>
  <c r="X54" i="24"/>
  <c r="Y54" i="24"/>
  <c r="Z54" i="24"/>
  <c r="AB54" i="24"/>
  <c r="AA54" i="24"/>
  <c r="AD54" i="24"/>
  <c r="AI54" i="24"/>
  <c r="AJ54" i="24"/>
  <c r="AH54" i="24"/>
  <c r="AB54" i="21"/>
  <c r="AK54" i="24"/>
  <c r="AM54" i="24"/>
  <c r="W54" i="14"/>
  <c r="U54" i="14"/>
  <c r="AA54" i="21"/>
  <c r="AC54" i="21"/>
  <c r="AE54" i="21"/>
  <c r="AG54" i="21"/>
  <c r="F54" i="6"/>
  <c r="AC54" i="14"/>
  <c r="O54" i="6"/>
  <c r="Q54" i="15"/>
  <c r="U54" i="15"/>
  <c r="S54" i="15"/>
  <c r="AS54" i="15"/>
  <c r="AU54" i="15"/>
  <c r="V54" i="15"/>
  <c r="AV54" i="15"/>
  <c r="T54" i="15"/>
  <c r="AW54" i="15"/>
  <c r="W54" i="15"/>
  <c r="Y54" i="15"/>
  <c r="AY54" i="15"/>
  <c r="Z54" i="15"/>
  <c r="BB54" i="15"/>
  <c r="AA54" i="15"/>
  <c r="BC54" i="15"/>
  <c r="X54" i="15"/>
  <c r="BD54" i="15"/>
  <c r="BF54" i="15"/>
  <c r="BI54" i="15"/>
  <c r="Q54" i="6"/>
  <c r="S54" i="6"/>
  <c r="U54" i="6"/>
  <c r="W54" i="6"/>
  <c r="AA54" i="6"/>
  <c r="AC54" i="6"/>
  <c r="AE54" i="6"/>
  <c r="C55" i="6"/>
  <c r="U55" i="24"/>
  <c r="R55" i="24"/>
  <c r="S55" i="24"/>
  <c r="T55" i="24"/>
  <c r="V55" i="24"/>
  <c r="W55" i="24"/>
  <c r="X55" i="24"/>
  <c r="Y55" i="24"/>
  <c r="Z55" i="24"/>
  <c r="AB55" i="24"/>
  <c r="AA55" i="24"/>
  <c r="AD55" i="24"/>
  <c r="AI55" i="24"/>
  <c r="AJ55" i="24"/>
  <c r="AH55" i="24"/>
  <c r="AB55" i="21"/>
  <c r="AK55" i="24"/>
  <c r="AM55" i="24"/>
  <c r="W55" i="14"/>
  <c r="U55" i="14"/>
  <c r="AA55" i="21"/>
  <c r="AC55" i="21"/>
  <c r="AE55" i="21"/>
  <c r="AG55" i="21"/>
  <c r="F55" i="6"/>
  <c r="AC55" i="14"/>
  <c r="O55" i="6"/>
  <c r="Q55" i="15"/>
  <c r="U55" i="15"/>
  <c r="S55" i="15"/>
  <c r="AS55" i="15"/>
  <c r="AU55" i="15"/>
  <c r="V55" i="15"/>
  <c r="AV55" i="15"/>
  <c r="T55" i="15"/>
  <c r="AW55" i="15"/>
  <c r="W55" i="15"/>
  <c r="Y55" i="15"/>
  <c r="AY55" i="15"/>
  <c r="Z55" i="15"/>
  <c r="BB55" i="15"/>
  <c r="AA55" i="15"/>
  <c r="BC55" i="15"/>
  <c r="X55" i="15"/>
  <c r="BD55" i="15"/>
  <c r="BF55" i="15"/>
  <c r="BI55" i="15"/>
  <c r="Q55" i="6"/>
  <c r="S55" i="6"/>
  <c r="U55" i="6"/>
  <c r="W55" i="6"/>
  <c r="AA55" i="6"/>
  <c r="AC55" i="6"/>
  <c r="AE55" i="6"/>
  <c r="C56" i="6"/>
  <c r="U56" i="24"/>
  <c r="R56" i="24"/>
  <c r="S56" i="24"/>
  <c r="T56" i="24"/>
  <c r="V56" i="24"/>
  <c r="W56" i="24"/>
  <c r="X56" i="24"/>
  <c r="Y56" i="24"/>
  <c r="Z56" i="24"/>
  <c r="AB56" i="24"/>
  <c r="AA56" i="24"/>
  <c r="AD56" i="24"/>
  <c r="AI56" i="24"/>
  <c r="AJ56" i="24"/>
  <c r="AH56" i="24"/>
  <c r="AB56" i="21"/>
  <c r="AK56" i="24"/>
  <c r="AM56" i="24"/>
  <c r="W56" i="14"/>
  <c r="U56" i="14"/>
  <c r="AA56" i="21"/>
  <c r="AC56" i="21"/>
  <c r="AE56" i="21"/>
  <c r="AG56" i="21"/>
  <c r="F56" i="6"/>
  <c r="AC56" i="14"/>
  <c r="O56" i="6"/>
  <c r="Q56" i="15"/>
  <c r="U56" i="15"/>
  <c r="S56" i="15"/>
  <c r="AS56" i="15"/>
  <c r="AU56" i="15"/>
  <c r="V56" i="15"/>
  <c r="AV56" i="15"/>
  <c r="T56" i="15"/>
  <c r="AW56" i="15"/>
  <c r="W56" i="15"/>
  <c r="Y56" i="15"/>
  <c r="AY56" i="15"/>
  <c r="Z56" i="15"/>
  <c r="BB56" i="15"/>
  <c r="AA56" i="15"/>
  <c r="BC56" i="15"/>
  <c r="X56" i="15"/>
  <c r="BD56" i="15"/>
  <c r="BF56" i="15"/>
  <c r="BI56" i="15"/>
  <c r="Q56" i="6"/>
  <c r="S56" i="6"/>
  <c r="U56" i="6"/>
  <c r="W56" i="6"/>
  <c r="AA56" i="6"/>
  <c r="AC56" i="6"/>
  <c r="AE56" i="6"/>
  <c r="C57" i="6"/>
  <c r="U57" i="24"/>
  <c r="R57" i="24"/>
  <c r="S57" i="24"/>
  <c r="T57" i="24"/>
  <c r="V57" i="24"/>
  <c r="W57" i="24"/>
  <c r="X57" i="24"/>
  <c r="Y57" i="24"/>
  <c r="Z57" i="24"/>
  <c r="AB57" i="24"/>
  <c r="AA57" i="24"/>
  <c r="AD57" i="24"/>
  <c r="AI57" i="24"/>
  <c r="AJ57" i="24"/>
  <c r="AH57" i="24"/>
  <c r="AB57" i="21"/>
  <c r="AK57" i="24"/>
  <c r="AM57" i="24"/>
  <c r="W57" i="14"/>
  <c r="U57" i="14"/>
  <c r="AA57" i="21"/>
  <c r="AC57" i="21"/>
  <c r="AE57" i="21"/>
  <c r="AG57" i="21"/>
  <c r="F57" i="6"/>
  <c r="AC57" i="14"/>
  <c r="O57" i="6"/>
  <c r="Q57" i="15"/>
  <c r="U57" i="15"/>
  <c r="S57" i="15"/>
  <c r="AS57" i="15"/>
  <c r="AU57" i="15"/>
  <c r="V57" i="15"/>
  <c r="AV57" i="15"/>
  <c r="T57" i="15"/>
  <c r="AW57" i="15"/>
  <c r="W57" i="15"/>
  <c r="Y57" i="15"/>
  <c r="AY57" i="15"/>
  <c r="Z57" i="15"/>
  <c r="BB57" i="15"/>
  <c r="AA57" i="15"/>
  <c r="BC57" i="15"/>
  <c r="X57" i="15"/>
  <c r="BD57" i="15"/>
  <c r="BF57" i="15"/>
  <c r="BI57" i="15"/>
  <c r="Q57" i="6"/>
  <c r="S57" i="6"/>
  <c r="U57" i="6"/>
  <c r="W57" i="6"/>
  <c r="AA57" i="6"/>
  <c r="AC57" i="6"/>
  <c r="AE57" i="6"/>
  <c r="C58" i="6"/>
  <c r="U58" i="24"/>
  <c r="R58" i="24"/>
  <c r="S58" i="24"/>
  <c r="T58" i="24"/>
  <c r="V58" i="24"/>
  <c r="W58" i="24"/>
  <c r="X58" i="24"/>
  <c r="Y58" i="24"/>
  <c r="Z58" i="24"/>
  <c r="AB58" i="24"/>
  <c r="AA58" i="24"/>
  <c r="AD58" i="24"/>
  <c r="AI58" i="24"/>
  <c r="AJ58" i="24"/>
  <c r="AH58" i="24"/>
  <c r="AB58" i="21"/>
  <c r="AK58" i="24"/>
  <c r="AM58" i="24"/>
  <c r="W58" i="14"/>
  <c r="U58" i="14"/>
  <c r="AA58" i="21"/>
  <c r="AC58" i="21"/>
  <c r="AE58" i="21"/>
  <c r="AG58" i="21"/>
  <c r="F58" i="6"/>
  <c r="AC58" i="14"/>
  <c r="O58" i="6"/>
  <c r="Q58" i="15"/>
  <c r="U58" i="15"/>
  <c r="S58" i="15"/>
  <c r="AS58" i="15"/>
  <c r="AU58" i="15"/>
  <c r="V58" i="15"/>
  <c r="AV58" i="15"/>
  <c r="T58" i="15"/>
  <c r="AW58" i="15"/>
  <c r="W58" i="15"/>
  <c r="Y58" i="15"/>
  <c r="AY58" i="15"/>
  <c r="Z58" i="15"/>
  <c r="BB58" i="15"/>
  <c r="AA58" i="15"/>
  <c r="BC58" i="15"/>
  <c r="X58" i="15"/>
  <c r="BD58" i="15"/>
  <c r="BF58" i="15"/>
  <c r="BI58" i="15"/>
  <c r="Q58" i="6"/>
  <c r="S58" i="6"/>
  <c r="U58" i="6"/>
  <c r="W58" i="6"/>
  <c r="AA58" i="6"/>
  <c r="AC58" i="6"/>
  <c r="AE58" i="6"/>
  <c r="A51" i="21"/>
  <c r="D51" i="21"/>
  <c r="E51" i="21"/>
  <c r="F51" i="21"/>
  <c r="G51" i="21"/>
  <c r="H51" i="21"/>
  <c r="I51" i="21"/>
  <c r="J51" i="21"/>
  <c r="K51" i="21"/>
  <c r="L51" i="21"/>
  <c r="M51" i="21"/>
  <c r="O51" i="21"/>
  <c r="P51" i="21"/>
  <c r="Q51" i="21"/>
  <c r="R51" i="21"/>
  <c r="S51" i="21"/>
  <c r="T51" i="21"/>
  <c r="U51" i="21"/>
  <c r="V51" i="21"/>
  <c r="W51" i="21"/>
  <c r="X51" i="21"/>
  <c r="Y51" i="21"/>
  <c r="A52" i="21"/>
  <c r="D52" i="21"/>
  <c r="E52" i="21"/>
  <c r="F52" i="21"/>
  <c r="G52" i="21"/>
  <c r="H52" i="21"/>
  <c r="I52" i="21"/>
  <c r="J52" i="21"/>
  <c r="K52" i="21"/>
  <c r="L52" i="21"/>
  <c r="M52" i="21"/>
  <c r="O52" i="21"/>
  <c r="P52" i="21"/>
  <c r="Q52" i="21"/>
  <c r="R52" i="21"/>
  <c r="S52" i="21"/>
  <c r="T52" i="21"/>
  <c r="U52" i="21"/>
  <c r="V52" i="21"/>
  <c r="W52" i="21"/>
  <c r="X52" i="21"/>
  <c r="Y52" i="21"/>
  <c r="A53" i="21"/>
  <c r="D53" i="21"/>
  <c r="E53" i="21"/>
  <c r="F53" i="21"/>
  <c r="G53" i="21"/>
  <c r="H53" i="21"/>
  <c r="I53" i="21"/>
  <c r="J53" i="21"/>
  <c r="K53" i="21"/>
  <c r="L53" i="21"/>
  <c r="M53" i="21"/>
  <c r="O53" i="21"/>
  <c r="P53" i="21"/>
  <c r="Q53" i="21"/>
  <c r="R53" i="21"/>
  <c r="S53" i="21"/>
  <c r="T53" i="21"/>
  <c r="U53" i="21"/>
  <c r="V53" i="21"/>
  <c r="W53" i="21"/>
  <c r="X53" i="21"/>
  <c r="Y53" i="21"/>
  <c r="A54" i="21"/>
  <c r="D54" i="21"/>
  <c r="E54" i="21"/>
  <c r="F54" i="21"/>
  <c r="G54" i="21"/>
  <c r="H54" i="21"/>
  <c r="I54" i="21"/>
  <c r="J54" i="21"/>
  <c r="K54" i="21"/>
  <c r="L54" i="21"/>
  <c r="M54" i="21"/>
  <c r="O54" i="21"/>
  <c r="P54" i="21"/>
  <c r="Q54" i="21"/>
  <c r="R54" i="21"/>
  <c r="S54" i="21"/>
  <c r="T54" i="21"/>
  <c r="U54" i="21"/>
  <c r="V54" i="21"/>
  <c r="W54" i="21"/>
  <c r="X54" i="21"/>
  <c r="Y54" i="21"/>
  <c r="A55" i="21"/>
  <c r="D55" i="21"/>
  <c r="E55" i="21"/>
  <c r="F55" i="21"/>
  <c r="G55" i="21"/>
  <c r="H55" i="21"/>
  <c r="I55" i="21"/>
  <c r="J55" i="21"/>
  <c r="K55" i="21"/>
  <c r="L55" i="21"/>
  <c r="M55" i="21"/>
  <c r="O55" i="21"/>
  <c r="P55" i="21"/>
  <c r="Q55" i="21"/>
  <c r="R55" i="21"/>
  <c r="S55" i="21"/>
  <c r="T55" i="21"/>
  <c r="U55" i="21"/>
  <c r="V55" i="21"/>
  <c r="W55" i="21"/>
  <c r="X55" i="21"/>
  <c r="Y55" i="21"/>
  <c r="A56" i="21"/>
  <c r="D56" i="21"/>
  <c r="E56" i="21"/>
  <c r="F56" i="21"/>
  <c r="G56" i="21"/>
  <c r="H56" i="21"/>
  <c r="I56" i="21"/>
  <c r="J56" i="21"/>
  <c r="K56" i="21"/>
  <c r="L56" i="21"/>
  <c r="M56" i="21"/>
  <c r="O56" i="21"/>
  <c r="P56" i="21"/>
  <c r="Q56" i="21"/>
  <c r="R56" i="21"/>
  <c r="S56" i="21"/>
  <c r="T56" i="21"/>
  <c r="U56" i="21"/>
  <c r="V56" i="21"/>
  <c r="W56" i="21"/>
  <c r="X56" i="21"/>
  <c r="Y56" i="21"/>
  <c r="A57" i="21"/>
  <c r="D57" i="21"/>
  <c r="E57" i="21"/>
  <c r="F57" i="21"/>
  <c r="G57" i="21"/>
  <c r="H57" i="21"/>
  <c r="I57" i="21"/>
  <c r="J57" i="21"/>
  <c r="K57" i="21"/>
  <c r="L57" i="21"/>
  <c r="M57" i="21"/>
  <c r="O57" i="21"/>
  <c r="P57" i="21"/>
  <c r="Q57" i="21"/>
  <c r="R57" i="21"/>
  <c r="S57" i="21"/>
  <c r="T57" i="21"/>
  <c r="U57" i="21"/>
  <c r="V57" i="21"/>
  <c r="W57" i="21"/>
  <c r="X57" i="21"/>
  <c r="Y57" i="21"/>
  <c r="A58" i="21"/>
  <c r="D58" i="21"/>
  <c r="E58" i="21"/>
  <c r="F58" i="21"/>
  <c r="G58" i="21"/>
  <c r="H58" i="21"/>
  <c r="I58" i="21"/>
  <c r="J58" i="21"/>
  <c r="K58" i="21"/>
  <c r="L58" i="21"/>
  <c r="M58" i="21"/>
  <c r="O58" i="21"/>
  <c r="P58" i="21"/>
  <c r="Q58" i="21"/>
  <c r="R58" i="21"/>
  <c r="S58" i="21"/>
  <c r="T58" i="21"/>
  <c r="U58" i="21"/>
  <c r="V58" i="21"/>
  <c r="W58" i="21"/>
  <c r="X58" i="21"/>
  <c r="Y58" i="21"/>
  <c r="C51" i="15"/>
  <c r="O51" i="15"/>
  <c r="AB51" i="15"/>
  <c r="AC51" i="15"/>
  <c r="AE51" i="15"/>
  <c r="AF51" i="15"/>
  <c r="AH51" i="15"/>
  <c r="AI51" i="15"/>
  <c r="AK51" i="15"/>
  <c r="AL51" i="15"/>
  <c r="AM51" i="15"/>
  <c r="AN51" i="15"/>
  <c r="AO51" i="15"/>
  <c r="AQ51" i="15"/>
  <c r="AX51" i="15"/>
  <c r="AZ51" i="15"/>
  <c r="BE51" i="15"/>
  <c r="BG51" i="15"/>
  <c r="BM51" i="15"/>
  <c r="C52" i="15"/>
  <c r="O52" i="15"/>
  <c r="AB52" i="15"/>
  <c r="AC52" i="15"/>
  <c r="AE52" i="15"/>
  <c r="AF52" i="15"/>
  <c r="AH52" i="15"/>
  <c r="AI52" i="15"/>
  <c r="AK52" i="15"/>
  <c r="AL52" i="15"/>
  <c r="AM52" i="15"/>
  <c r="AN52" i="15"/>
  <c r="AO52" i="15"/>
  <c r="AQ52" i="15"/>
  <c r="AX52" i="15"/>
  <c r="AZ52" i="15"/>
  <c r="BE52" i="15"/>
  <c r="BG52" i="15"/>
  <c r="BM52" i="15"/>
  <c r="C53" i="15"/>
  <c r="O53" i="15"/>
  <c r="AB53" i="15"/>
  <c r="AC53" i="15"/>
  <c r="AE53" i="15"/>
  <c r="AF53" i="15"/>
  <c r="AH53" i="15"/>
  <c r="AI53" i="15"/>
  <c r="AK53" i="15"/>
  <c r="AL53" i="15"/>
  <c r="AM53" i="15"/>
  <c r="AN53" i="15"/>
  <c r="AO53" i="15"/>
  <c r="AQ53" i="15"/>
  <c r="AX53" i="15"/>
  <c r="AZ53" i="15"/>
  <c r="BE53" i="15"/>
  <c r="BG53" i="15"/>
  <c r="BM53" i="15"/>
  <c r="C54" i="15"/>
  <c r="O54" i="15"/>
  <c r="AB54" i="15"/>
  <c r="AC54" i="15"/>
  <c r="AE54" i="15"/>
  <c r="AF54" i="15"/>
  <c r="AH54" i="15"/>
  <c r="AI54" i="15"/>
  <c r="AK54" i="15"/>
  <c r="AL54" i="15"/>
  <c r="AM54" i="15"/>
  <c r="AN54" i="15"/>
  <c r="AO54" i="15"/>
  <c r="AQ54" i="15"/>
  <c r="AX54" i="15"/>
  <c r="AZ54" i="15"/>
  <c r="BE54" i="15"/>
  <c r="BG54" i="15"/>
  <c r="BM54" i="15"/>
  <c r="C55" i="15"/>
  <c r="O55" i="15"/>
  <c r="AB55" i="15"/>
  <c r="AC55" i="15"/>
  <c r="AE55" i="15"/>
  <c r="AF55" i="15"/>
  <c r="AH55" i="15"/>
  <c r="AI55" i="15"/>
  <c r="AK55" i="15"/>
  <c r="AL55" i="15"/>
  <c r="AM55" i="15"/>
  <c r="AN55" i="15"/>
  <c r="AO55" i="15"/>
  <c r="AQ55" i="15"/>
  <c r="AX55" i="15"/>
  <c r="AZ55" i="15"/>
  <c r="BE55" i="15"/>
  <c r="BG55" i="15"/>
  <c r="BM55" i="15"/>
  <c r="C56" i="15"/>
  <c r="O56" i="15"/>
  <c r="AB56" i="15"/>
  <c r="AC56" i="15"/>
  <c r="AE56" i="15"/>
  <c r="AF56" i="15"/>
  <c r="AH56" i="15"/>
  <c r="AI56" i="15"/>
  <c r="AK56" i="15"/>
  <c r="AL56" i="15"/>
  <c r="AM56" i="15"/>
  <c r="AN56" i="15"/>
  <c r="AO56" i="15"/>
  <c r="AQ56" i="15"/>
  <c r="AX56" i="15"/>
  <c r="AZ56" i="15"/>
  <c r="BE56" i="15"/>
  <c r="BG56" i="15"/>
  <c r="BM56" i="15"/>
  <c r="C57" i="15"/>
  <c r="O57" i="15"/>
  <c r="AB57" i="15"/>
  <c r="AC57" i="15"/>
  <c r="AE57" i="15"/>
  <c r="AF57" i="15"/>
  <c r="AH57" i="15"/>
  <c r="AI57" i="15"/>
  <c r="AK57" i="15"/>
  <c r="AL57" i="15"/>
  <c r="AM57" i="15"/>
  <c r="AN57" i="15"/>
  <c r="AO57" i="15"/>
  <c r="AQ57" i="15"/>
  <c r="AX57" i="15"/>
  <c r="AZ57" i="15"/>
  <c r="BE57" i="15"/>
  <c r="BG57" i="15"/>
  <c r="BM57" i="15"/>
  <c r="C58" i="15"/>
  <c r="O58" i="15"/>
  <c r="AB58" i="15"/>
  <c r="AC58" i="15"/>
  <c r="AE58" i="15"/>
  <c r="AF58" i="15"/>
  <c r="AH58" i="15"/>
  <c r="AI58" i="15"/>
  <c r="AK58" i="15"/>
  <c r="AL58" i="15"/>
  <c r="AM58" i="15"/>
  <c r="AN58" i="15"/>
  <c r="AO58" i="15"/>
  <c r="AQ58" i="15"/>
  <c r="AX58" i="15"/>
  <c r="AZ58" i="15"/>
  <c r="BE58" i="15"/>
  <c r="BG58" i="15"/>
  <c r="BM58" i="15"/>
  <c r="C51" i="14"/>
  <c r="O51" i="14"/>
  <c r="Q51" i="14"/>
  <c r="R51" i="14"/>
  <c r="S51" i="14"/>
  <c r="T51" i="14"/>
  <c r="V51" i="14"/>
  <c r="X51" i="14"/>
  <c r="Y51" i="14"/>
  <c r="Z51" i="14"/>
  <c r="AA51" i="14"/>
  <c r="AG51" i="14"/>
  <c r="C52" i="14"/>
  <c r="O52" i="14"/>
  <c r="Q52" i="14"/>
  <c r="R52" i="14"/>
  <c r="S52" i="14"/>
  <c r="T52" i="14"/>
  <c r="V52" i="14"/>
  <c r="X52" i="14"/>
  <c r="Y52" i="14"/>
  <c r="Z52" i="14"/>
  <c r="AA52" i="14"/>
  <c r="AG52" i="14"/>
  <c r="C53" i="14"/>
  <c r="O53" i="14"/>
  <c r="Q53" i="14"/>
  <c r="R53" i="14"/>
  <c r="S53" i="14"/>
  <c r="T53" i="14"/>
  <c r="V53" i="14"/>
  <c r="X53" i="14"/>
  <c r="Y53" i="14"/>
  <c r="Z53" i="14"/>
  <c r="AA53" i="14"/>
  <c r="AG53" i="14"/>
  <c r="C54" i="14"/>
  <c r="O54" i="14"/>
  <c r="Q54" i="14"/>
  <c r="R54" i="14"/>
  <c r="S54" i="14"/>
  <c r="T54" i="14"/>
  <c r="V54" i="14"/>
  <c r="X54" i="14"/>
  <c r="Y54" i="14"/>
  <c r="Z54" i="14"/>
  <c r="AA54" i="14"/>
  <c r="AG54" i="14"/>
  <c r="C55" i="14"/>
  <c r="O55" i="14"/>
  <c r="Q55" i="14"/>
  <c r="R55" i="14"/>
  <c r="S55" i="14"/>
  <c r="T55" i="14"/>
  <c r="V55" i="14"/>
  <c r="X55" i="14"/>
  <c r="Y55" i="14"/>
  <c r="Z55" i="14"/>
  <c r="AA55" i="14"/>
  <c r="AG55" i="14"/>
  <c r="C56" i="14"/>
  <c r="O56" i="14"/>
  <c r="Q56" i="14"/>
  <c r="R56" i="14"/>
  <c r="S56" i="14"/>
  <c r="T56" i="14"/>
  <c r="V56" i="14"/>
  <c r="X56" i="14"/>
  <c r="Y56" i="14"/>
  <c r="Z56" i="14"/>
  <c r="AA56" i="14"/>
  <c r="AG56" i="14"/>
  <c r="C57" i="14"/>
  <c r="O57" i="14"/>
  <c r="Q57" i="14"/>
  <c r="R57" i="14"/>
  <c r="S57" i="14"/>
  <c r="T57" i="14"/>
  <c r="V57" i="14"/>
  <c r="X57" i="14"/>
  <c r="Y57" i="14"/>
  <c r="Z57" i="14"/>
  <c r="AA57" i="14"/>
  <c r="AG57" i="14"/>
  <c r="C58" i="14"/>
  <c r="O58" i="14"/>
  <c r="Q58" i="14"/>
  <c r="R58" i="14"/>
  <c r="S58" i="14"/>
  <c r="T58" i="14"/>
  <c r="V58" i="14"/>
  <c r="X58" i="14"/>
  <c r="Y58" i="14"/>
  <c r="Z58" i="14"/>
  <c r="AA58" i="14"/>
  <c r="AG58" i="14"/>
  <c r="C51" i="20"/>
  <c r="AF51" i="24"/>
  <c r="E51" i="20"/>
  <c r="AG51" i="24"/>
  <c r="F51" i="20"/>
  <c r="G51" i="20"/>
  <c r="H51" i="20"/>
  <c r="I51" i="20"/>
  <c r="J51" i="20"/>
  <c r="AL51" i="24"/>
  <c r="K51" i="20"/>
  <c r="L51" i="20"/>
  <c r="AN51" i="24"/>
  <c r="M51" i="20"/>
  <c r="AO51" i="24"/>
  <c r="N51" i="20"/>
  <c r="AP51" i="24"/>
  <c r="O51" i="20"/>
  <c r="Q51" i="20"/>
  <c r="T51" i="20"/>
  <c r="U51" i="20"/>
  <c r="V51" i="20"/>
  <c r="W51" i="20"/>
  <c r="X51" i="20"/>
  <c r="Y51" i="20"/>
  <c r="AA51" i="20"/>
  <c r="AB51" i="20"/>
  <c r="AC51" i="20"/>
  <c r="AD51" i="20"/>
  <c r="AE51" i="20"/>
  <c r="AF51" i="20"/>
  <c r="C52" i="20"/>
  <c r="AF52" i="24"/>
  <c r="E52" i="20"/>
  <c r="AG52" i="24"/>
  <c r="F52" i="20"/>
  <c r="G52" i="20"/>
  <c r="H52" i="20"/>
  <c r="I52" i="20"/>
  <c r="J52" i="20"/>
  <c r="AL52" i="24"/>
  <c r="K52" i="20"/>
  <c r="L52" i="20"/>
  <c r="AN52" i="24"/>
  <c r="M52" i="20"/>
  <c r="AO52" i="24"/>
  <c r="N52" i="20"/>
  <c r="AP52" i="24"/>
  <c r="O52" i="20"/>
  <c r="Q52" i="20"/>
  <c r="T52" i="20"/>
  <c r="U52" i="20"/>
  <c r="V52" i="20"/>
  <c r="W52" i="20"/>
  <c r="X52" i="20"/>
  <c r="Y52" i="20"/>
  <c r="AA52" i="20"/>
  <c r="AB52" i="20"/>
  <c r="AC52" i="20"/>
  <c r="AD52" i="20"/>
  <c r="AE52" i="20"/>
  <c r="AF52" i="20"/>
  <c r="C53" i="20"/>
  <c r="AF53" i="24"/>
  <c r="E53" i="20"/>
  <c r="AG53" i="24"/>
  <c r="F53" i="20"/>
  <c r="G53" i="20"/>
  <c r="H53" i="20"/>
  <c r="I53" i="20"/>
  <c r="J53" i="20"/>
  <c r="AL53" i="24"/>
  <c r="K53" i="20"/>
  <c r="L53" i="20"/>
  <c r="AN53" i="24"/>
  <c r="M53" i="20"/>
  <c r="AO53" i="24"/>
  <c r="N53" i="20"/>
  <c r="AP53" i="24"/>
  <c r="O53" i="20"/>
  <c r="Q53" i="20"/>
  <c r="T53" i="20"/>
  <c r="U53" i="20"/>
  <c r="V53" i="20"/>
  <c r="W53" i="20"/>
  <c r="X53" i="20"/>
  <c r="Y53" i="20"/>
  <c r="AA53" i="20"/>
  <c r="AB53" i="20"/>
  <c r="AC53" i="20"/>
  <c r="AD53" i="20"/>
  <c r="AE53" i="20"/>
  <c r="AF53" i="20"/>
  <c r="C54" i="20"/>
  <c r="AF54" i="24"/>
  <c r="E54" i="20"/>
  <c r="AG54" i="24"/>
  <c r="F54" i="20"/>
  <c r="G54" i="20"/>
  <c r="H54" i="20"/>
  <c r="I54" i="20"/>
  <c r="J54" i="20"/>
  <c r="AL54" i="24"/>
  <c r="K54" i="20"/>
  <c r="L54" i="20"/>
  <c r="AN54" i="24"/>
  <c r="M54" i="20"/>
  <c r="AO54" i="24"/>
  <c r="N54" i="20"/>
  <c r="AP54" i="24"/>
  <c r="O54" i="20"/>
  <c r="Q54" i="20"/>
  <c r="T54" i="20"/>
  <c r="U54" i="20"/>
  <c r="V54" i="20"/>
  <c r="W54" i="20"/>
  <c r="X54" i="20"/>
  <c r="Y54" i="20"/>
  <c r="AA54" i="20"/>
  <c r="AB54" i="20"/>
  <c r="AC54" i="20"/>
  <c r="AD54" i="20"/>
  <c r="AE54" i="20"/>
  <c r="AF54" i="20"/>
  <c r="C55" i="20"/>
  <c r="AF55" i="24"/>
  <c r="E55" i="20"/>
  <c r="AG55" i="24"/>
  <c r="F55" i="20"/>
  <c r="G55" i="20"/>
  <c r="H55" i="20"/>
  <c r="I55" i="20"/>
  <c r="J55" i="20"/>
  <c r="AL55" i="24"/>
  <c r="K55" i="20"/>
  <c r="L55" i="20"/>
  <c r="AN55" i="24"/>
  <c r="M55" i="20"/>
  <c r="AO55" i="24"/>
  <c r="N55" i="20"/>
  <c r="AP55" i="24"/>
  <c r="O55" i="20"/>
  <c r="Q55" i="20"/>
  <c r="T55" i="20"/>
  <c r="U55" i="20"/>
  <c r="V55" i="20"/>
  <c r="W55" i="20"/>
  <c r="X55" i="20"/>
  <c r="Y55" i="20"/>
  <c r="AA55" i="20"/>
  <c r="AB55" i="20"/>
  <c r="AC55" i="20"/>
  <c r="AD55" i="20"/>
  <c r="AE55" i="20"/>
  <c r="AF55" i="20"/>
  <c r="C56" i="20"/>
  <c r="AF56" i="24"/>
  <c r="E56" i="20"/>
  <c r="AG56" i="24"/>
  <c r="F56" i="20"/>
  <c r="G56" i="20"/>
  <c r="H56" i="20"/>
  <c r="I56" i="20"/>
  <c r="J56" i="20"/>
  <c r="AL56" i="24"/>
  <c r="K56" i="20"/>
  <c r="L56" i="20"/>
  <c r="AN56" i="24"/>
  <c r="M56" i="20"/>
  <c r="AO56" i="24"/>
  <c r="N56" i="20"/>
  <c r="AP56" i="24"/>
  <c r="O56" i="20"/>
  <c r="Q56" i="20"/>
  <c r="T56" i="20"/>
  <c r="U56" i="20"/>
  <c r="V56" i="20"/>
  <c r="W56" i="20"/>
  <c r="X56" i="20"/>
  <c r="Y56" i="20"/>
  <c r="AA56" i="20"/>
  <c r="AB56" i="20"/>
  <c r="AC56" i="20"/>
  <c r="AD56" i="20"/>
  <c r="AE56" i="20"/>
  <c r="AF56" i="20"/>
  <c r="C57" i="20"/>
  <c r="AF57" i="24"/>
  <c r="E57" i="20"/>
  <c r="AG57" i="24"/>
  <c r="F57" i="20"/>
  <c r="G57" i="20"/>
  <c r="H57" i="20"/>
  <c r="I57" i="20"/>
  <c r="J57" i="20"/>
  <c r="AL57" i="24"/>
  <c r="K57" i="20"/>
  <c r="L57" i="20"/>
  <c r="AN57" i="24"/>
  <c r="M57" i="20"/>
  <c r="AO57" i="24"/>
  <c r="N57" i="20"/>
  <c r="AP57" i="24"/>
  <c r="O57" i="20"/>
  <c r="Q57" i="20"/>
  <c r="T57" i="20"/>
  <c r="U57" i="20"/>
  <c r="V57" i="20"/>
  <c r="W57" i="20"/>
  <c r="X57" i="20"/>
  <c r="Y57" i="20"/>
  <c r="AA57" i="20"/>
  <c r="AB57" i="20"/>
  <c r="AC57" i="20"/>
  <c r="AD57" i="20"/>
  <c r="AE57" i="20"/>
  <c r="AF57" i="20"/>
  <c r="C58" i="20"/>
  <c r="AF58" i="24"/>
  <c r="E58" i="20"/>
  <c r="AG58" i="24"/>
  <c r="F58" i="20"/>
  <c r="G58" i="20"/>
  <c r="H58" i="20"/>
  <c r="I58" i="20"/>
  <c r="J58" i="20"/>
  <c r="AL58" i="24"/>
  <c r="K58" i="20"/>
  <c r="L58" i="20"/>
  <c r="AN58" i="24"/>
  <c r="M58" i="20"/>
  <c r="AO58" i="24"/>
  <c r="N58" i="20"/>
  <c r="AP58" i="24"/>
  <c r="O58" i="20"/>
  <c r="Q58" i="20"/>
  <c r="T58" i="20"/>
  <c r="U58" i="20"/>
  <c r="V58" i="20"/>
  <c r="W58" i="20"/>
  <c r="X58" i="20"/>
  <c r="Y58" i="20"/>
  <c r="AA58" i="20"/>
  <c r="AB58" i="20"/>
  <c r="AC58" i="20"/>
  <c r="AD58" i="20"/>
  <c r="AE58" i="20"/>
  <c r="AF58" i="20"/>
  <c r="P51" i="24"/>
  <c r="AC51" i="24"/>
  <c r="AQ51" i="24"/>
  <c r="AR51" i="24"/>
  <c r="AT51" i="24"/>
  <c r="AV51" i="24"/>
  <c r="AX51" i="24"/>
  <c r="BA51" i="24"/>
  <c r="BB51" i="24"/>
  <c r="BD51" i="24"/>
  <c r="BF51" i="24"/>
  <c r="P52" i="24"/>
  <c r="AC52" i="24"/>
  <c r="AQ52" i="24"/>
  <c r="AR52" i="24"/>
  <c r="AT52" i="24"/>
  <c r="AV52" i="24"/>
  <c r="AX52" i="24"/>
  <c r="BA52" i="24"/>
  <c r="BB52" i="24"/>
  <c r="BD52" i="24"/>
  <c r="BF52" i="24"/>
  <c r="P53" i="24"/>
  <c r="AC53" i="24"/>
  <c r="AQ53" i="24"/>
  <c r="AR53" i="24"/>
  <c r="AT53" i="24"/>
  <c r="AV53" i="24"/>
  <c r="AX53" i="24"/>
  <c r="BA53" i="24"/>
  <c r="BB53" i="24"/>
  <c r="BD53" i="24"/>
  <c r="BF53" i="24"/>
  <c r="P54" i="24"/>
  <c r="AC54" i="24"/>
  <c r="AQ54" i="24"/>
  <c r="AR54" i="24"/>
  <c r="AT54" i="24"/>
  <c r="AV54" i="24"/>
  <c r="AX54" i="24"/>
  <c r="BA54" i="24"/>
  <c r="BB54" i="24"/>
  <c r="BD54" i="24"/>
  <c r="BF54" i="24"/>
  <c r="P55" i="24"/>
  <c r="AC55" i="24"/>
  <c r="AQ55" i="24"/>
  <c r="AR55" i="24"/>
  <c r="AT55" i="24"/>
  <c r="AV55" i="24"/>
  <c r="AX55" i="24"/>
  <c r="BA55" i="24"/>
  <c r="BB55" i="24"/>
  <c r="BD55" i="24"/>
  <c r="BF55" i="24"/>
  <c r="P56" i="24"/>
  <c r="AC56" i="24"/>
  <c r="AQ56" i="24"/>
  <c r="AR56" i="24"/>
  <c r="AT56" i="24"/>
  <c r="AV56" i="24"/>
  <c r="AX56" i="24"/>
  <c r="BA56" i="24"/>
  <c r="BB56" i="24"/>
  <c r="BD56" i="24"/>
  <c r="BF56" i="24"/>
  <c r="P57" i="24"/>
  <c r="AC57" i="24"/>
  <c r="AQ57" i="24"/>
  <c r="AR57" i="24"/>
  <c r="AT57" i="24"/>
  <c r="AV57" i="24"/>
  <c r="AX57" i="24"/>
  <c r="BA57" i="24"/>
  <c r="BB57" i="24"/>
  <c r="BD57" i="24"/>
  <c r="BF57" i="24"/>
  <c r="P58" i="24"/>
  <c r="AC58" i="24"/>
  <c r="AQ58" i="24"/>
  <c r="AR58" i="24"/>
  <c r="AT58" i="24"/>
  <c r="AV58" i="24"/>
  <c r="AX58" i="24"/>
  <c r="BA58" i="24"/>
  <c r="BB58" i="24"/>
  <c r="BD58" i="24"/>
  <c r="BF58" i="24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AG44" i="20"/>
  <c r="AG43" i="20"/>
  <c r="AG42" i="20"/>
  <c r="AG41" i="20"/>
  <c r="AG40" i="20"/>
  <c r="AG39" i="20"/>
  <c r="AG38" i="20"/>
  <c r="AG37" i="20"/>
  <c r="AG36" i="20"/>
  <c r="AG35" i="20"/>
  <c r="AG34" i="20"/>
  <c r="AG33" i="20"/>
  <c r="AG32" i="20"/>
  <c r="T32" i="24"/>
  <c r="V32" i="24"/>
  <c r="V44" i="24"/>
  <c r="T33" i="24"/>
  <c r="T34" i="24"/>
  <c r="T35" i="24"/>
  <c r="T36" i="24"/>
  <c r="T37" i="24"/>
  <c r="T38" i="24"/>
  <c r="T39" i="24"/>
  <c r="T40" i="24"/>
  <c r="T41" i="24"/>
  <c r="T42" i="24"/>
  <c r="T43" i="24"/>
  <c r="V33" i="24"/>
  <c r="V34" i="24"/>
  <c r="V35" i="24"/>
  <c r="V36" i="24"/>
  <c r="V37" i="24"/>
  <c r="V38" i="24"/>
  <c r="V39" i="24"/>
  <c r="V40" i="24"/>
  <c r="V41" i="24"/>
  <c r="V42" i="24"/>
  <c r="V43" i="24"/>
  <c r="AF24" i="20"/>
  <c r="AM20" i="24"/>
  <c r="AM21" i="24"/>
  <c r="AM22" i="24"/>
  <c r="AM23" i="24"/>
  <c r="AM24" i="24"/>
  <c r="AM25" i="24"/>
  <c r="AM26" i="24"/>
  <c r="AM27" i="24"/>
  <c r="AM28" i="24"/>
  <c r="AM29" i="24"/>
  <c r="AM19" i="24"/>
  <c r="AK20" i="24"/>
  <c r="AK21" i="24"/>
  <c r="AK22" i="24"/>
  <c r="AK23" i="24"/>
  <c r="AK24" i="24"/>
  <c r="AK25" i="24"/>
  <c r="AK26" i="24"/>
  <c r="AK27" i="24"/>
  <c r="AK28" i="24"/>
  <c r="AK29" i="24"/>
  <c r="AK19" i="24"/>
  <c r="AK30" i="24"/>
  <c r="AD33" i="24"/>
  <c r="AK33" i="24"/>
  <c r="AD34" i="24"/>
  <c r="AK34" i="24"/>
  <c r="AD35" i="24"/>
  <c r="AK35" i="24"/>
  <c r="AD36" i="24"/>
  <c r="AK36" i="24"/>
  <c r="AD37" i="24"/>
  <c r="AK37" i="24"/>
  <c r="AD38" i="24"/>
  <c r="AK38" i="24"/>
  <c r="AD39" i="24"/>
  <c r="AK39" i="24"/>
  <c r="AD40" i="24"/>
  <c r="AK40" i="24"/>
  <c r="AD41" i="24"/>
  <c r="AK41" i="24"/>
  <c r="T44" i="24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AA19" i="21"/>
  <c r="AE19" i="21"/>
  <c r="AG19" i="21"/>
  <c r="AF19" i="20"/>
  <c r="AG19" i="20"/>
  <c r="AA20" i="21"/>
  <c r="AE20" i="21"/>
  <c r="AG20" i="21"/>
  <c r="AF20" i="20"/>
  <c r="AG20" i="20"/>
  <c r="AA21" i="21"/>
  <c r="AE21" i="21"/>
  <c r="AG21" i="21"/>
  <c r="AF21" i="20"/>
  <c r="AG21" i="20"/>
  <c r="AA22" i="21"/>
  <c r="AE22" i="21"/>
  <c r="AG22" i="21"/>
  <c r="AF22" i="20"/>
  <c r="AG22" i="20"/>
  <c r="AA23" i="21"/>
  <c r="AE23" i="21"/>
  <c r="AG23" i="21"/>
  <c r="AF23" i="20"/>
  <c r="AG23" i="20"/>
  <c r="AA24" i="21"/>
  <c r="AE24" i="21"/>
  <c r="AG24" i="21"/>
  <c r="AG24" i="20"/>
  <c r="AA25" i="21"/>
  <c r="AE25" i="21"/>
  <c r="AG25" i="21"/>
  <c r="AF25" i="20"/>
  <c r="AG25" i="20"/>
  <c r="AA26" i="21"/>
  <c r="AE26" i="21"/>
  <c r="AG26" i="21"/>
  <c r="AF26" i="20"/>
  <c r="AG26" i="20"/>
  <c r="AA27" i="21"/>
  <c r="AE27" i="21"/>
  <c r="AG27" i="21"/>
  <c r="AF27" i="20"/>
  <c r="AG27" i="20"/>
  <c r="AA28" i="21"/>
  <c r="AE28" i="21"/>
  <c r="AG28" i="21"/>
  <c r="AF28" i="20"/>
  <c r="AG28" i="20"/>
  <c r="AA29" i="21"/>
  <c r="AE29" i="21"/>
  <c r="AG29" i="21"/>
  <c r="AF29" i="20"/>
  <c r="AG29" i="20"/>
  <c r="AA30" i="21"/>
  <c r="AE30" i="21"/>
  <c r="AG30" i="21"/>
  <c r="AF30" i="20"/>
  <c r="AG30" i="20"/>
  <c r="AG18" i="20"/>
  <c r="AM18" i="24"/>
  <c r="AK18" i="24"/>
  <c r="AM30" i="24"/>
  <c r="L30" i="20"/>
  <c r="J30" i="20"/>
  <c r="AB30" i="21"/>
  <c r="J8" i="6"/>
  <c r="O8" i="6"/>
  <c r="Q8" i="6"/>
  <c r="U8" i="6"/>
  <c r="J7" i="6"/>
  <c r="S7" i="6"/>
  <c r="J5" i="6"/>
  <c r="J6" i="6"/>
  <c r="J9" i="6"/>
  <c r="J10" i="6"/>
  <c r="J11" i="6"/>
  <c r="J12" i="6"/>
  <c r="J13" i="6"/>
  <c r="J14" i="6"/>
  <c r="J15" i="6"/>
  <c r="J16" i="6"/>
  <c r="J4" i="6"/>
  <c r="C9" i="6"/>
  <c r="W9" i="14"/>
  <c r="U9" i="14"/>
  <c r="W9" i="24"/>
  <c r="R9" i="24"/>
  <c r="S9" i="24"/>
  <c r="T9" i="24"/>
  <c r="U9" i="24"/>
  <c r="V9" i="24"/>
  <c r="X9" i="24"/>
  <c r="Y9" i="24"/>
  <c r="Z9" i="24"/>
  <c r="AB9" i="24"/>
  <c r="AA9" i="24"/>
  <c r="AD9" i="24"/>
  <c r="AK9" i="24"/>
  <c r="AM9" i="24"/>
  <c r="AA9" i="21"/>
  <c r="AJ9" i="24"/>
  <c r="AI9" i="24"/>
  <c r="AH9" i="24"/>
  <c r="AC9" i="21"/>
  <c r="AE9" i="21"/>
  <c r="AB9" i="21"/>
  <c r="AG9" i="21"/>
  <c r="F9" i="6"/>
  <c r="AC9" i="14"/>
  <c r="O9" i="6"/>
  <c r="Q9" i="15"/>
  <c r="U9" i="15"/>
  <c r="S9" i="15"/>
  <c r="AS9" i="15"/>
  <c r="AU9" i="15"/>
  <c r="V9" i="15"/>
  <c r="AV9" i="15"/>
  <c r="T9" i="15"/>
  <c r="AW9" i="15"/>
  <c r="W9" i="15"/>
  <c r="Y9" i="15"/>
  <c r="AY9" i="15"/>
  <c r="Z9" i="15"/>
  <c r="BB9" i="15"/>
  <c r="AA9" i="15"/>
  <c r="BC9" i="15"/>
  <c r="X9" i="15"/>
  <c r="BD9" i="15"/>
  <c r="BF9" i="15"/>
  <c r="BI9" i="15"/>
  <c r="Q9" i="6"/>
  <c r="S9" i="6"/>
  <c r="U9" i="6"/>
  <c r="W9" i="6"/>
  <c r="AA9" i="6"/>
  <c r="AC9" i="6"/>
  <c r="AE9" i="6"/>
  <c r="C10" i="6"/>
  <c r="W10" i="14"/>
  <c r="U10" i="14"/>
  <c r="W10" i="24"/>
  <c r="R10" i="24"/>
  <c r="S10" i="24"/>
  <c r="T10" i="24"/>
  <c r="U10" i="24"/>
  <c r="V10" i="24"/>
  <c r="X10" i="24"/>
  <c r="Y10" i="24"/>
  <c r="Z10" i="24"/>
  <c r="AB10" i="24"/>
  <c r="AA10" i="24"/>
  <c r="AD10" i="24"/>
  <c r="AK10" i="24"/>
  <c r="AM10" i="24"/>
  <c r="AA10" i="21"/>
  <c r="AJ10" i="24"/>
  <c r="AI10" i="24"/>
  <c r="AH10" i="24"/>
  <c r="AC10" i="21"/>
  <c r="AE10" i="21"/>
  <c r="AB10" i="21"/>
  <c r="AG10" i="21"/>
  <c r="F10" i="6"/>
  <c r="AC10" i="14"/>
  <c r="O10" i="6"/>
  <c r="Q10" i="15"/>
  <c r="U10" i="15"/>
  <c r="S10" i="15"/>
  <c r="AS10" i="15"/>
  <c r="AU10" i="15"/>
  <c r="V10" i="15"/>
  <c r="AV10" i="15"/>
  <c r="T10" i="15"/>
  <c r="AW10" i="15"/>
  <c r="W10" i="15"/>
  <c r="Y10" i="15"/>
  <c r="AY10" i="15"/>
  <c r="Z10" i="15"/>
  <c r="BB10" i="15"/>
  <c r="AA10" i="15"/>
  <c r="BC10" i="15"/>
  <c r="X10" i="15"/>
  <c r="BD10" i="15"/>
  <c r="BF10" i="15"/>
  <c r="BI10" i="15"/>
  <c r="Q10" i="6"/>
  <c r="S10" i="6"/>
  <c r="U10" i="6"/>
  <c r="W10" i="6"/>
  <c r="AA10" i="6"/>
  <c r="AC10" i="6"/>
  <c r="AE10" i="6"/>
  <c r="C11" i="6"/>
  <c r="W11" i="14"/>
  <c r="U11" i="14"/>
  <c r="W11" i="24"/>
  <c r="R11" i="24"/>
  <c r="S11" i="24"/>
  <c r="T11" i="24"/>
  <c r="U11" i="24"/>
  <c r="V11" i="24"/>
  <c r="X11" i="24"/>
  <c r="Y11" i="24"/>
  <c r="Z11" i="24"/>
  <c r="AB11" i="24"/>
  <c r="AA11" i="24"/>
  <c r="AD11" i="24"/>
  <c r="AK11" i="24"/>
  <c r="AM11" i="24"/>
  <c r="AA11" i="21"/>
  <c r="AJ11" i="24"/>
  <c r="AI11" i="24"/>
  <c r="AH11" i="24"/>
  <c r="AC11" i="21"/>
  <c r="AE11" i="21"/>
  <c r="AB11" i="21"/>
  <c r="AG11" i="21"/>
  <c r="F11" i="6"/>
  <c r="AC11" i="14"/>
  <c r="O11" i="6"/>
  <c r="Q11" i="15"/>
  <c r="U11" i="15"/>
  <c r="S11" i="15"/>
  <c r="AS11" i="15"/>
  <c r="AU11" i="15"/>
  <c r="V11" i="15"/>
  <c r="AV11" i="15"/>
  <c r="T11" i="15"/>
  <c r="AW11" i="15"/>
  <c r="W11" i="15"/>
  <c r="Y11" i="15"/>
  <c r="AY11" i="15"/>
  <c r="Z11" i="15"/>
  <c r="BB11" i="15"/>
  <c r="AA11" i="15"/>
  <c r="BC11" i="15"/>
  <c r="X11" i="15"/>
  <c r="BD11" i="15"/>
  <c r="BF11" i="15"/>
  <c r="BI11" i="15"/>
  <c r="Q11" i="6"/>
  <c r="S11" i="6"/>
  <c r="U11" i="6"/>
  <c r="W11" i="6"/>
  <c r="AA11" i="6"/>
  <c r="AC11" i="6"/>
  <c r="AE11" i="6"/>
  <c r="C12" i="6"/>
  <c r="W12" i="14"/>
  <c r="U12" i="14"/>
  <c r="W12" i="24"/>
  <c r="R12" i="24"/>
  <c r="S12" i="24"/>
  <c r="T12" i="24"/>
  <c r="U12" i="24"/>
  <c r="V12" i="24"/>
  <c r="X12" i="24"/>
  <c r="Y12" i="24"/>
  <c r="Z12" i="24"/>
  <c r="AB12" i="24"/>
  <c r="AA12" i="24"/>
  <c r="AD12" i="24"/>
  <c r="AK12" i="24"/>
  <c r="AM12" i="24"/>
  <c r="AA12" i="21"/>
  <c r="AJ12" i="24"/>
  <c r="AI12" i="24"/>
  <c r="AH12" i="24"/>
  <c r="AC12" i="21"/>
  <c r="AE12" i="21"/>
  <c r="AB12" i="21"/>
  <c r="AG12" i="21"/>
  <c r="F12" i="6"/>
  <c r="AC12" i="14"/>
  <c r="O12" i="6"/>
  <c r="Q12" i="15"/>
  <c r="U12" i="15"/>
  <c r="S12" i="15"/>
  <c r="AS12" i="15"/>
  <c r="AU12" i="15"/>
  <c r="V12" i="15"/>
  <c r="AV12" i="15"/>
  <c r="T12" i="15"/>
  <c r="AW12" i="15"/>
  <c r="W12" i="15"/>
  <c r="Y12" i="15"/>
  <c r="AY12" i="15"/>
  <c r="Z12" i="15"/>
  <c r="BB12" i="15"/>
  <c r="AA12" i="15"/>
  <c r="BC12" i="15"/>
  <c r="X12" i="15"/>
  <c r="BD12" i="15"/>
  <c r="BF12" i="15"/>
  <c r="BI12" i="15"/>
  <c r="Q12" i="6"/>
  <c r="S12" i="6"/>
  <c r="U12" i="6"/>
  <c r="W12" i="6"/>
  <c r="AA12" i="6"/>
  <c r="AC12" i="6"/>
  <c r="AE12" i="6"/>
  <c r="C13" i="6"/>
  <c r="W13" i="14"/>
  <c r="U13" i="14"/>
  <c r="W13" i="24"/>
  <c r="R13" i="24"/>
  <c r="S13" i="24"/>
  <c r="T13" i="24"/>
  <c r="U13" i="24"/>
  <c r="V13" i="24"/>
  <c r="X13" i="24"/>
  <c r="Y13" i="24"/>
  <c r="Z13" i="24"/>
  <c r="AB13" i="24"/>
  <c r="AA13" i="24"/>
  <c r="AD13" i="24"/>
  <c r="AK13" i="24"/>
  <c r="AM13" i="24"/>
  <c r="AA13" i="21"/>
  <c r="AJ13" i="24"/>
  <c r="AI13" i="24"/>
  <c r="AH13" i="24"/>
  <c r="AC13" i="21"/>
  <c r="AE13" i="21"/>
  <c r="AB13" i="21"/>
  <c r="AG13" i="21"/>
  <c r="F13" i="6"/>
  <c r="AC13" i="14"/>
  <c r="O13" i="6"/>
  <c r="Q13" i="15"/>
  <c r="U13" i="15"/>
  <c r="S13" i="15"/>
  <c r="AS13" i="15"/>
  <c r="AU13" i="15"/>
  <c r="V13" i="15"/>
  <c r="AV13" i="15"/>
  <c r="T13" i="15"/>
  <c r="AW13" i="15"/>
  <c r="W13" i="15"/>
  <c r="Y13" i="15"/>
  <c r="AY13" i="15"/>
  <c r="Z13" i="15"/>
  <c r="BB13" i="15"/>
  <c r="AA13" i="15"/>
  <c r="BC13" i="15"/>
  <c r="X13" i="15"/>
  <c r="BD13" i="15"/>
  <c r="BF13" i="15"/>
  <c r="BI13" i="15"/>
  <c r="Q13" i="6"/>
  <c r="S13" i="6"/>
  <c r="U13" i="6"/>
  <c r="W13" i="6"/>
  <c r="AA13" i="6"/>
  <c r="AC13" i="6"/>
  <c r="AE13" i="6"/>
  <c r="C14" i="6"/>
  <c r="W14" i="14"/>
  <c r="U14" i="14"/>
  <c r="W14" i="24"/>
  <c r="R14" i="24"/>
  <c r="S14" i="24"/>
  <c r="T14" i="24"/>
  <c r="U14" i="24"/>
  <c r="V14" i="24"/>
  <c r="X14" i="24"/>
  <c r="Y14" i="24"/>
  <c r="Z14" i="24"/>
  <c r="AB14" i="24"/>
  <c r="AA14" i="24"/>
  <c r="AD14" i="24"/>
  <c r="AK14" i="24"/>
  <c r="AM14" i="24"/>
  <c r="AA14" i="21"/>
  <c r="AJ14" i="24"/>
  <c r="AI14" i="24"/>
  <c r="AH14" i="24"/>
  <c r="AC14" i="21"/>
  <c r="AE14" i="21"/>
  <c r="AB14" i="21"/>
  <c r="AG14" i="21"/>
  <c r="F14" i="6"/>
  <c r="AC14" i="14"/>
  <c r="O14" i="6"/>
  <c r="Q14" i="15"/>
  <c r="U14" i="15"/>
  <c r="S14" i="15"/>
  <c r="AS14" i="15"/>
  <c r="AU14" i="15"/>
  <c r="V14" i="15"/>
  <c r="AV14" i="15"/>
  <c r="T14" i="15"/>
  <c r="AW14" i="15"/>
  <c r="W14" i="15"/>
  <c r="Y14" i="15"/>
  <c r="AY14" i="15"/>
  <c r="Z14" i="15"/>
  <c r="BB14" i="15"/>
  <c r="AA14" i="15"/>
  <c r="BC14" i="15"/>
  <c r="X14" i="15"/>
  <c r="BD14" i="15"/>
  <c r="BF14" i="15"/>
  <c r="BI14" i="15"/>
  <c r="Q14" i="6"/>
  <c r="S14" i="6"/>
  <c r="U14" i="6"/>
  <c r="W14" i="6"/>
  <c r="AA14" i="6"/>
  <c r="AC14" i="6"/>
  <c r="AE14" i="6"/>
  <c r="C15" i="6"/>
  <c r="W15" i="14"/>
  <c r="U15" i="14"/>
  <c r="W15" i="24"/>
  <c r="R15" i="24"/>
  <c r="S15" i="24"/>
  <c r="T15" i="24"/>
  <c r="U15" i="24"/>
  <c r="V15" i="24"/>
  <c r="X15" i="24"/>
  <c r="Y15" i="24"/>
  <c r="Z15" i="24"/>
  <c r="AB15" i="24"/>
  <c r="AA15" i="24"/>
  <c r="AD15" i="24"/>
  <c r="AK15" i="24"/>
  <c r="AM15" i="24"/>
  <c r="AA15" i="21"/>
  <c r="AJ15" i="24"/>
  <c r="AI15" i="24"/>
  <c r="AH15" i="24"/>
  <c r="AC15" i="21"/>
  <c r="AE15" i="21"/>
  <c r="AB15" i="21"/>
  <c r="AG15" i="21"/>
  <c r="F15" i="6"/>
  <c r="AC15" i="14"/>
  <c r="O15" i="6"/>
  <c r="Q15" i="15"/>
  <c r="U15" i="15"/>
  <c r="S15" i="15"/>
  <c r="AS15" i="15"/>
  <c r="AU15" i="15"/>
  <c r="V15" i="15"/>
  <c r="AV15" i="15"/>
  <c r="T15" i="15"/>
  <c r="AW15" i="15"/>
  <c r="W15" i="15"/>
  <c r="Y15" i="15"/>
  <c r="AY15" i="15"/>
  <c r="Z15" i="15"/>
  <c r="BB15" i="15"/>
  <c r="AA15" i="15"/>
  <c r="BC15" i="15"/>
  <c r="X15" i="15"/>
  <c r="BD15" i="15"/>
  <c r="BF15" i="15"/>
  <c r="BI15" i="15"/>
  <c r="Q15" i="6"/>
  <c r="S15" i="6"/>
  <c r="U15" i="6"/>
  <c r="W15" i="6"/>
  <c r="AA15" i="6"/>
  <c r="AC15" i="6"/>
  <c r="AE15" i="6"/>
  <c r="C16" i="6"/>
  <c r="W16" i="14"/>
  <c r="U16" i="14"/>
  <c r="W16" i="24"/>
  <c r="R16" i="24"/>
  <c r="S16" i="24"/>
  <c r="T16" i="24"/>
  <c r="U16" i="24"/>
  <c r="V16" i="24"/>
  <c r="X16" i="24"/>
  <c r="Y16" i="24"/>
  <c r="Z16" i="24"/>
  <c r="AB16" i="24"/>
  <c r="AA16" i="24"/>
  <c r="AD16" i="24"/>
  <c r="AK16" i="24"/>
  <c r="AM16" i="24"/>
  <c r="AA16" i="21"/>
  <c r="AJ16" i="24"/>
  <c r="AI16" i="24"/>
  <c r="AH16" i="24"/>
  <c r="AC16" i="21"/>
  <c r="AE16" i="21"/>
  <c r="AB16" i="21"/>
  <c r="AG16" i="21"/>
  <c r="F16" i="6"/>
  <c r="AC16" i="14"/>
  <c r="O16" i="6"/>
  <c r="Q16" i="15"/>
  <c r="U16" i="15"/>
  <c r="S16" i="15"/>
  <c r="AS16" i="15"/>
  <c r="AU16" i="15"/>
  <c r="V16" i="15"/>
  <c r="AV16" i="15"/>
  <c r="T16" i="15"/>
  <c r="AW16" i="15"/>
  <c r="W16" i="15"/>
  <c r="Y16" i="15"/>
  <c r="AY16" i="15"/>
  <c r="Z16" i="15"/>
  <c r="BB16" i="15"/>
  <c r="AA16" i="15"/>
  <c r="BC16" i="15"/>
  <c r="X16" i="15"/>
  <c r="BD16" i="15"/>
  <c r="BF16" i="15"/>
  <c r="BI16" i="15"/>
  <c r="Q16" i="6"/>
  <c r="S16" i="6"/>
  <c r="U16" i="6"/>
  <c r="W16" i="6"/>
  <c r="AA16" i="6"/>
  <c r="AC16" i="6"/>
  <c r="AE16" i="6"/>
  <c r="U18" i="24"/>
  <c r="R18" i="24"/>
  <c r="S18" i="24"/>
  <c r="T18" i="24"/>
  <c r="V18" i="24"/>
  <c r="W18" i="24"/>
  <c r="X18" i="24"/>
  <c r="Y18" i="24"/>
  <c r="Z18" i="24"/>
  <c r="AB18" i="24"/>
  <c r="AA18" i="24"/>
  <c r="AD18" i="24"/>
  <c r="AI18" i="24"/>
  <c r="AJ18" i="24"/>
  <c r="AH18" i="24"/>
  <c r="AB18" i="21"/>
  <c r="W18" i="14"/>
  <c r="U18" i="14"/>
  <c r="AA18" i="21"/>
  <c r="AC18" i="21"/>
  <c r="AE18" i="21"/>
  <c r="AG18" i="21"/>
  <c r="F18" i="6"/>
  <c r="AC18" i="14"/>
  <c r="O18" i="6"/>
  <c r="Q18" i="15"/>
  <c r="U18" i="15"/>
  <c r="S18" i="15"/>
  <c r="AS18" i="15"/>
  <c r="AU18" i="15"/>
  <c r="V18" i="15"/>
  <c r="AV18" i="15"/>
  <c r="T18" i="15"/>
  <c r="AW18" i="15"/>
  <c r="W18" i="15"/>
  <c r="Y18" i="15"/>
  <c r="AY18" i="15"/>
  <c r="Z18" i="15"/>
  <c r="BB18" i="15"/>
  <c r="AA18" i="15"/>
  <c r="BC18" i="15"/>
  <c r="X18" i="15"/>
  <c r="BD18" i="15"/>
  <c r="BF18" i="15"/>
  <c r="BI18" i="15"/>
  <c r="Q18" i="6"/>
  <c r="S18" i="6"/>
  <c r="U18" i="6"/>
  <c r="W18" i="6"/>
  <c r="AA18" i="6"/>
  <c r="AC18" i="6"/>
  <c r="AE18" i="6"/>
  <c r="C19" i="6"/>
  <c r="U19" i="24"/>
  <c r="R19" i="24"/>
  <c r="S19" i="24"/>
  <c r="T19" i="24"/>
  <c r="V19" i="24"/>
  <c r="W19" i="24"/>
  <c r="X19" i="24"/>
  <c r="Y19" i="24"/>
  <c r="Z19" i="24"/>
  <c r="AB19" i="24"/>
  <c r="AA19" i="24"/>
  <c r="AD19" i="24"/>
  <c r="AI19" i="24"/>
  <c r="AJ19" i="24"/>
  <c r="AH19" i="24"/>
  <c r="AB19" i="21"/>
  <c r="W19" i="14"/>
  <c r="U19" i="14"/>
  <c r="AC19" i="21"/>
  <c r="F19" i="6"/>
  <c r="AC19" i="14"/>
  <c r="O19" i="6"/>
  <c r="Q19" i="15"/>
  <c r="U19" i="15"/>
  <c r="S19" i="15"/>
  <c r="AS19" i="15"/>
  <c r="AU19" i="15"/>
  <c r="V19" i="15"/>
  <c r="AV19" i="15"/>
  <c r="T19" i="15"/>
  <c r="AW19" i="15"/>
  <c r="W19" i="15"/>
  <c r="Y19" i="15"/>
  <c r="AY19" i="15"/>
  <c r="Z19" i="15"/>
  <c r="BB19" i="15"/>
  <c r="AA19" i="15"/>
  <c r="BC19" i="15"/>
  <c r="X19" i="15"/>
  <c r="BD19" i="15"/>
  <c r="BF19" i="15"/>
  <c r="BI19" i="15"/>
  <c r="Q19" i="6"/>
  <c r="S19" i="6"/>
  <c r="U19" i="6"/>
  <c r="W19" i="6"/>
  <c r="AA19" i="6"/>
  <c r="AC19" i="6"/>
  <c r="AE19" i="6"/>
  <c r="C20" i="6"/>
  <c r="U20" i="24"/>
  <c r="R20" i="24"/>
  <c r="S20" i="24"/>
  <c r="T20" i="24"/>
  <c r="V20" i="24"/>
  <c r="W20" i="24"/>
  <c r="X20" i="24"/>
  <c r="Y20" i="24"/>
  <c r="Z20" i="24"/>
  <c r="AB20" i="24"/>
  <c r="AA20" i="24"/>
  <c r="AD20" i="24"/>
  <c r="AI20" i="24"/>
  <c r="AJ20" i="24"/>
  <c r="AH20" i="24"/>
  <c r="AB20" i="21"/>
  <c r="W20" i="14"/>
  <c r="U20" i="14"/>
  <c r="AC20" i="21"/>
  <c r="F20" i="6"/>
  <c r="AC20" i="14"/>
  <c r="O20" i="6"/>
  <c r="Q20" i="15"/>
  <c r="U20" i="15"/>
  <c r="S20" i="15"/>
  <c r="AS20" i="15"/>
  <c r="AU20" i="15"/>
  <c r="V20" i="15"/>
  <c r="AV20" i="15"/>
  <c r="T20" i="15"/>
  <c r="AW20" i="15"/>
  <c r="W20" i="15"/>
  <c r="Y20" i="15"/>
  <c r="AY20" i="15"/>
  <c r="Z20" i="15"/>
  <c r="BB20" i="15"/>
  <c r="AA20" i="15"/>
  <c r="BC20" i="15"/>
  <c r="X20" i="15"/>
  <c r="BD20" i="15"/>
  <c r="BF20" i="15"/>
  <c r="BI20" i="15"/>
  <c r="Q20" i="6"/>
  <c r="S20" i="6"/>
  <c r="U20" i="6"/>
  <c r="W20" i="6"/>
  <c r="AA20" i="6"/>
  <c r="AC20" i="6"/>
  <c r="AE20" i="6"/>
  <c r="C21" i="6"/>
  <c r="U21" i="24"/>
  <c r="R21" i="24"/>
  <c r="S21" i="24"/>
  <c r="T21" i="24"/>
  <c r="V21" i="24"/>
  <c r="W21" i="24"/>
  <c r="X21" i="24"/>
  <c r="Y21" i="24"/>
  <c r="Z21" i="24"/>
  <c r="AB21" i="24"/>
  <c r="AA21" i="24"/>
  <c r="AD21" i="24"/>
  <c r="AI21" i="24"/>
  <c r="AJ21" i="24"/>
  <c r="AH21" i="24"/>
  <c r="AB21" i="21"/>
  <c r="W21" i="14"/>
  <c r="U21" i="14"/>
  <c r="AC21" i="21"/>
  <c r="F21" i="6"/>
  <c r="AC21" i="14"/>
  <c r="O21" i="6"/>
  <c r="Q21" i="15"/>
  <c r="U21" i="15"/>
  <c r="S21" i="15"/>
  <c r="AS21" i="15"/>
  <c r="AU21" i="15"/>
  <c r="V21" i="15"/>
  <c r="AV21" i="15"/>
  <c r="T21" i="15"/>
  <c r="AW21" i="15"/>
  <c r="W21" i="15"/>
  <c r="Y21" i="15"/>
  <c r="AY21" i="15"/>
  <c r="Z21" i="15"/>
  <c r="BB21" i="15"/>
  <c r="AA21" i="15"/>
  <c r="BC21" i="15"/>
  <c r="X21" i="15"/>
  <c r="BD21" i="15"/>
  <c r="BF21" i="15"/>
  <c r="BI21" i="15"/>
  <c r="Q21" i="6"/>
  <c r="S21" i="6"/>
  <c r="U21" i="6"/>
  <c r="W21" i="6"/>
  <c r="AA21" i="6"/>
  <c r="AC21" i="6"/>
  <c r="AE21" i="6"/>
  <c r="C22" i="6"/>
  <c r="U22" i="24"/>
  <c r="R22" i="24"/>
  <c r="S22" i="24"/>
  <c r="T22" i="24"/>
  <c r="V22" i="24"/>
  <c r="W22" i="24"/>
  <c r="X22" i="24"/>
  <c r="Y22" i="24"/>
  <c r="Z22" i="24"/>
  <c r="AB22" i="24"/>
  <c r="AA22" i="24"/>
  <c r="AD22" i="24"/>
  <c r="AI22" i="24"/>
  <c r="AJ22" i="24"/>
  <c r="AH22" i="24"/>
  <c r="AB22" i="21"/>
  <c r="W22" i="14"/>
  <c r="U22" i="14"/>
  <c r="AC22" i="21"/>
  <c r="F22" i="6"/>
  <c r="AC22" i="14"/>
  <c r="O22" i="6"/>
  <c r="Q22" i="15"/>
  <c r="U22" i="15"/>
  <c r="S22" i="15"/>
  <c r="AS22" i="15"/>
  <c r="AU22" i="15"/>
  <c r="V22" i="15"/>
  <c r="AV22" i="15"/>
  <c r="T22" i="15"/>
  <c r="AW22" i="15"/>
  <c r="W22" i="15"/>
  <c r="Y22" i="15"/>
  <c r="AY22" i="15"/>
  <c r="Z22" i="15"/>
  <c r="BB22" i="15"/>
  <c r="AA22" i="15"/>
  <c r="BC22" i="15"/>
  <c r="X22" i="15"/>
  <c r="BD22" i="15"/>
  <c r="BF22" i="15"/>
  <c r="BI22" i="15"/>
  <c r="Q22" i="6"/>
  <c r="S22" i="6"/>
  <c r="U22" i="6"/>
  <c r="W22" i="6"/>
  <c r="AA22" i="6"/>
  <c r="AC22" i="6"/>
  <c r="AE22" i="6"/>
  <c r="C23" i="6"/>
  <c r="U23" i="24"/>
  <c r="R23" i="24"/>
  <c r="S23" i="24"/>
  <c r="T23" i="24"/>
  <c r="V23" i="24"/>
  <c r="W23" i="24"/>
  <c r="X23" i="24"/>
  <c r="Y23" i="24"/>
  <c r="Z23" i="24"/>
  <c r="AB23" i="24"/>
  <c r="AA23" i="24"/>
  <c r="AD23" i="24"/>
  <c r="AI23" i="24"/>
  <c r="AJ23" i="24"/>
  <c r="AH23" i="24"/>
  <c r="AB23" i="21"/>
  <c r="W23" i="14"/>
  <c r="U23" i="14"/>
  <c r="AC23" i="21"/>
  <c r="F23" i="6"/>
  <c r="AC23" i="14"/>
  <c r="O23" i="6"/>
  <c r="Q23" i="15"/>
  <c r="U23" i="15"/>
  <c r="S23" i="15"/>
  <c r="AS23" i="15"/>
  <c r="AU23" i="15"/>
  <c r="V23" i="15"/>
  <c r="AV23" i="15"/>
  <c r="T23" i="15"/>
  <c r="AW23" i="15"/>
  <c r="W23" i="15"/>
  <c r="Y23" i="15"/>
  <c r="AY23" i="15"/>
  <c r="Z23" i="15"/>
  <c r="BB23" i="15"/>
  <c r="AA23" i="15"/>
  <c r="BC23" i="15"/>
  <c r="X23" i="15"/>
  <c r="BD23" i="15"/>
  <c r="BF23" i="15"/>
  <c r="BI23" i="15"/>
  <c r="Q23" i="6"/>
  <c r="S23" i="6"/>
  <c r="U23" i="6"/>
  <c r="W23" i="6"/>
  <c r="AA23" i="6"/>
  <c r="AC23" i="6"/>
  <c r="AE23" i="6"/>
  <c r="C24" i="6"/>
  <c r="U24" i="24"/>
  <c r="R24" i="24"/>
  <c r="S24" i="24"/>
  <c r="T24" i="24"/>
  <c r="V24" i="24"/>
  <c r="W24" i="24"/>
  <c r="X24" i="24"/>
  <c r="Y24" i="24"/>
  <c r="Z24" i="24"/>
  <c r="AB24" i="24"/>
  <c r="AA24" i="24"/>
  <c r="AD24" i="24"/>
  <c r="AI24" i="24"/>
  <c r="AJ24" i="24"/>
  <c r="AH24" i="24"/>
  <c r="AB24" i="21"/>
  <c r="W24" i="14"/>
  <c r="U24" i="14"/>
  <c r="AC24" i="21"/>
  <c r="F24" i="6"/>
  <c r="AC24" i="14"/>
  <c r="O24" i="6"/>
  <c r="Q24" i="15"/>
  <c r="U24" i="15"/>
  <c r="S24" i="15"/>
  <c r="AS24" i="15"/>
  <c r="AU24" i="15"/>
  <c r="V24" i="15"/>
  <c r="AV24" i="15"/>
  <c r="T24" i="15"/>
  <c r="AW24" i="15"/>
  <c r="W24" i="15"/>
  <c r="Y24" i="15"/>
  <c r="AY24" i="15"/>
  <c r="Z24" i="15"/>
  <c r="BB24" i="15"/>
  <c r="AA24" i="15"/>
  <c r="BC24" i="15"/>
  <c r="X24" i="15"/>
  <c r="BD24" i="15"/>
  <c r="BF24" i="15"/>
  <c r="BI24" i="15"/>
  <c r="Q24" i="6"/>
  <c r="S24" i="6"/>
  <c r="U24" i="6"/>
  <c r="W24" i="6"/>
  <c r="AA24" i="6"/>
  <c r="AC24" i="6"/>
  <c r="AE24" i="6"/>
  <c r="C25" i="6"/>
  <c r="U25" i="24"/>
  <c r="R25" i="24"/>
  <c r="S25" i="24"/>
  <c r="T25" i="24"/>
  <c r="V25" i="24"/>
  <c r="W25" i="24"/>
  <c r="X25" i="24"/>
  <c r="Y25" i="24"/>
  <c r="Z25" i="24"/>
  <c r="AB25" i="24"/>
  <c r="AA25" i="24"/>
  <c r="AD25" i="24"/>
  <c r="AI25" i="24"/>
  <c r="AJ25" i="24"/>
  <c r="AH25" i="24"/>
  <c r="AB25" i="21"/>
  <c r="W25" i="14"/>
  <c r="U25" i="14"/>
  <c r="AC25" i="21"/>
  <c r="F25" i="6"/>
  <c r="AC25" i="14"/>
  <c r="O25" i="6"/>
  <c r="Q25" i="15"/>
  <c r="U25" i="15"/>
  <c r="S25" i="15"/>
  <c r="AS25" i="15"/>
  <c r="AU25" i="15"/>
  <c r="V25" i="15"/>
  <c r="AV25" i="15"/>
  <c r="T25" i="15"/>
  <c r="AW25" i="15"/>
  <c r="W25" i="15"/>
  <c r="Y25" i="15"/>
  <c r="AY25" i="15"/>
  <c r="Z25" i="15"/>
  <c r="BB25" i="15"/>
  <c r="AA25" i="15"/>
  <c r="BC25" i="15"/>
  <c r="X25" i="15"/>
  <c r="BD25" i="15"/>
  <c r="BF25" i="15"/>
  <c r="BI25" i="15"/>
  <c r="Q25" i="6"/>
  <c r="S25" i="6"/>
  <c r="U25" i="6"/>
  <c r="W25" i="6"/>
  <c r="AA25" i="6"/>
  <c r="AC25" i="6"/>
  <c r="AE25" i="6"/>
  <c r="C26" i="6"/>
  <c r="U26" i="24"/>
  <c r="R26" i="24"/>
  <c r="S26" i="24"/>
  <c r="T26" i="24"/>
  <c r="V26" i="24"/>
  <c r="W26" i="24"/>
  <c r="X26" i="24"/>
  <c r="Y26" i="24"/>
  <c r="Z26" i="24"/>
  <c r="AB26" i="24"/>
  <c r="AA26" i="24"/>
  <c r="AD26" i="24"/>
  <c r="AI26" i="24"/>
  <c r="AJ26" i="24"/>
  <c r="AH26" i="24"/>
  <c r="AB26" i="21"/>
  <c r="W26" i="14"/>
  <c r="U26" i="14"/>
  <c r="AC26" i="21"/>
  <c r="F26" i="6"/>
  <c r="AC26" i="14"/>
  <c r="O26" i="6"/>
  <c r="Q26" i="15"/>
  <c r="U26" i="15"/>
  <c r="S26" i="15"/>
  <c r="AS26" i="15"/>
  <c r="AU26" i="15"/>
  <c r="V26" i="15"/>
  <c r="AV26" i="15"/>
  <c r="T26" i="15"/>
  <c r="AW26" i="15"/>
  <c r="W26" i="15"/>
  <c r="Y26" i="15"/>
  <c r="AY26" i="15"/>
  <c r="Z26" i="15"/>
  <c r="BB26" i="15"/>
  <c r="AA26" i="15"/>
  <c r="BC26" i="15"/>
  <c r="X26" i="15"/>
  <c r="BD26" i="15"/>
  <c r="BF26" i="15"/>
  <c r="BI26" i="15"/>
  <c r="Q26" i="6"/>
  <c r="S26" i="6"/>
  <c r="U26" i="6"/>
  <c r="W26" i="6"/>
  <c r="AA26" i="6"/>
  <c r="AC26" i="6"/>
  <c r="AE26" i="6"/>
  <c r="C27" i="6"/>
  <c r="U27" i="24"/>
  <c r="R27" i="24"/>
  <c r="S27" i="24"/>
  <c r="T27" i="24"/>
  <c r="V27" i="24"/>
  <c r="W27" i="24"/>
  <c r="X27" i="24"/>
  <c r="Y27" i="24"/>
  <c r="Z27" i="24"/>
  <c r="AB27" i="24"/>
  <c r="AA27" i="24"/>
  <c r="AD27" i="24"/>
  <c r="AI27" i="24"/>
  <c r="AJ27" i="24"/>
  <c r="AH27" i="24"/>
  <c r="AB27" i="21"/>
  <c r="W27" i="14"/>
  <c r="U27" i="14"/>
  <c r="AC27" i="21"/>
  <c r="F27" i="6"/>
  <c r="AC27" i="14"/>
  <c r="O27" i="6"/>
  <c r="Q27" i="15"/>
  <c r="U27" i="15"/>
  <c r="S27" i="15"/>
  <c r="AS27" i="15"/>
  <c r="AU27" i="15"/>
  <c r="V27" i="15"/>
  <c r="AV27" i="15"/>
  <c r="T27" i="15"/>
  <c r="AW27" i="15"/>
  <c r="W27" i="15"/>
  <c r="Y27" i="15"/>
  <c r="AY27" i="15"/>
  <c r="Z27" i="15"/>
  <c r="BB27" i="15"/>
  <c r="AA27" i="15"/>
  <c r="BC27" i="15"/>
  <c r="X27" i="15"/>
  <c r="BD27" i="15"/>
  <c r="BF27" i="15"/>
  <c r="BI27" i="15"/>
  <c r="Q27" i="6"/>
  <c r="S27" i="6"/>
  <c r="U27" i="6"/>
  <c r="W27" i="6"/>
  <c r="AA27" i="6"/>
  <c r="AC27" i="6"/>
  <c r="AE27" i="6"/>
  <c r="C28" i="6"/>
  <c r="U28" i="24"/>
  <c r="R28" i="24"/>
  <c r="S28" i="24"/>
  <c r="T28" i="24"/>
  <c r="V28" i="24"/>
  <c r="W28" i="24"/>
  <c r="X28" i="24"/>
  <c r="Y28" i="24"/>
  <c r="Z28" i="24"/>
  <c r="AB28" i="24"/>
  <c r="AA28" i="24"/>
  <c r="AD28" i="24"/>
  <c r="AI28" i="24"/>
  <c r="AJ28" i="24"/>
  <c r="AH28" i="24"/>
  <c r="AB28" i="21"/>
  <c r="W28" i="14"/>
  <c r="U28" i="14"/>
  <c r="AC28" i="21"/>
  <c r="F28" i="6"/>
  <c r="AC28" i="14"/>
  <c r="O28" i="6"/>
  <c r="Q28" i="15"/>
  <c r="U28" i="15"/>
  <c r="S28" i="15"/>
  <c r="AS28" i="15"/>
  <c r="AU28" i="15"/>
  <c r="V28" i="15"/>
  <c r="AV28" i="15"/>
  <c r="T28" i="15"/>
  <c r="AW28" i="15"/>
  <c r="W28" i="15"/>
  <c r="Y28" i="15"/>
  <c r="AY28" i="15"/>
  <c r="Z28" i="15"/>
  <c r="BB28" i="15"/>
  <c r="AA28" i="15"/>
  <c r="BC28" i="15"/>
  <c r="X28" i="15"/>
  <c r="BD28" i="15"/>
  <c r="BF28" i="15"/>
  <c r="BI28" i="15"/>
  <c r="Q28" i="6"/>
  <c r="S28" i="6"/>
  <c r="U28" i="6"/>
  <c r="W28" i="6"/>
  <c r="AA28" i="6"/>
  <c r="AC28" i="6"/>
  <c r="AE28" i="6"/>
  <c r="C29" i="6"/>
  <c r="U29" i="24"/>
  <c r="R29" i="24"/>
  <c r="S29" i="24"/>
  <c r="T29" i="24"/>
  <c r="V29" i="24"/>
  <c r="W29" i="24"/>
  <c r="X29" i="24"/>
  <c r="Y29" i="24"/>
  <c r="Z29" i="24"/>
  <c r="AB29" i="24"/>
  <c r="AA29" i="24"/>
  <c r="AD29" i="24"/>
  <c r="AI29" i="24"/>
  <c r="AJ29" i="24"/>
  <c r="AH29" i="24"/>
  <c r="AB29" i="21"/>
  <c r="W29" i="14"/>
  <c r="U29" i="14"/>
  <c r="AC29" i="21"/>
  <c r="F29" i="6"/>
  <c r="AC29" i="14"/>
  <c r="O29" i="6"/>
  <c r="Q29" i="15"/>
  <c r="U29" i="15"/>
  <c r="S29" i="15"/>
  <c r="AS29" i="15"/>
  <c r="AU29" i="15"/>
  <c r="V29" i="15"/>
  <c r="AV29" i="15"/>
  <c r="T29" i="15"/>
  <c r="AW29" i="15"/>
  <c r="W29" i="15"/>
  <c r="Y29" i="15"/>
  <c r="AY29" i="15"/>
  <c r="Z29" i="15"/>
  <c r="BB29" i="15"/>
  <c r="AA29" i="15"/>
  <c r="BC29" i="15"/>
  <c r="X29" i="15"/>
  <c r="BD29" i="15"/>
  <c r="BF29" i="15"/>
  <c r="BI29" i="15"/>
  <c r="Q29" i="6"/>
  <c r="S29" i="6"/>
  <c r="U29" i="6"/>
  <c r="W29" i="6"/>
  <c r="AA29" i="6"/>
  <c r="AC29" i="6"/>
  <c r="AE29" i="6"/>
  <c r="C30" i="6"/>
  <c r="U30" i="24"/>
  <c r="R30" i="24"/>
  <c r="S30" i="24"/>
  <c r="T30" i="24"/>
  <c r="V30" i="24"/>
  <c r="W30" i="24"/>
  <c r="X30" i="24"/>
  <c r="Y30" i="24"/>
  <c r="Z30" i="24"/>
  <c r="AB30" i="24"/>
  <c r="AA30" i="24"/>
  <c r="AD30" i="24"/>
  <c r="AI30" i="24"/>
  <c r="AJ30" i="24"/>
  <c r="AH30" i="24"/>
  <c r="W30" i="14"/>
  <c r="U30" i="14"/>
  <c r="AC30" i="21"/>
  <c r="F30" i="6"/>
  <c r="AC30" i="14"/>
  <c r="O30" i="6"/>
  <c r="Q30" i="15"/>
  <c r="U30" i="15"/>
  <c r="S30" i="15"/>
  <c r="AS30" i="15"/>
  <c r="AU30" i="15"/>
  <c r="V30" i="15"/>
  <c r="AV30" i="15"/>
  <c r="T30" i="15"/>
  <c r="AW30" i="15"/>
  <c r="W30" i="15"/>
  <c r="Y30" i="15"/>
  <c r="AY30" i="15"/>
  <c r="Z30" i="15"/>
  <c r="BB30" i="15"/>
  <c r="AA30" i="15"/>
  <c r="BC30" i="15"/>
  <c r="X30" i="15"/>
  <c r="BD30" i="15"/>
  <c r="BF30" i="15"/>
  <c r="BI30" i="15"/>
  <c r="Q30" i="6"/>
  <c r="S30" i="6"/>
  <c r="U30" i="6"/>
  <c r="W30" i="6"/>
  <c r="AA30" i="6"/>
  <c r="AC30" i="6"/>
  <c r="AE30" i="6"/>
  <c r="U32" i="24"/>
  <c r="R32" i="24"/>
  <c r="S32" i="24"/>
  <c r="W32" i="24"/>
  <c r="X32" i="24"/>
  <c r="Y32" i="24"/>
  <c r="Z32" i="24"/>
  <c r="AB32" i="24"/>
  <c r="AA32" i="24"/>
  <c r="AD32" i="24"/>
  <c r="AI32" i="24"/>
  <c r="AJ32" i="24"/>
  <c r="AH32" i="24"/>
  <c r="AB32" i="21"/>
  <c r="AK32" i="24"/>
  <c r="AM32" i="24"/>
  <c r="W32" i="14"/>
  <c r="U32" i="14"/>
  <c r="AA32" i="21"/>
  <c r="AC32" i="21"/>
  <c r="AE32" i="21"/>
  <c r="AG32" i="21"/>
  <c r="F32" i="6"/>
  <c r="AC32" i="14"/>
  <c r="O32" i="6"/>
  <c r="Q32" i="15"/>
  <c r="U32" i="15"/>
  <c r="S32" i="15"/>
  <c r="AS32" i="15"/>
  <c r="AU32" i="15"/>
  <c r="V32" i="15"/>
  <c r="AV32" i="15"/>
  <c r="T32" i="15"/>
  <c r="AW32" i="15"/>
  <c r="W32" i="15"/>
  <c r="Y32" i="15"/>
  <c r="AY32" i="15"/>
  <c r="Z32" i="15"/>
  <c r="BB32" i="15"/>
  <c r="AA32" i="15"/>
  <c r="BC32" i="15"/>
  <c r="X32" i="15"/>
  <c r="BD32" i="15"/>
  <c r="BF32" i="15"/>
  <c r="BI32" i="15"/>
  <c r="Q32" i="6"/>
  <c r="S32" i="6"/>
  <c r="U32" i="6"/>
  <c r="W32" i="6"/>
  <c r="AA32" i="6"/>
  <c r="AC32" i="6"/>
  <c r="AE32" i="6"/>
  <c r="C33" i="6"/>
  <c r="U33" i="24"/>
  <c r="R33" i="24"/>
  <c r="S33" i="24"/>
  <c r="W33" i="24"/>
  <c r="X33" i="24"/>
  <c r="Y33" i="24"/>
  <c r="Z33" i="24"/>
  <c r="AB33" i="24"/>
  <c r="AA33" i="24"/>
  <c r="AI33" i="24"/>
  <c r="AJ33" i="24"/>
  <c r="AH33" i="24"/>
  <c r="AB33" i="21"/>
  <c r="AM33" i="24"/>
  <c r="W33" i="14"/>
  <c r="U33" i="14"/>
  <c r="AA33" i="21"/>
  <c r="AC33" i="21"/>
  <c r="AE33" i="21"/>
  <c r="AG33" i="21"/>
  <c r="F33" i="6"/>
  <c r="AC33" i="14"/>
  <c r="O33" i="6"/>
  <c r="Q33" i="15"/>
  <c r="U33" i="15"/>
  <c r="S33" i="15"/>
  <c r="AS33" i="15"/>
  <c r="AU33" i="15"/>
  <c r="V33" i="15"/>
  <c r="AV33" i="15"/>
  <c r="T33" i="15"/>
  <c r="AW33" i="15"/>
  <c r="W33" i="15"/>
  <c r="Y33" i="15"/>
  <c r="AY33" i="15"/>
  <c r="Z33" i="15"/>
  <c r="BB33" i="15"/>
  <c r="AA33" i="15"/>
  <c r="BC33" i="15"/>
  <c r="X33" i="15"/>
  <c r="BD33" i="15"/>
  <c r="BF33" i="15"/>
  <c r="BI33" i="15"/>
  <c r="Q33" i="6"/>
  <c r="S33" i="6"/>
  <c r="U33" i="6"/>
  <c r="W33" i="6"/>
  <c r="AA33" i="6"/>
  <c r="AC33" i="6"/>
  <c r="AE33" i="6"/>
  <c r="C34" i="6"/>
  <c r="U34" i="24"/>
  <c r="R34" i="24"/>
  <c r="S34" i="24"/>
  <c r="W34" i="24"/>
  <c r="X34" i="24"/>
  <c r="Y34" i="24"/>
  <c r="Z34" i="24"/>
  <c r="AB34" i="24"/>
  <c r="AA34" i="24"/>
  <c r="AI34" i="24"/>
  <c r="AJ34" i="24"/>
  <c r="AH34" i="24"/>
  <c r="AB34" i="21"/>
  <c r="AM34" i="24"/>
  <c r="W34" i="14"/>
  <c r="U34" i="14"/>
  <c r="AA34" i="21"/>
  <c r="AC34" i="21"/>
  <c r="AE34" i="21"/>
  <c r="AG34" i="21"/>
  <c r="F34" i="6"/>
  <c r="AC34" i="14"/>
  <c r="O34" i="6"/>
  <c r="Q34" i="15"/>
  <c r="U34" i="15"/>
  <c r="S34" i="15"/>
  <c r="AS34" i="15"/>
  <c r="AU34" i="15"/>
  <c r="V34" i="15"/>
  <c r="AV34" i="15"/>
  <c r="T34" i="15"/>
  <c r="AW34" i="15"/>
  <c r="W34" i="15"/>
  <c r="Y34" i="15"/>
  <c r="AY34" i="15"/>
  <c r="Z34" i="15"/>
  <c r="BB34" i="15"/>
  <c r="AA34" i="15"/>
  <c r="BC34" i="15"/>
  <c r="X34" i="15"/>
  <c r="BD34" i="15"/>
  <c r="BF34" i="15"/>
  <c r="BI34" i="15"/>
  <c r="Q34" i="6"/>
  <c r="S34" i="6"/>
  <c r="U34" i="6"/>
  <c r="W34" i="6"/>
  <c r="AA34" i="6"/>
  <c r="AC34" i="6"/>
  <c r="AE34" i="6"/>
  <c r="C35" i="6"/>
  <c r="U35" i="24"/>
  <c r="R35" i="24"/>
  <c r="S35" i="24"/>
  <c r="W35" i="24"/>
  <c r="X35" i="24"/>
  <c r="Y35" i="24"/>
  <c r="Z35" i="24"/>
  <c r="AB35" i="24"/>
  <c r="AA35" i="24"/>
  <c r="AI35" i="24"/>
  <c r="AJ35" i="24"/>
  <c r="AH35" i="24"/>
  <c r="AB35" i="21"/>
  <c r="AM35" i="24"/>
  <c r="W35" i="14"/>
  <c r="U35" i="14"/>
  <c r="AA35" i="21"/>
  <c r="AC35" i="21"/>
  <c r="AE35" i="21"/>
  <c r="AG35" i="21"/>
  <c r="F35" i="6"/>
  <c r="AC35" i="14"/>
  <c r="O35" i="6"/>
  <c r="Q35" i="15"/>
  <c r="U35" i="15"/>
  <c r="S35" i="15"/>
  <c r="AS35" i="15"/>
  <c r="AU35" i="15"/>
  <c r="V35" i="15"/>
  <c r="AV35" i="15"/>
  <c r="T35" i="15"/>
  <c r="AW35" i="15"/>
  <c r="W35" i="15"/>
  <c r="Y35" i="15"/>
  <c r="AY35" i="15"/>
  <c r="Z35" i="15"/>
  <c r="BB35" i="15"/>
  <c r="AA35" i="15"/>
  <c r="BC35" i="15"/>
  <c r="X35" i="15"/>
  <c r="BD35" i="15"/>
  <c r="BF35" i="15"/>
  <c r="BI35" i="15"/>
  <c r="Q35" i="6"/>
  <c r="S35" i="6"/>
  <c r="U35" i="6"/>
  <c r="W35" i="6"/>
  <c r="AA35" i="6"/>
  <c r="AC35" i="6"/>
  <c r="AE35" i="6"/>
  <c r="C36" i="6"/>
  <c r="U36" i="24"/>
  <c r="R36" i="24"/>
  <c r="S36" i="24"/>
  <c r="W36" i="24"/>
  <c r="X36" i="24"/>
  <c r="Y36" i="24"/>
  <c r="Z36" i="24"/>
  <c r="AB36" i="24"/>
  <c r="AA36" i="24"/>
  <c r="AI36" i="24"/>
  <c r="AJ36" i="24"/>
  <c r="AH36" i="24"/>
  <c r="AB36" i="21"/>
  <c r="AM36" i="24"/>
  <c r="W36" i="14"/>
  <c r="U36" i="14"/>
  <c r="AA36" i="21"/>
  <c r="AC36" i="21"/>
  <c r="AE36" i="21"/>
  <c r="AG36" i="21"/>
  <c r="F36" i="6"/>
  <c r="AC36" i="14"/>
  <c r="O36" i="6"/>
  <c r="Q36" i="15"/>
  <c r="U36" i="15"/>
  <c r="S36" i="15"/>
  <c r="AS36" i="15"/>
  <c r="AU36" i="15"/>
  <c r="V36" i="15"/>
  <c r="AV36" i="15"/>
  <c r="T36" i="15"/>
  <c r="AW36" i="15"/>
  <c r="W36" i="15"/>
  <c r="Y36" i="15"/>
  <c r="AY36" i="15"/>
  <c r="Z36" i="15"/>
  <c r="BB36" i="15"/>
  <c r="AA36" i="15"/>
  <c r="BC36" i="15"/>
  <c r="X36" i="15"/>
  <c r="BD36" i="15"/>
  <c r="BF36" i="15"/>
  <c r="BI36" i="15"/>
  <c r="Q36" i="6"/>
  <c r="S36" i="6"/>
  <c r="U36" i="6"/>
  <c r="W36" i="6"/>
  <c r="AA36" i="6"/>
  <c r="AC36" i="6"/>
  <c r="AE36" i="6"/>
  <c r="C37" i="6"/>
  <c r="U37" i="24"/>
  <c r="R37" i="24"/>
  <c r="S37" i="24"/>
  <c r="W37" i="24"/>
  <c r="X37" i="24"/>
  <c r="Y37" i="24"/>
  <c r="Z37" i="24"/>
  <c r="AB37" i="24"/>
  <c r="AA37" i="24"/>
  <c r="AI37" i="24"/>
  <c r="AJ37" i="24"/>
  <c r="AH37" i="24"/>
  <c r="AB37" i="21"/>
  <c r="AM37" i="24"/>
  <c r="W37" i="14"/>
  <c r="U37" i="14"/>
  <c r="AA37" i="21"/>
  <c r="AC37" i="21"/>
  <c r="AE37" i="21"/>
  <c r="AG37" i="21"/>
  <c r="F37" i="6"/>
  <c r="AC37" i="14"/>
  <c r="O37" i="6"/>
  <c r="Q37" i="15"/>
  <c r="U37" i="15"/>
  <c r="S37" i="15"/>
  <c r="AS37" i="15"/>
  <c r="AU37" i="15"/>
  <c r="V37" i="15"/>
  <c r="AV37" i="15"/>
  <c r="T37" i="15"/>
  <c r="AW37" i="15"/>
  <c r="W37" i="15"/>
  <c r="Y37" i="15"/>
  <c r="AY37" i="15"/>
  <c r="Z37" i="15"/>
  <c r="BB37" i="15"/>
  <c r="AA37" i="15"/>
  <c r="BC37" i="15"/>
  <c r="X37" i="15"/>
  <c r="BD37" i="15"/>
  <c r="BF37" i="15"/>
  <c r="BI37" i="15"/>
  <c r="Q37" i="6"/>
  <c r="S37" i="6"/>
  <c r="U37" i="6"/>
  <c r="W37" i="6"/>
  <c r="AA37" i="6"/>
  <c r="AC37" i="6"/>
  <c r="AE37" i="6"/>
  <c r="C38" i="6"/>
  <c r="U38" i="24"/>
  <c r="R38" i="24"/>
  <c r="S38" i="24"/>
  <c r="W38" i="24"/>
  <c r="X38" i="24"/>
  <c r="Y38" i="24"/>
  <c r="Z38" i="24"/>
  <c r="AB38" i="24"/>
  <c r="AA38" i="24"/>
  <c r="AI38" i="24"/>
  <c r="AJ38" i="24"/>
  <c r="AH38" i="24"/>
  <c r="AB38" i="21"/>
  <c r="AM38" i="24"/>
  <c r="W38" i="14"/>
  <c r="U38" i="14"/>
  <c r="AA38" i="21"/>
  <c r="AC38" i="21"/>
  <c r="AE38" i="21"/>
  <c r="AG38" i="21"/>
  <c r="F38" i="6"/>
  <c r="AC38" i="14"/>
  <c r="O38" i="6"/>
  <c r="Q38" i="15"/>
  <c r="U38" i="15"/>
  <c r="S38" i="15"/>
  <c r="AS38" i="15"/>
  <c r="AU38" i="15"/>
  <c r="V38" i="15"/>
  <c r="AV38" i="15"/>
  <c r="T38" i="15"/>
  <c r="AW38" i="15"/>
  <c r="W38" i="15"/>
  <c r="Y38" i="15"/>
  <c r="AY38" i="15"/>
  <c r="Z38" i="15"/>
  <c r="BB38" i="15"/>
  <c r="AA38" i="15"/>
  <c r="BC38" i="15"/>
  <c r="X38" i="15"/>
  <c r="BD38" i="15"/>
  <c r="BF38" i="15"/>
  <c r="BI38" i="15"/>
  <c r="Q38" i="6"/>
  <c r="S38" i="6"/>
  <c r="U38" i="6"/>
  <c r="W38" i="6"/>
  <c r="AA38" i="6"/>
  <c r="AC38" i="6"/>
  <c r="AE38" i="6"/>
  <c r="C39" i="6"/>
  <c r="U39" i="24"/>
  <c r="R39" i="24"/>
  <c r="S39" i="24"/>
  <c r="W39" i="24"/>
  <c r="X39" i="24"/>
  <c r="Y39" i="24"/>
  <c r="Z39" i="24"/>
  <c r="AB39" i="24"/>
  <c r="AA39" i="24"/>
  <c r="AI39" i="24"/>
  <c r="AJ39" i="24"/>
  <c r="AH39" i="24"/>
  <c r="AB39" i="21"/>
  <c r="AM39" i="24"/>
  <c r="W39" i="14"/>
  <c r="U39" i="14"/>
  <c r="AA39" i="21"/>
  <c r="AC39" i="21"/>
  <c r="AE39" i="21"/>
  <c r="AG39" i="21"/>
  <c r="F39" i="6"/>
  <c r="AC39" i="14"/>
  <c r="O39" i="6"/>
  <c r="Q39" i="15"/>
  <c r="U39" i="15"/>
  <c r="S39" i="15"/>
  <c r="AS39" i="15"/>
  <c r="AU39" i="15"/>
  <c r="V39" i="15"/>
  <c r="AV39" i="15"/>
  <c r="T39" i="15"/>
  <c r="AW39" i="15"/>
  <c r="W39" i="15"/>
  <c r="Y39" i="15"/>
  <c r="AY39" i="15"/>
  <c r="Z39" i="15"/>
  <c r="BB39" i="15"/>
  <c r="AA39" i="15"/>
  <c r="BC39" i="15"/>
  <c r="X39" i="15"/>
  <c r="BD39" i="15"/>
  <c r="BF39" i="15"/>
  <c r="BI39" i="15"/>
  <c r="Q39" i="6"/>
  <c r="S39" i="6"/>
  <c r="U39" i="6"/>
  <c r="W39" i="6"/>
  <c r="AA39" i="6"/>
  <c r="AC39" i="6"/>
  <c r="AE39" i="6"/>
  <c r="C40" i="6"/>
  <c r="U40" i="24"/>
  <c r="R40" i="24"/>
  <c r="S40" i="24"/>
  <c r="W40" i="24"/>
  <c r="X40" i="24"/>
  <c r="Y40" i="24"/>
  <c r="Z40" i="24"/>
  <c r="AB40" i="24"/>
  <c r="AA40" i="24"/>
  <c r="AI40" i="24"/>
  <c r="AJ40" i="24"/>
  <c r="AH40" i="24"/>
  <c r="AB40" i="21"/>
  <c r="AM40" i="24"/>
  <c r="W40" i="14"/>
  <c r="U40" i="14"/>
  <c r="AA40" i="21"/>
  <c r="AC40" i="21"/>
  <c r="AE40" i="21"/>
  <c r="AG40" i="21"/>
  <c r="F40" i="6"/>
  <c r="AC40" i="14"/>
  <c r="O40" i="6"/>
  <c r="Q40" i="15"/>
  <c r="U40" i="15"/>
  <c r="S40" i="15"/>
  <c r="AS40" i="15"/>
  <c r="AU40" i="15"/>
  <c r="V40" i="15"/>
  <c r="AV40" i="15"/>
  <c r="T40" i="15"/>
  <c r="AW40" i="15"/>
  <c r="W40" i="15"/>
  <c r="Y40" i="15"/>
  <c r="AY40" i="15"/>
  <c r="Z40" i="15"/>
  <c r="BB40" i="15"/>
  <c r="AA40" i="15"/>
  <c r="BC40" i="15"/>
  <c r="X40" i="15"/>
  <c r="BD40" i="15"/>
  <c r="BF40" i="15"/>
  <c r="BI40" i="15"/>
  <c r="Q40" i="6"/>
  <c r="S40" i="6"/>
  <c r="U40" i="6"/>
  <c r="W40" i="6"/>
  <c r="AA40" i="6"/>
  <c r="AC40" i="6"/>
  <c r="AE40" i="6"/>
  <c r="C41" i="6"/>
  <c r="U41" i="24"/>
  <c r="R41" i="24"/>
  <c r="S41" i="24"/>
  <c r="W41" i="24"/>
  <c r="X41" i="24"/>
  <c r="Y41" i="24"/>
  <c r="Z41" i="24"/>
  <c r="AB41" i="24"/>
  <c r="AA41" i="24"/>
  <c r="AI41" i="24"/>
  <c r="AJ41" i="24"/>
  <c r="AH41" i="24"/>
  <c r="AB41" i="21"/>
  <c r="AM41" i="24"/>
  <c r="W41" i="14"/>
  <c r="U41" i="14"/>
  <c r="AA41" i="21"/>
  <c r="AC41" i="21"/>
  <c r="AE41" i="21"/>
  <c r="AG41" i="21"/>
  <c r="F41" i="6"/>
  <c r="AC41" i="14"/>
  <c r="O41" i="6"/>
  <c r="Q41" i="15"/>
  <c r="U41" i="15"/>
  <c r="S41" i="15"/>
  <c r="AS41" i="15"/>
  <c r="AU41" i="15"/>
  <c r="V41" i="15"/>
  <c r="AV41" i="15"/>
  <c r="T41" i="15"/>
  <c r="AW41" i="15"/>
  <c r="W41" i="15"/>
  <c r="Y41" i="15"/>
  <c r="AY41" i="15"/>
  <c r="Z41" i="15"/>
  <c r="BB41" i="15"/>
  <c r="AA41" i="15"/>
  <c r="BC41" i="15"/>
  <c r="X41" i="15"/>
  <c r="BD41" i="15"/>
  <c r="BF41" i="15"/>
  <c r="BI41" i="15"/>
  <c r="Q41" i="6"/>
  <c r="S41" i="6"/>
  <c r="U41" i="6"/>
  <c r="W41" i="6"/>
  <c r="AA41" i="6"/>
  <c r="AC41" i="6"/>
  <c r="AE41" i="6"/>
  <c r="C42" i="6"/>
  <c r="U42" i="24"/>
  <c r="R42" i="24"/>
  <c r="S42" i="24"/>
  <c r="W42" i="24"/>
  <c r="X42" i="24"/>
  <c r="Y42" i="24"/>
  <c r="Z42" i="24"/>
  <c r="AB42" i="24"/>
  <c r="AA42" i="24"/>
  <c r="AD42" i="24"/>
  <c r="AI42" i="24"/>
  <c r="AJ42" i="24"/>
  <c r="AH42" i="24"/>
  <c r="AB42" i="21"/>
  <c r="AK42" i="24"/>
  <c r="AM42" i="24"/>
  <c r="W42" i="14"/>
  <c r="U42" i="14"/>
  <c r="AA42" i="21"/>
  <c r="AC42" i="21"/>
  <c r="AE42" i="21"/>
  <c r="AG42" i="21"/>
  <c r="F42" i="6"/>
  <c r="AC42" i="14"/>
  <c r="O42" i="6"/>
  <c r="Q42" i="15"/>
  <c r="U42" i="15"/>
  <c r="S42" i="15"/>
  <c r="AS42" i="15"/>
  <c r="AU42" i="15"/>
  <c r="V42" i="15"/>
  <c r="AV42" i="15"/>
  <c r="T42" i="15"/>
  <c r="AW42" i="15"/>
  <c r="W42" i="15"/>
  <c r="Y42" i="15"/>
  <c r="AY42" i="15"/>
  <c r="Z42" i="15"/>
  <c r="BB42" i="15"/>
  <c r="AA42" i="15"/>
  <c r="BC42" i="15"/>
  <c r="X42" i="15"/>
  <c r="BD42" i="15"/>
  <c r="BF42" i="15"/>
  <c r="BI42" i="15"/>
  <c r="Q42" i="6"/>
  <c r="S42" i="6"/>
  <c r="U42" i="6"/>
  <c r="W42" i="6"/>
  <c r="AA42" i="6"/>
  <c r="AC42" i="6"/>
  <c r="AE42" i="6"/>
  <c r="C43" i="6"/>
  <c r="U43" i="24"/>
  <c r="R43" i="24"/>
  <c r="S43" i="24"/>
  <c r="W43" i="24"/>
  <c r="X43" i="24"/>
  <c r="Y43" i="24"/>
  <c r="Z43" i="24"/>
  <c r="AB43" i="24"/>
  <c r="AA43" i="24"/>
  <c r="AD43" i="24"/>
  <c r="AI43" i="24"/>
  <c r="AJ43" i="24"/>
  <c r="AH43" i="24"/>
  <c r="AB43" i="21"/>
  <c r="AK43" i="24"/>
  <c r="AM43" i="24"/>
  <c r="W43" i="14"/>
  <c r="U43" i="14"/>
  <c r="AA43" i="21"/>
  <c r="AC43" i="21"/>
  <c r="AE43" i="21"/>
  <c r="AG43" i="21"/>
  <c r="F43" i="6"/>
  <c r="AC43" i="14"/>
  <c r="O43" i="6"/>
  <c r="Q43" i="15"/>
  <c r="U43" i="15"/>
  <c r="S43" i="15"/>
  <c r="AS43" i="15"/>
  <c r="AU43" i="15"/>
  <c r="V43" i="15"/>
  <c r="AV43" i="15"/>
  <c r="T43" i="15"/>
  <c r="AW43" i="15"/>
  <c r="W43" i="15"/>
  <c r="Y43" i="15"/>
  <c r="AY43" i="15"/>
  <c r="Z43" i="15"/>
  <c r="BB43" i="15"/>
  <c r="AA43" i="15"/>
  <c r="BC43" i="15"/>
  <c r="X43" i="15"/>
  <c r="BD43" i="15"/>
  <c r="BF43" i="15"/>
  <c r="BI43" i="15"/>
  <c r="Q43" i="6"/>
  <c r="S43" i="6"/>
  <c r="U43" i="6"/>
  <c r="W43" i="6"/>
  <c r="AA43" i="6"/>
  <c r="AC43" i="6"/>
  <c r="AE43" i="6"/>
  <c r="C44" i="6"/>
  <c r="U44" i="24"/>
  <c r="R44" i="24"/>
  <c r="S44" i="24"/>
  <c r="W44" i="24"/>
  <c r="X44" i="24"/>
  <c r="Y44" i="24"/>
  <c r="Z44" i="24"/>
  <c r="AB44" i="24"/>
  <c r="AA44" i="24"/>
  <c r="AD44" i="24"/>
  <c r="AI44" i="24"/>
  <c r="AJ44" i="24"/>
  <c r="AH44" i="24"/>
  <c r="AB44" i="21"/>
  <c r="AK44" i="24"/>
  <c r="AM44" i="24"/>
  <c r="W44" i="14"/>
  <c r="U44" i="14"/>
  <c r="AA44" i="21"/>
  <c r="AC44" i="21"/>
  <c r="AE44" i="21"/>
  <c r="AG44" i="21"/>
  <c r="F44" i="6"/>
  <c r="AC44" i="14"/>
  <c r="O44" i="6"/>
  <c r="Q44" i="15"/>
  <c r="U44" i="15"/>
  <c r="S44" i="15"/>
  <c r="AS44" i="15"/>
  <c r="AU44" i="15"/>
  <c r="V44" i="15"/>
  <c r="AV44" i="15"/>
  <c r="T44" i="15"/>
  <c r="AW44" i="15"/>
  <c r="W44" i="15"/>
  <c r="Y44" i="15"/>
  <c r="AY44" i="15"/>
  <c r="Z44" i="15"/>
  <c r="BB44" i="15"/>
  <c r="AA44" i="15"/>
  <c r="BC44" i="15"/>
  <c r="X44" i="15"/>
  <c r="BD44" i="15"/>
  <c r="BF44" i="15"/>
  <c r="BI44" i="15"/>
  <c r="Q44" i="6"/>
  <c r="S44" i="6"/>
  <c r="U44" i="6"/>
  <c r="W44" i="6"/>
  <c r="AA44" i="6"/>
  <c r="AC44" i="6"/>
  <c r="AE44" i="6"/>
  <c r="C47" i="6"/>
  <c r="U47" i="24"/>
  <c r="R47" i="24"/>
  <c r="S47" i="24"/>
  <c r="V47" i="24"/>
  <c r="W47" i="24"/>
  <c r="X47" i="24"/>
  <c r="Z47" i="24"/>
  <c r="AB47" i="24"/>
  <c r="AA47" i="24"/>
  <c r="AD47" i="24"/>
  <c r="AI47" i="24"/>
  <c r="AJ47" i="24"/>
  <c r="AH47" i="24"/>
  <c r="AB47" i="21"/>
  <c r="AK47" i="24"/>
  <c r="AM47" i="24"/>
  <c r="W47" i="14"/>
  <c r="U47" i="14"/>
  <c r="AA47" i="21"/>
  <c r="AC47" i="21"/>
  <c r="AE47" i="21"/>
  <c r="AG47" i="21"/>
  <c r="F47" i="6"/>
  <c r="AC47" i="14"/>
  <c r="O47" i="6"/>
  <c r="Q47" i="15"/>
  <c r="U47" i="15"/>
  <c r="S47" i="15"/>
  <c r="AS47" i="15"/>
  <c r="AU47" i="15"/>
  <c r="V47" i="15"/>
  <c r="AV47" i="15"/>
  <c r="T47" i="15"/>
  <c r="AW47" i="15"/>
  <c r="W47" i="15"/>
  <c r="Y47" i="15"/>
  <c r="AY47" i="15"/>
  <c r="Z47" i="15"/>
  <c r="BB47" i="15"/>
  <c r="AA47" i="15"/>
  <c r="BC47" i="15"/>
  <c r="X47" i="15"/>
  <c r="BD47" i="15"/>
  <c r="BF47" i="15"/>
  <c r="BI47" i="15"/>
  <c r="Q47" i="6"/>
  <c r="S47" i="6"/>
  <c r="U47" i="6"/>
  <c r="W47" i="6"/>
  <c r="AA47" i="6"/>
  <c r="AC47" i="6"/>
  <c r="AE47" i="6"/>
  <c r="C48" i="6"/>
  <c r="U48" i="24"/>
  <c r="R48" i="24"/>
  <c r="S48" i="24"/>
  <c r="T48" i="24"/>
  <c r="V48" i="24"/>
  <c r="W48" i="24"/>
  <c r="X48" i="24"/>
  <c r="Y48" i="24"/>
  <c r="Z48" i="24"/>
  <c r="AB48" i="24"/>
  <c r="AA48" i="24"/>
  <c r="AD48" i="24"/>
  <c r="AI48" i="24"/>
  <c r="AJ48" i="24"/>
  <c r="AH48" i="24"/>
  <c r="AB48" i="21"/>
  <c r="AK48" i="24"/>
  <c r="AM48" i="24"/>
  <c r="W48" i="14"/>
  <c r="U48" i="14"/>
  <c r="AA48" i="21"/>
  <c r="AC48" i="21"/>
  <c r="AE48" i="21"/>
  <c r="AG48" i="21"/>
  <c r="F48" i="6"/>
  <c r="AC48" i="14"/>
  <c r="O48" i="6"/>
  <c r="Q48" i="15"/>
  <c r="U48" i="15"/>
  <c r="S48" i="15"/>
  <c r="AS48" i="15"/>
  <c r="AU48" i="15"/>
  <c r="V48" i="15"/>
  <c r="AV48" i="15"/>
  <c r="T48" i="15"/>
  <c r="AW48" i="15"/>
  <c r="W48" i="15"/>
  <c r="Y48" i="15"/>
  <c r="AY48" i="15"/>
  <c r="Z48" i="15"/>
  <c r="BB48" i="15"/>
  <c r="AA48" i="15"/>
  <c r="BC48" i="15"/>
  <c r="X48" i="15"/>
  <c r="BD48" i="15"/>
  <c r="BF48" i="15"/>
  <c r="BI48" i="15"/>
  <c r="Q48" i="6"/>
  <c r="S48" i="6"/>
  <c r="U48" i="6"/>
  <c r="W48" i="6"/>
  <c r="AA48" i="6"/>
  <c r="AC48" i="6"/>
  <c r="AE48" i="6"/>
  <c r="C49" i="6"/>
  <c r="U49" i="24"/>
  <c r="R49" i="24"/>
  <c r="S49" i="24"/>
  <c r="T49" i="24"/>
  <c r="V49" i="24"/>
  <c r="W49" i="24"/>
  <c r="X49" i="24"/>
  <c r="Y49" i="24"/>
  <c r="Z49" i="24"/>
  <c r="AB49" i="24"/>
  <c r="AA49" i="24"/>
  <c r="AD49" i="24"/>
  <c r="AI49" i="24"/>
  <c r="AJ49" i="24"/>
  <c r="AH49" i="24"/>
  <c r="AB49" i="21"/>
  <c r="AK49" i="24"/>
  <c r="AM49" i="24"/>
  <c r="W49" i="14"/>
  <c r="U49" i="14"/>
  <c r="AA49" i="21"/>
  <c r="AC49" i="21"/>
  <c r="AE49" i="21"/>
  <c r="AG49" i="21"/>
  <c r="F49" i="6"/>
  <c r="AC49" i="14"/>
  <c r="O49" i="6"/>
  <c r="Q49" i="15"/>
  <c r="U49" i="15"/>
  <c r="S49" i="15"/>
  <c r="AS49" i="15"/>
  <c r="AU49" i="15"/>
  <c r="V49" i="15"/>
  <c r="AV49" i="15"/>
  <c r="T49" i="15"/>
  <c r="AW49" i="15"/>
  <c r="W49" i="15"/>
  <c r="Y49" i="15"/>
  <c r="AY49" i="15"/>
  <c r="Z49" i="15"/>
  <c r="BB49" i="15"/>
  <c r="AA49" i="15"/>
  <c r="BC49" i="15"/>
  <c r="X49" i="15"/>
  <c r="BD49" i="15"/>
  <c r="BF49" i="15"/>
  <c r="BI49" i="15"/>
  <c r="Q49" i="6"/>
  <c r="S49" i="6"/>
  <c r="W49" i="6"/>
  <c r="AA49" i="6"/>
  <c r="AC49" i="6"/>
  <c r="AE49" i="6"/>
  <c r="C50" i="6"/>
  <c r="U50" i="24"/>
  <c r="R50" i="24"/>
  <c r="S50" i="24"/>
  <c r="T50" i="24"/>
  <c r="V50" i="24"/>
  <c r="W50" i="24"/>
  <c r="X50" i="24"/>
  <c r="Y50" i="24"/>
  <c r="Z50" i="24"/>
  <c r="AB50" i="24"/>
  <c r="AA50" i="24"/>
  <c r="AD50" i="24"/>
  <c r="AI50" i="24"/>
  <c r="AJ50" i="24"/>
  <c r="AH50" i="24"/>
  <c r="AB50" i="21"/>
  <c r="AK50" i="24"/>
  <c r="AM50" i="24"/>
  <c r="W50" i="14"/>
  <c r="U50" i="14"/>
  <c r="AA50" i="21"/>
  <c r="AC50" i="21"/>
  <c r="AE50" i="21"/>
  <c r="AG50" i="21"/>
  <c r="F50" i="6"/>
  <c r="AC50" i="14"/>
  <c r="O50" i="6"/>
  <c r="Q50" i="15"/>
  <c r="U50" i="15"/>
  <c r="S50" i="15"/>
  <c r="AS50" i="15"/>
  <c r="AU50" i="15"/>
  <c r="V50" i="15"/>
  <c r="AV50" i="15"/>
  <c r="T50" i="15"/>
  <c r="AW50" i="15"/>
  <c r="W50" i="15"/>
  <c r="Y50" i="15"/>
  <c r="AY50" i="15"/>
  <c r="Z50" i="15"/>
  <c r="BB50" i="15"/>
  <c r="AA50" i="15"/>
  <c r="BC50" i="15"/>
  <c r="X50" i="15"/>
  <c r="BD50" i="15"/>
  <c r="BF50" i="15"/>
  <c r="BI50" i="15"/>
  <c r="Q50" i="6"/>
  <c r="S50" i="6"/>
  <c r="U50" i="6"/>
  <c r="W50" i="6"/>
  <c r="AA50" i="6"/>
  <c r="AC50" i="6"/>
  <c r="AE50" i="6"/>
  <c r="A11" i="21"/>
  <c r="D11" i="21"/>
  <c r="E11" i="21"/>
  <c r="F11" i="21"/>
  <c r="G11" i="21"/>
  <c r="H11" i="21"/>
  <c r="I11" i="21"/>
  <c r="J11" i="21"/>
  <c r="K11" i="21"/>
  <c r="L11" i="21"/>
  <c r="M11" i="21"/>
  <c r="O11" i="21"/>
  <c r="P11" i="21"/>
  <c r="Q11" i="21"/>
  <c r="R11" i="21"/>
  <c r="S11" i="21"/>
  <c r="T11" i="21"/>
  <c r="U11" i="21"/>
  <c r="V11" i="21"/>
  <c r="W11" i="21"/>
  <c r="X11" i="21"/>
  <c r="Y11" i="21"/>
  <c r="A12" i="21"/>
  <c r="D12" i="21"/>
  <c r="E12" i="21"/>
  <c r="F12" i="21"/>
  <c r="G12" i="21"/>
  <c r="H12" i="21"/>
  <c r="I12" i="21"/>
  <c r="J12" i="21"/>
  <c r="K12" i="21"/>
  <c r="L12" i="21"/>
  <c r="M12" i="21"/>
  <c r="O12" i="21"/>
  <c r="P12" i="21"/>
  <c r="Q12" i="21"/>
  <c r="R12" i="21"/>
  <c r="S12" i="21"/>
  <c r="T12" i="21"/>
  <c r="U12" i="21"/>
  <c r="V12" i="21"/>
  <c r="W12" i="21"/>
  <c r="X12" i="21"/>
  <c r="Y12" i="21"/>
  <c r="A13" i="21"/>
  <c r="D13" i="21"/>
  <c r="E13" i="21"/>
  <c r="F13" i="21"/>
  <c r="G13" i="21"/>
  <c r="H13" i="21"/>
  <c r="I13" i="21"/>
  <c r="J13" i="21"/>
  <c r="K13" i="21"/>
  <c r="L13" i="21"/>
  <c r="M13" i="21"/>
  <c r="O13" i="21"/>
  <c r="P13" i="21"/>
  <c r="Q13" i="21"/>
  <c r="R13" i="21"/>
  <c r="S13" i="21"/>
  <c r="T13" i="21"/>
  <c r="U13" i="21"/>
  <c r="V13" i="21"/>
  <c r="W13" i="21"/>
  <c r="X13" i="21"/>
  <c r="Y13" i="21"/>
  <c r="A14" i="21"/>
  <c r="D14" i="21"/>
  <c r="E14" i="21"/>
  <c r="F14" i="21"/>
  <c r="G14" i="21"/>
  <c r="H14" i="21"/>
  <c r="I14" i="21"/>
  <c r="J14" i="21"/>
  <c r="K14" i="21"/>
  <c r="L14" i="21"/>
  <c r="M14" i="21"/>
  <c r="O14" i="21"/>
  <c r="P14" i="21"/>
  <c r="Q14" i="21"/>
  <c r="R14" i="21"/>
  <c r="S14" i="21"/>
  <c r="T14" i="21"/>
  <c r="U14" i="21"/>
  <c r="V14" i="21"/>
  <c r="W14" i="21"/>
  <c r="X14" i="21"/>
  <c r="Y14" i="21"/>
  <c r="A15" i="21"/>
  <c r="D15" i="21"/>
  <c r="E15" i="21"/>
  <c r="F15" i="21"/>
  <c r="G15" i="21"/>
  <c r="H15" i="21"/>
  <c r="I15" i="21"/>
  <c r="J15" i="21"/>
  <c r="K15" i="21"/>
  <c r="L15" i="21"/>
  <c r="M15" i="21"/>
  <c r="O15" i="21"/>
  <c r="P15" i="21"/>
  <c r="Q15" i="21"/>
  <c r="R15" i="21"/>
  <c r="S15" i="21"/>
  <c r="T15" i="21"/>
  <c r="U15" i="21"/>
  <c r="V15" i="21"/>
  <c r="W15" i="21"/>
  <c r="X15" i="21"/>
  <c r="Y15" i="21"/>
  <c r="A16" i="21"/>
  <c r="D16" i="21"/>
  <c r="E16" i="21"/>
  <c r="F16" i="21"/>
  <c r="G16" i="21"/>
  <c r="H16" i="21"/>
  <c r="I16" i="21"/>
  <c r="J16" i="21"/>
  <c r="K16" i="21"/>
  <c r="L16" i="21"/>
  <c r="M16" i="21"/>
  <c r="O16" i="21"/>
  <c r="P16" i="21"/>
  <c r="Q16" i="21"/>
  <c r="R16" i="21"/>
  <c r="S16" i="21"/>
  <c r="T16" i="21"/>
  <c r="U16" i="21"/>
  <c r="V16" i="21"/>
  <c r="W16" i="21"/>
  <c r="X16" i="21"/>
  <c r="Y16" i="21"/>
  <c r="A18" i="21"/>
  <c r="D18" i="21"/>
  <c r="E18" i="21"/>
  <c r="F18" i="21"/>
  <c r="G18" i="21"/>
  <c r="H18" i="21"/>
  <c r="I18" i="21"/>
  <c r="J18" i="21"/>
  <c r="K18" i="21"/>
  <c r="L18" i="21"/>
  <c r="M18" i="21"/>
  <c r="O18" i="21"/>
  <c r="P18" i="21"/>
  <c r="Q18" i="21"/>
  <c r="R18" i="21"/>
  <c r="S18" i="21"/>
  <c r="T18" i="21"/>
  <c r="U18" i="21"/>
  <c r="V18" i="21"/>
  <c r="W18" i="21"/>
  <c r="X18" i="21"/>
  <c r="Y18" i="21"/>
  <c r="A19" i="21"/>
  <c r="D19" i="21"/>
  <c r="E19" i="21"/>
  <c r="F19" i="21"/>
  <c r="G19" i="21"/>
  <c r="H19" i="21"/>
  <c r="I19" i="21"/>
  <c r="J19" i="21"/>
  <c r="K19" i="21"/>
  <c r="L19" i="21"/>
  <c r="M19" i="21"/>
  <c r="O19" i="21"/>
  <c r="P19" i="21"/>
  <c r="Q19" i="21"/>
  <c r="R19" i="21"/>
  <c r="S19" i="21"/>
  <c r="T19" i="21"/>
  <c r="U19" i="21"/>
  <c r="V19" i="21"/>
  <c r="W19" i="21"/>
  <c r="X19" i="21"/>
  <c r="Y19" i="21"/>
  <c r="A20" i="21"/>
  <c r="D20" i="21"/>
  <c r="E20" i="21"/>
  <c r="F20" i="21"/>
  <c r="G20" i="21"/>
  <c r="H20" i="21"/>
  <c r="I20" i="21"/>
  <c r="J20" i="21"/>
  <c r="K20" i="21"/>
  <c r="L20" i="21"/>
  <c r="M20" i="21"/>
  <c r="O20" i="21"/>
  <c r="P20" i="21"/>
  <c r="Q20" i="21"/>
  <c r="R20" i="21"/>
  <c r="S20" i="21"/>
  <c r="T20" i="21"/>
  <c r="U20" i="21"/>
  <c r="V20" i="21"/>
  <c r="W20" i="21"/>
  <c r="X20" i="21"/>
  <c r="Y20" i="21"/>
  <c r="A21" i="21"/>
  <c r="D21" i="21"/>
  <c r="E21" i="21"/>
  <c r="F21" i="21"/>
  <c r="G21" i="21"/>
  <c r="H21" i="21"/>
  <c r="I21" i="21"/>
  <c r="J21" i="21"/>
  <c r="K21" i="21"/>
  <c r="L21" i="21"/>
  <c r="M21" i="21"/>
  <c r="O21" i="21"/>
  <c r="P21" i="21"/>
  <c r="Q21" i="21"/>
  <c r="R21" i="21"/>
  <c r="S21" i="21"/>
  <c r="T21" i="21"/>
  <c r="U21" i="21"/>
  <c r="V21" i="21"/>
  <c r="W21" i="21"/>
  <c r="X21" i="21"/>
  <c r="Y21" i="21"/>
  <c r="A22" i="21"/>
  <c r="D22" i="21"/>
  <c r="E22" i="21"/>
  <c r="F22" i="21"/>
  <c r="G22" i="21"/>
  <c r="H22" i="21"/>
  <c r="I22" i="21"/>
  <c r="J22" i="21"/>
  <c r="K22" i="21"/>
  <c r="L22" i="21"/>
  <c r="M22" i="21"/>
  <c r="O22" i="21"/>
  <c r="P22" i="21"/>
  <c r="Q22" i="21"/>
  <c r="R22" i="21"/>
  <c r="S22" i="21"/>
  <c r="T22" i="21"/>
  <c r="U22" i="21"/>
  <c r="V22" i="21"/>
  <c r="W22" i="21"/>
  <c r="X22" i="21"/>
  <c r="Y22" i="21"/>
  <c r="A23" i="21"/>
  <c r="D23" i="21"/>
  <c r="E23" i="21"/>
  <c r="F23" i="21"/>
  <c r="G23" i="21"/>
  <c r="H23" i="21"/>
  <c r="I23" i="21"/>
  <c r="J23" i="21"/>
  <c r="K23" i="21"/>
  <c r="L23" i="21"/>
  <c r="M23" i="21"/>
  <c r="O23" i="21"/>
  <c r="P23" i="21"/>
  <c r="Q23" i="21"/>
  <c r="R23" i="21"/>
  <c r="S23" i="21"/>
  <c r="T23" i="21"/>
  <c r="U23" i="21"/>
  <c r="V23" i="21"/>
  <c r="W23" i="21"/>
  <c r="X23" i="21"/>
  <c r="Y23" i="21"/>
  <c r="A24" i="21"/>
  <c r="D24" i="21"/>
  <c r="E24" i="21"/>
  <c r="F24" i="21"/>
  <c r="G24" i="21"/>
  <c r="H24" i="21"/>
  <c r="I24" i="21"/>
  <c r="J24" i="21"/>
  <c r="K24" i="21"/>
  <c r="L24" i="21"/>
  <c r="M24" i="21"/>
  <c r="O24" i="21"/>
  <c r="P24" i="21"/>
  <c r="Q24" i="21"/>
  <c r="R24" i="21"/>
  <c r="S24" i="21"/>
  <c r="T24" i="21"/>
  <c r="U24" i="21"/>
  <c r="V24" i="21"/>
  <c r="W24" i="21"/>
  <c r="X24" i="21"/>
  <c r="Y24" i="21"/>
  <c r="A25" i="21"/>
  <c r="D25" i="21"/>
  <c r="E25" i="21"/>
  <c r="F25" i="21"/>
  <c r="G25" i="21"/>
  <c r="H25" i="21"/>
  <c r="I25" i="21"/>
  <c r="J25" i="21"/>
  <c r="K25" i="21"/>
  <c r="L25" i="21"/>
  <c r="M25" i="21"/>
  <c r="O25" i="21"/>
  <c r="P25" i="21"/>
  <c r="Q25" i="21"/>
  <c r="R25" i="21"/>
  <c r="S25" i="21"/>
  <c r="T25" i="21"/>
  <c r="U25" i="21"/>
  <c r="V25" i="21"/>
  <c r="W25" i="21"/>
  <c r="X25" i="21"/>
  <c r="Y25" i="21"/>
  <c r="A26" i="21"/>
  <c r="D26" i="21"/>
  <c r="E26" i="21"/>
  <c r="F26" i="21"/>
  <c r="G26" i="21"/>
  <c r="H26" i="21"/>
  <c r="I26" i="21"/>
  <c r="J26" i="21"/>
  <c r="K26" i="21"/>
  <c r="L26" i="21"/>
  <c r="M26" i="21"/>
  <c r="O26" i="21"/>
  <c r="P26" i="21"/>
  <c r="Q26" i="21"/>
  <c r="R26" i="21"/>
  <c r="S26" i="21"/>
  <c r="T26" i="21"/>
  <c r="U26" i="21"/>
  <c r="V26" i="21"/>
  <c r="W26" i="21"/>
  <c r="X26" i="21"/>
  <c r="Y26" i="21"/>
  <c r="A27" i="21"/>
  <c r="D27" i="21"/>
  <c r="E27" i="21"/>
  <c r="F27" i="21"/>
  <c r="G27" i="21"/>
  <c r="H27" i="21"/>
  <c r="I27" i="21"/>
  <c r="J27" i="21"/>
  <c r="K27" i="21"/>
  <c r="L27" i="21"/>
  <c r="M27" i="21"/>
  <c r="O27" i="21"/>
  <c r="P27" i="21"/>
  <c r="Q27" i="21"/>
  <c r="R27" i="21"/>
  <c r="S27" i="21"/>
  <c r="T27" i="21"/>
  <c r="U27" i="21"/>
  <c r="V27" i="21"/>
  <c r="W27" i="21"/>
  <c r="X27" i="21"/>
  <c r="Y27" i="21"/>
  <c r="A28" i="21"/>
  <c r="D28" i="21"/>
  <c r="E28" i="21"/>
  <c r="F28" i="21"/>
  <c r="G28" i="21"/>
  <c r="H28" i="21"/>
  <c r="I28" i="21"/>
  <c r="J28" i="21"/>
  <c r="K28" i="21"/>
  <c r="L28" i="21"/>
  <c r="M28" i="21"/>
  <c r="O28" i="21"/>
  <c r="P28" i="21"/>
  <c r="Q28" i="21"/>
  <c r="R28" i="21"/>
  <c r="S28" i="21"/>
  <c r="T28" i="21"/>
  <c r="U28" i="21"/>
  <c r="V28" i="21"/>
  <c r="W28" i="21"/>
  <c r="X28" i="21"/>
  <c r="Y28" i="21"/>
  <c r="A29" i="21"/>
  <c r="D29" i="21"/>
  <c r="E29" i="21"/>
  <c r="F29" i="21"/>
  <c r="G29" i="21"/>
  <c r="H29" i="21"/>
  <c r="I29" i="21"/>
  <c r="J29" i="21"/>
  <c r="K29" i="21"/>
  <c r="L29" i="21"/>
  <c r="M29" i="21"/>
  <c r="O29" i="21"/>
  <c r="P29" i="21"/>
  <c r="Q29" i="21"/>
  <c r="R29" i="21"/>
  <c r="S29" i="21"/>
  <c r="T29" i="21"/>
  <c r="U29" i="21"/>
  <c r="V29" i="21"/>
  <c r="W29" i="21"/>
  <c r="X29" i="21"/>
  <c r="Y29" i="21"/>
  <c r="A30" i="21"/>
  <c r="D30" i="21"/>
  <c r="E30" i="21"/>
  <c r="F30" i="21"/>
  <c r="G30" i="21"/>
  <c r="H30" i="21"/>
  <c r="I30" i="21"/>
  <c r="J30" i="21"/>
  <c r="K30" i="21"/>
  <c r="L30" i="21"/>
  <c r="M30" i="21"/>
  <c r="O30" i="21"/>
  <c r="P30" i="21"/>
  <c r="Q30" i="21"/>
  <c r="R30" i="21"/>
  <c r="S30" i="21"/>
  <c r="T30" i="21"/>
  <c r="U30" i="21"/>
  <c r="V30" i="21"/>
  <c r="W30" i="21"/>
  <c r="X30" i="21"/>
  <c r="Y30" i="21"/>
  <c r="A32" i="21"/>
  <c r="D32" i="21"/>
  <c r="E32" i="21"/>
  <c r="F32" i="21"/>
  <c r="G32" i="21"/>
  <c r="H32" i="21"/>
  <c r="I32" i="21"/>
  <c r="J32" i="21"/>
  <c r="K32" i="21"/>
  <c r="L32" i="21"/>
  <c r="M32" i="21"/>
  <c r="O32" i="21"/>
  <c r="P32" i="21"/>
  <c r="Q32" i="21"/>
  <c r="R32" i="21"/>
  <c r="S32" i="21"/>
  <c r="T32" i="21"/>
  <c r="U32" i="21"/>
  <c r="V32" i="21"/>
  <c r="W32" i="21"/>
  <c r="X32" i="21"/>
  <c r="Y32" i="21"/>
  <c r="A33" i="21"/>
  <c r="D33" i="21"/>
  <c r="E33" i="21"/>
  <c r="F33" i="21"/>
  <c r="G33" i="21"/>
  <c r="H33" i="21"/>
  <c r="I33" i="21"/>
  <c r="J33" i="21"/>
  <c r="K33" i="21"/>
  <c r="L33" i="21"/>
  <c r="M33" i="21"/>
  <c r="O33" i="21"/>
  <c r="P33" i="21"/>
  <c r="Q33" i="21"/>
  <c r="R33" i="21"/>
  <c r="S33" i="21"/>
  <c r="T33" i="21"/>
  <c r="U33" i="21"/>
  <c r="V33" i="21"/>
  <c r="W33" i="21"/>
  <c r="X33" i="21"/>
  <c r="Y33" i="21"/>
  <c r="A34" i="21"/>
  <c r="D34" i="21"/>
  <c r="E34" i="21"/>
  <c r="F34" i="21"/>
  <c r="G34" i="21"/>
  <c r="H34" i="21"/>
  <c r="I34" i="21"/>
  <c r="J34" i="21"/>
  <c r="K34" i="21"/>
  <c r="L34" i="21"/>
  <c r="M34" i="21"/>
  <c r="O34" i="21"/>
  <c r="P34" i="21"/>
  <c r="Q34" i="21"/>
  <c r="R34" i="21"/>
  <c r="S34" i="21"/>
  <c r="T34" i="21"/>
  <c r="U34" i="21"/>
  <c r="V34" i="21"/>
  <c r="W34" i="21"/>
  <c r="X34" i="21"/>
  <c r="Y34" i="21"/>
  <c r="A35" i="21"/>
  <c r="D35" i="21"/>
  <c r="E35" i="21"/>
  <c r="F35" i="21"/>
  <c r="G35" i="21"/>
  <c r="H35" i="21"/>
  <c r="I35" i="21"/>
  <c r="J35" i="21"/>
  <c r="K35" i="21"/>
  <c r="L35" i="21"/>
  <c r="M35" i="21"/>
  <c r="O35" i="21"/>
  <c r="P35" i="21"/>
  <c r="Q35" i="21"/>
  <c r="R35" i="21"/>
  <c r="S35" i="21"/>
  <c r="T35" i="21"/>
  <c r="U35" i="21"/>
  <c r="V35" i="21"/>
  <c r="W35" i="21"/>
  <c r="X35" i="21"/>
  <c r="Y35" i="21"/>
  <c r="A36" i="21"/>
  <c r="D36" i="21"/>
  <c r="E36" i="21"/>
  <c r="F36" i="21"/>
  <c r="G36" i="21"/>
  <c r="H36" i="21"/>
  <c r="I36" i="21"/>
  <c r="J36" i="21"/>
  <c r="K36" i="21"/>
  <c r="L36" i="21"/>
  <c r="M36" i="21"/>
  <c r="O36" i="21"/>
  <c r="P36" i="21"/>
  <c r="Q36" i="21"/>
  <c r="R36" i="21"/>
  <c r="S36" i="21"/>
  <c r="T36" i="21"/>
  <c r="U36" i="21"/>
  <c r="V36" i="21"/>
  <c r="W36" i="21"/>
  <c r="X36" i="21"/>
  <c r="Y36" i="21"/>
  <c r="A37" i="21"/>
  <c r="D37" i="21"/>
  <c r="E37" i="21"/>
  <c r="F37" i="21"/>
  <c r="G37" i="21"/>
  <c r="H37" i="21"/>
  <c r="I37" i="21"/>
  <c r="J37" i="21"/>
  <c r="K37" i="21"/>
  <c r="L37" i="21"/>
  <c r="M37" i="21"/>
  <c r="O37" i="21"/>
  <c r="P37" i="21"/>
  <c r="Q37" i="21"/>
  <c r="R37" i="21"/>
  <c r="S37" i="21"/>
  <c r="T37" i="21"/>
  <c r="U37" i="21"/>
  <c r="V37" i="21"/>
  <c r="W37" i="21"/>
  <c r="X37" i="21"/>
  <c r="Y37" i="21"/>
  <c r="A38" i="21"/>
  <c r="D38" i="21"/>
  <c r="E38" i="21"/>
  <c r="F38" i="21"/>
  <c r="G38" i="21"/>
  <c r="H38" i="21"/>
  <c r="I38" i="21"/>
  <c r="J38" i="21"/>
  <c r="K38" i="21"/>
  <c r="L38" i="21"/>
  <c r="M38" i="21"/>
  <c r="O38" i="21"/>
  <c r="P38" i="21"/>
  <c r="Q38" i="21"/>
  <c r="R38" i="21"/>
  <c r="S38" i="21"/>
  <c r="T38" i="21"/>
  <c r="U38" i="21"/>
  <c r="V38" i="21"/>
  <c r="W38" i="21"/>
  <c r="X38" i="21"/>
  <c r="Y38" i="21"/>
  <c r="A39" i="21"/>
  <c r="D39" i="21"/>
  <c r="E39" i="21"/>
  <c r="F39" i="21"/>
  <c r="G39" i="21"/>
  <c r="H39" i="21"/>
  <c r="I39" i="21"/>
  <c r="J39" i="21"/>
  <c r="K39" i="21"/>
  <c r="L39" i="21"/>
  <c r="M39" i="21"/>
  <c r="O39" i="21"/>
  <c r="P39" i="21"/>
  <c r="Q39" i="21"/>
  <c r="R39" i="21"/>
  <c r="S39" i="21"/>
  <c r="T39" i="21"/>
  <c r="U39" i="21"/>
  <c r="V39" i="21"/>
  <c r="W39" i="21"/>
  <c r="X39" i="21"/>
  <c r="Y39" i="21"/>
  <c r="A40" i="21"/>
  <c r="D40" i="21"/>
  <c r="E40" i="21"/>
  <c r="F40" i="21"/>
  <c r="G40" i="21"/>
  <c r="H40" i="21"/>
  <c r="I40" i="21"/>
  <c r="J40" i="21"/>
  <c r="K40" i="21"/>
  <c r="L40" i="21"/>
  <c r="M40" i="21"/>
  <c r="O40" i="21"/>
  <c r="P40" i="21"/>
  <c r="Q40" i="21"/>
  <c r="R40" i="21"/>
  <c r="S40" i="21"/>
  <c r="T40" i="21"/>
  <c r="U40" i="21"/>
  <c r="V40" i="21"/>
  <c r="W40" i="21"/>
  <c r="X40" i="21"/>
  <c r="Y40" i="21"/>
  <c r="A41" i="21"/>
  <c r="D41" i="21"/>
  <c r="E41" i="21"/>
  <c r="F41" i="21"/>
  <c r="G41" i="21"/>
  <c r="H41" i="21"/>
  <c r="I41" i="21"/>
  <c r="J41" i="21"/>
  <c r="K41" i="21"/>
  <c r="L41" i="21"/>
  <c r="M41" i="21"/>
  <c r="O41" i="21"/>
  <c r="P41" i="21"/>
  <c r="Q41" i="21"/>
  <c r="R41" i="21"/>
  <c r="S41" i="21"/>
  <c r="T41" i="21"/>
  <c r="U41" i="21"/>
  <c r="V41" i="21"/>
  <c r="W41" i="21"/>
  <c r="X41" i="21"/>
  <c r="Y41" i="21"/>
  <c r="A42" i="21"/>
  <c r="D42" i="21"/>
  <c r="E42" i="21"/>
  <c r="F42" i="21"/>
  <c r="G42" i="21"/>
  <c r="H42" i="21"/>
  <c r="I42" i="21"/>
  <c r="J42" i="21"/>
  <c r="K42" i="21"/>
  <c r="L42" i="21"/>
  <c r="M42" i="21"/>
  <c r="O42" i="21"/>
  <c r="P42" i="21"/>
  <c r="Q42" i="21"/>
  <c r="R42" i="21"/>
  <c r="S42" i="21"/>
  <c r="T42" i="21"/>
  <c r="U42" i="21"/>
  <c r="V42" i="21"/>
  <c r="W42" i="21"/>
  <c r="X42" i="21"/>
  <c r="Y42" i="21"/>
  <c r="A43" i="21"/>
  <c r="D43" i="21"/>
  <c r="E43" i="21"/>
  <c r="F43" i="21"/>
  <c r="G43" i="21"/>
  <c r="H43" i="21"/>
  <c r="I43" i="21"/>
  <c r="J43" i="21"/>
  <c r="K43" i="21"/>
  <c r="L43" i="21"/>
  <c r="M43" i="21"/>
  <c r="O43" i="21"/>
  <c r="P43" i="21"/>
  <c r="Q43" i="21"/>
  <c r="R43" i="21"/>
  <c r="S43" i="21"/>
  <c r="T43" i="21"/>
  <c r="U43" i="21"/>
  <c r="V43" i="21"/>
  <c r="W43" i="21"/>
  <c r="X43" i="21"/>
  <c r="Y43" i="21"/>
  <c r="A44" i="21"/>
  <c r="D44" i="21"/>
  <c r="E44" i="21"/>
  <c r="F44" i="21"/>
  <c r="G44" i="21"/>
  <c r="H44" i="21"/>
  <c r="I44" i="21"/>
  <c r="J44" i="21"/>
  <c r="K44" i="21"/>
  <c r="L44" i="21"/>
  <c r="M44" i="21"/>
  <c r="O44" i="21"/>
  <c r="P44" i="21"/>
  <c r="Q44" i="21"/>
  <c r="R44" i="21"/>
  <c r="S44" i="21"/>
  <c r="T44" i="21"/>
  <c r="U44" i="21"/>
  <c r="V44" i="21"/>
  <c r="W44" i="21"/>
  <c r="X44" i="21"/>
  <c r="Y44" i="21"/>
  <c r="A47" i="21"/>
  <c r="D47" i="21"/>
  <c r="E47" i="21"/>
  <c r="F47" i="21"/>
  <c r="G47" i="21"/>
  <c r="H47" i="21"/>
  <c r="I47" i="21"/>
  <c r="J47" i="21"/>
  <c r="K47" i="21"/>
  <c r="L47" i="21"/>
  <c r="M47" i="21"/>
  <c r="O47" i="21"/>
  <c r="P47" i="21"/>
  <c r="Q47" i="21"/>
  <c r="R47" i="21"/>
  <c r="S47" i="21"/>
  <c r="T47" i="21"/>
  <c r="U47" i="21"/>
  <c r="V47" i="21"/>
  <c r="W47" i="21"/>
  <c r="X47" i="21"/>
  <c r="Y47" i="21"/>
  <c r="A48" i="21"/>
  <c r="D48" i="21"/>
  <c r="E48" i="21"/>
  <c r="F48" i="21"/>
  <c r="G48" i="21"/>
  <c r="H48" i="21"/>
  <c r="I48" i="21"/>
  <c r="J48" i="21"/>
  <c r="K48" i="21"/>
  <c r="L48" i="21"/>
  <c r="M48" i="21"/>
  <c r="O48" i="21"/>
  <c r="P48" i="21"/>
  <c r="Q48" i="21"/>
  <c r="R48" i="21"/>
  <c r="S48" i="21"/>
  <c r="T48" i="21"/>
  <c r="U48" i="21"/>
  <c r="V48" i="21"/>
  <c r="W48" i="21"/>
  <c r="X48" i="21"/>
  <c r="Y48" i="21"/>
  <c r="A49" i="21"/>
  <c r="D49" i="21"/>
  <c r="E49" i="21"/>
  <c r="F49" i="21"/>
  <c r="G49" i="21"/>
  <c r="H49" i="21"/>
  <c r="I49" i="21"/>
  <c r="J49" i="21"/>
  <c r="K49" i="21"/>
  <c r="L49" i="21"/>
  <c r="M49" i="21"/>
  <c r="O49" i="21"/>
  <c r="P49" i="21"/>
  <c r="Q49" i="21"/>
  <c r="R49" i="21"/>
  <c r="S49" i="21"/>
  <c r="T49" i="21"/>
  <c r="U49" i="21"/>
  <c r="V49" i="21"/>
  <c r="W49" i="21"/>
  <c r="X49" i="21"/>
  <c r="Y49" i="21"/>
  <c r="A50" i="21"/>
  <c r="D50" i="21"/>
  <c r="E50" i="21"/>
  <c r="F50" i="21"/>
  <c r="G50" i="21"/>
  <c r="H50" i="21"/>
  <c r="I50" i="21"/>
  <c r="J50" i="21"/>
  <c r="K50" i="21"/>
  <c r="L50" i="21"/>
  <c r="M50" i="21"/>
  <c r="O50" i="21"/>
  <c r="P50" i="21"/>
  <c r="Q50" i="21"/>
  <c r="R50" i="21"/>
  <c r="S50" i="21"/>
  <c r="T50" i="21"/>
  <c r="U50" i="21"/>
  <c r="V50" i="21"/>
  <c r="W50" i="21"/>
  <c r="X50" i="21"/>
  <c r="Y50" i="21"/>
  <c r="C8" i="15"/>
  <c r="O8" i="15"/>
  <c r="Q8" i="15"/>
  <c r="S8" i="15"/>
  <c r="T8" i="15"/>
  <c r="U8" i="15"/>
  <c r="V8" i="15"/>
  <c r="W8" i="15"/>
  <c r="X8" i="15"/>
  <c r="Y8" i="15"/>
  <c r="Z8" i="15"/>
  <c r="AA8" i="15"/>
  <c r="AB8" i="15"/>
  <c r="AC8" i="15"/>
  <c r="AE8" i="15"/>
  <c r="AF8" i="15"/>
  <c r="AH8" i="15"/>
  <c r="AI8" i="15"/>
  <c r="AK8" i="15"/>
  <c r="AL8" i="15"/>
  <c r="AM8" i="15"/>
  <c r="AN8" i="15"/>
  <c r="AO8" i="15"/>
  <c r="AQ8" i="15"/>
  <c r="AS8" i="15"/>
  <c r="AU8" i="15"/>
  <c r="AV8" i="15"/>
  <c r="AW8" i="15"/>
  <c r="AX8" i="15"/>
  <c r="AY8" i="15"/>
  <c r="AZ8" i="15"/>
  <c r="BB8" i="15"/>
  <c r="BC8" i="15"/>
  <c r="BD8" i="15"/>
  <c r="BE8" i="15"/>
  <c r="BF8" i="15"/>
  <c r="BG8" i="15"/>
  <c r="BI8" i="15"/>
  <c r="BM8" i="15"/>
  <c r="C9" i="15"/>
  <c r="O9" i="15"/>
  <c r="AB9" i="15"/>
  <c r="AC9" i="15"/>
  <c r="AE9" i="15"/>
  <c r="AF9" i="15"/>
  <c r="AH9" i="15"/>
  <c r="AI9" i="15"/>
  <c r="AK9" i="15"/>
  <c r="AL9" i="15"/>
  <c r="AM9" i="15"/>
  <c r="AN9" i="15"/>
  <c r="AO9" i="15"/>
  <c r="AQ9" i="15"/>
  <c r="AX9" i="15"/>
  <c r="AZ9" i="15"/>
  <c r="BE9" i="15"/>
  <c r="BG9" i="15"/>
  <c r="BM9" i="15"/>
  <c r="C10" i="15"/>
  <c r="O10" i="15"/>
  <c r="AB10" i="15"/>
  <c r="AC10" i="15"/>
  <c r="AE10" i="15"/>
  <c r="AF10" i="15"/>
  <c r="AH10" i="15"/>
  <c r="AI10" i="15"/>
  <c r="AK10" i="15"/>
  <c r="AL10" i="15"/>
  <c r="AM10" i="15"/>
  <c r="AN10" i="15"/>
  <c r="AO10" i="15"/>
  <c r="AQ10" i="15"/>
  <c r="AX10" i="15"/>
  <c r="AZ10" i="15"/>
  <c r="BE10" i="15"/>
  <c r="BG10" i="15"/>
  <c r="BM10" i="15"/>
  <c r="C11" i="15"/>
  <c r="O11" i="15"/>
  <c r="AB11" i="15"/>
  <c r="AC11" i="15"/>
  <c r="AE11" i="15"/>
  <c r="AF11" i="15"/>
  <c r="AH11" i="15"/>
  <c r="AI11" i="15"/>
  <c r="AK11" i="15"/>
  <c r="AL11" i="15"/>
  <c r="AM11" i="15"/>
  <c r="AN11" i="15"/>
  <c r="AO11" i="15"/>
  <c r="AQ11" i="15"/>
  <c r="AX11" i="15"/>
  <c r="AZ11" i="15"/>
  <c r="BE11" i="15"/>
  <c r="BG11" i="15"/>
  <c r="BM11" i="15"/>
  <c r="C12" i="15"/>
  <c r="O12" i="15"/>
  <c r="AB12" i="15"/>
  <c r="AC12" i="15"/>
  <c r="AE12" i="15"/>
  <c r="AF12" i="15"/>
  <c r="AH12" i="15"/>
  <c r="AI12" i="15"/>
  <c r="AK12" i="15"/>
  <c r="AL12" i="15"/>
  <c r="AM12" i="15"/>
  <c r="AN12" i="15"/>
  <c r="AO12" i="15"/>
  <c r="AQ12" i="15"/>
  <c r="AX12" i="15"/>
  <c r="AZ12" i="15"/>
  <c r="BE12" i="15"/>
  <c r="BG12" i="15"/>
  <c r="BM12" i="15"/>
  <c r="C13" i="15"/>
  <c r="O13" i="15"/>
  <c r="AB13" i="15"/>
  <c r="AC13" i="15"/>
  <c r="AE13" i="15"/>
  <c r="AF13" i="15"/>
  <c r="AH13" i="15"/>
  <c r="AI13" i="15"/>
  <c r="AK13" i="15"/>
  <c r="AL13" i="15"/>
  <c r="AM13" i="15"/>
  <c r="AN13" i="15"/>
  <c r="AO13" i="15"/>
  <c r="AQ13" i="15"/>
  <c r="AX13" i="15"/>
  <c r="AZ13" i="15"/>
  <c r="BE13" i="15"/>
  <c r="BG13" i="15"/>
  <c r="BM13" i="15"/>
  <c r="C14" i="15"/>
  <c r="O14" i="15"/>
  <c r="AB14" i="15"/>
  <c r="AC14" i="15"/>
  <c r="AE14" i="15"/>
  <c r="AF14" i="15"/>
  <c r="AH14" i="15"/>
  <c r="AI14" i="15"/>
  <c r="AK14" i="15"/>
  <c r="AL14" i="15"/>
  <c r="AM14" i="15"/>
  <c r="AN14" i="15"/>
  <c r="AO14" i="15"/>
  <c r="AQ14" i="15"/>
  <c r="AX14" i="15"/>
  <c r="AZ14" i="15"/>
  <c r="BE14" i="15"/>
  <c r="BG14" i="15"/>
  <c r="BM14" i="15"/>
  <c r="C15" i="15"/>
  <c r="O15" i="15"/>
  <c r="AB15" i="15"/>
  <c r="AC15" i="15"/>
  <c r="AE15" i="15"/>
  <c r="AF15" i="15"/>
  <c r="AH15" i="15"/>
  <c r="AI15" i="15"/>
  <c r="AK15" i="15"/>
  <c r="AL15" i="15"/>
  <c r="AM15" i="15"/>
  <c r="AN15" i="15"/>
  <c r="AO15" i="15"/>
  <c r="AQ15" i="15"/>
  <c r="AX15" i="15"/>
  <c r="AZ15" i="15"/>
  <c r="BE15" i="15"/>
  <c r="BG15" i="15"/>
  <c r="BM15" i="15"/>
  <c r="C16" i="15"/>
  <c r="O16" i="15"/>
  <c r="AB16" i="15"/>
  <c r="AC16" i="15"/>
  <c r="AE16" i="15"/>
  <c r="AF16" i="15"/>
  <c r="AH16" i="15"/>
  <c r="AI16" i="15"/>
  <c r="AK16" i="15"/>
  <c r="AL16" i="15"/>
  <c r="AM16" i="15"/>
  <c r="AN16" i="15"/>
  <c r="AO16" i="15"/>
  <c r="AQ16" i="15"/>
  <c r="AX16" i="15"/>
  <c r="AZ16" i="15"/>
  <c r="BE16" i="15"/>
  <c r="BG16" i="15"/>
  <c r="BM16" i="15"/>
  <c r="C17" i="15"/>
  <c r="O17" i="15"/>
  <c r="Q17" i="15"/>
  <c r="S17" i="15"/>
  <c r="T17" i="15"/>
  <c r="U17" i="15"/>
  <c r="V17" i="15"/>
  <c r="W17" i="15"/>
  <c r="X17" i="15"/>
  <c r="Y17" i="15"/>
  <c r="Z17" i="15"/>
  <c r="AA17" i="15"/>
  <c r="AB17" i="15"/>
  <c r="AC17" i="15"/>
  <c r="AE17" i="15"/>
  <c r="AF17" i="15"/>
  <c r="AH17" i="15"/>
  <c r="AI17" i="15"/>
  <c r="AK17" i="15"/>
  <c r="AL17" i="15"/>
  <c r="AM17" i="15"/>
  <c r="AN17" i="15"/>
  <c r="AO17" i="15"/>
  <c r="AQ17" i="15"/>
  <c r="AS17" i="15"/>
  <c r="AU17" i="15"/>
  <c r="AV17" i="15"/>
  <c r="AW17" i="15"/>
  <c r="AX17" i="15"/>
  <c r="AY17" i="15"/>
  <c r="AZ17" i="15"/>
  <c r="BB17" i="15"/>
  <c r="BC17" i="15"/>
  <c r="BD17" i="15"/>
  <c r="BE17" i="15"/>
  <c r="BF17" i="15"/>
  <c r="BG17" i="15"/>
  <c r="BI17" i="15"/>
  <c r="BM17" i="15"/>
  <c r="C18" i="15"/>
  <c r="O18" i="15"/>
  <c r="AB18" i="15"/>
  <c r="AC18" i="15"/>
  <c r="AE18" i="15"/>
  <c r="AF18" i="15"/>
  <c r="AH18" i="15"/>
  <c r="AI18" i="15"/>
  <c r="AK18" i="15"/>
  <c r="AL18" i="15"/>
  <c r="AM18" i="15"/>
  <c r="AN18" i="15"/>
  <c r="AO18" i="15"/>
  <c r="AQ18" i="15"/>
  <c r="AX18" i="15"/>
  <c r="AZ18" i="15"/>
  <c r="BE18" i="15"/>
  <c r="BG18" i="15"/>
  <c r="BM18" i="15"/>
  <c r="C19" i="15"/>
  <c r="O19" i="15"/>
  <c r="AB19" i="15"/>
  <c r="AC19" i="15"/>
  <c r="AE19" i="15"/>
  <c r="AF19" i="15"/>
  <c r="AH19" i="15"/>
  <c r="AI19" i="15"/>
  <c r="AK19" i="15"/>
  <c r="AL19" i="15"/>
  <c r="AM19" i="15"/>
  <c r="AN19" i="15"/>
  <c r="AO19" i="15"/>
  <c r="AQ19" i="15"/>
  <c r="AX19" i="15"/>
  <c r="AZ19" i="15"/>
  <c r="BE19" i="15"/>
  <c r="BG19" i="15"/>
  <c r="BM19" i="15"/>
  <c r="C20" i="15"/>
  <c r="O20" i="15"/>
  <c r="AB20" i="15"/>
  <c r="AC20" i="15"/>
  <c r="AE20" i="15"/>
  <c r="AF20" i="15"/>
  <c r="AH20" i="15"/>
  <c r="AI20" i="15"/>
  <c r="AK20" i="15"/>
  <c r="AL20" i="15"/>
  <c r="AM20" i="15"/>
  <c r="AN20" i="15"/>
  <c r="AO20" i="15"/>
  <c r="AQ20" i="15"/>
  <c r="AX20" i="15"/>
  <c r="AZ20" i="15"/>
  <c r="BE20" i="15"/>
  <c r="BG20" i="15"/>
  <c r="BM20" i="15"/>
  <c r="C21" i="15"/>
  <c r="O21" i="15"/>
  <c r="AB21" i="15"/>
  <c r="AC21" i="15"/>
  <c r="AE21" i="15"/>
  <c r="AF21" i="15"/>
  <c r="AH21" i="15"/>
  <c r="AI21" i="15"/>
  <c r="AK21" i="15"/>
  <c r="AL21" i="15"/>
  <c r="AM21" i="15"/>
  <c r="AN21" i="15"/>
  <c r="AO21" i="15"/>
  <c r="AQ21" i="15"/>
  <c r="AX21" i="15"/>
  <c r="AZ21" i="15"/>
  <c r="BE21" i="15"/>
  <c r="BG21" i="15"/>
  <c r="BM21" i="15"/>
  <c r="C22" i="15"/>
  <c r="O22" i="15"/>
  <c r="AB22" i="15"/>
  <c r="AC22" i="15"/>
  <c r="AE22" i="15"/>
  <c r="AF22" i="15"/>
  <c r="AH22" i="15"/>
  <c r="AI22" i="15"/>
  <c r="AK22" i="15"/>
  <c r="AL22" i="15"/>
  <c r="AM22" i="15"/>
  <c r="AN22" i="15"/>
  <c r="AO22" i="15"/>
  <c r="AQ22" i="15"/>
  <c r="AX22" i="15"/>
  <c r="AZ22" i="15"/>
  <c r="BE22" i="15"/>
  <c r="BG22" i="15"/>
  <c r="BM22" i="15"/>
  <c r="C23" i="15"/>
  <c r="O23" i="15"/>
  <c r="AB23" i="15"/>
  <c r="AC23" i="15"/>
  <c r="AE23" i="15"/>
  <c r="AF23" i="15"/>
  <c r="AH23" i="15"/>
  <c r="AI23" i="15"/>
  <c r="AK23" i="15"/>
  <c r="AL23" i="15"/>
  <c r="AM23" i="15"/>
  <c r="AN23" i="15"/>
  <c r="AO23" i="15"/>
  <c r="AQ23" i="15"/>
  <c r="AX23" i="15"/>
  <c r="AZ23" i="15"/>
  <c r="BE23" i="15"/>
  <c r="BG23" i="15"/>
  <c r="BM23" i="15"/>
  <c r="C24" i="15"/>
  <c r="O24" i="15"/>
  <c r="AB24" i="15"/>
  <c r="AC24" i="15"/>
  <c r="AE24" i="15"/>
  <c r="AF24" i="15"/>
  <c r="AH24" i="15"/>
  <c r="AI24" i="15"/>
  <c r="AK24" i="15"/>
  <c r="AL24" i="15"/>
  <c r="AM24" i="15"/>
  <c r="AN24" i="15"/>
  <c r="AO24" i="15"/>
  <c r="AQ24" i="15"/>
  <c r="AX24" i="15"/>
  <c r="AZ24" i="15"/>
  <c r="BE24" i="15"/>
  <c r="BG24" i="15"/>
  <c r="BM24" i="15"/>
  <c r="C25" i="15"/>
  <c r="O25" i="15"/>
  <c r="AB25" i="15"/>
  <c r="AC25" i="15"/>
  <c r="AE25" i="15"/>
  <c r="AF25" i="15"/>
  <c r="AH25" i="15"/>
  <c r="AI25" i="15"/>
  <c r="AK25" i="15"/>
  <c r="AL25" i="15"/>
  <c r="AM25" i="15"/>
  <c r="AN25" i="15"/>
  <c r="AO25" i="15"/>
  <c r="AQ25" i="15"/>
  <c r="AX25" i="15"/>
  <c r="AZ25" i="15"/>
  <c r="BE25" i="15"/>
  <c r="BG25" i="15"/>
  <c r="BM25" i="15"/>
  <c r="C26" i="15"/>
  <c r="O26" i="15"/>
  <c r="AB26" i="15"/>
  <c r="AC26" i="15"/>
  <c r="AE26" i="15"/>
  <c r="AF26" i="15"/>
  <c r="AH26" i="15"/>
  <c r="AI26" i="15"/>
  <c r="AK26" i="15"/>
  <c r="AL26" i="15"/>
  <c r="AM26" i="15"/>
  <c r="AN26" i="15"/>
  <c r="AO26" i="15"/>
  <c r="AQ26" i="15"/>
  <c r="AX26" i="15"/>
  <c r="AZ26" i="15"/>
  <c r="BE26" i="15"/>
  <c r="BG26" i="15"/>
  <c r="BM26" i="15"/>
  <c r="C27" i="15"/>
  <c r="O27" i="15"/>
  <c r="AB27" i="15"/>
  <c r="AC27" i="15"/>
  <c r="AE27" i="15"/>
  <c r="AF27" i="15"/>
  <c r="AH27" i="15"/>
  <c r="AI27" i="15"/>
  <c r="AK27" i="15"/>
  <c r="AL27" i="15"/>
  <c r="AM27" i="15"/>
  <c r="AN27" i="15"/>
  <c r="AO27" i="15"/>
  <c r="AQ27" i="15"/>
  <c r="AX27" i="15"/>
  <c r="AZ27" i="15"/>
  <c r="BE27" i="15"/>
  <c r="BG27" i="15"/>
  <c r="BM27" i="15"/>
  <c r="C28" i="15"/>
  <c r="O28" i="15"/>
  <c r="AB28" i="15"/>
  <c r="AC28" i="15"/>
  <c r="AE28" i="15"/>
  <c r="AF28" i="15"/>
  <c r="AH28" i="15"/>
  <c r="AI28" i="15"/>
  <c r="AK28" i="15"/>
  <c r="AL28" i="15"/>
  <c r="AM28" i="15"/>
  <c r="AN28" i="15"/>
  <c r="AO28" i="15"/>
  <c r="AQ28" i="15"/>
  <c r="AX28" i="15"/>
  <c r="AZ28" i="15"/>
  <c r="BE28" i="15"/>
  <c r="BG28" i="15"/>
  <c r="BM28" i="15"/>
  <c r="C29" i="15"/>
  <c r="O29" i="15"/>
  <c r="AB29" i="15"/>
  <c r="AC29" i="15"/>
  <c r="AE29" i="15"/>
  <c r="AF29" i="15"/>
  <c r="AH29" i="15"/>
  <c r="AI29" i="15"/>
  <c r="AK29" i="15"/>
  <c r="AL29" i="15"/>
  <c r="AM29" i="15"/>
  <c r="AN29" i="15"/>
  <c r="AO29" i="15"/>
  <c r="AQ29" i="15"/>
  <c r="AX29" i="15"/>
  <c r="AZ29" i="15"/>
  <c r="BE29" i="15"/>
  <c r="BG29" i="15"/>
  <c r="BM29" i="15"/>
  <c r="C30" i="15"/>
  <c r="O30" i="15"/>
  <c r="AB30" i="15"/>
  <c r="AC30" i="15"/>
  <c r="AE30" i="15"/>
  <c r="AF30" i="15"/>
  <c r="AH30" i="15"/>
  <c r="AI30" i="15"/>
  <c r="AK30" i="15"/>
  <c r="AL30" i="15"/>
  <c r="AM30" i="15"/>
  <c r="AN30" i="15"/>
  <c r="AO30" i="15"/>
  <c r="AQ30" i="15"/>
  <c r="AX30" i="15"/>
  <c r="AZ30" i="15"/>
  <c r="BE30" i="15"/>
  <c r="BG30" i="15"/>
  <c r="BM30" i="15"/>
  <c r="C31" i="15"/>
  <c r="O31" i="15"/>
  <c r="Q31" i="15"/>
  <c r="S31" i="15"/>
  <c r="T31" i="15"/>
  <c r="U31" i="15"/>
  <c r="V31" i="15"/>
  <c r="W31" i="15"/>
  <c r="X31" i="15"/>
  <c r="Y31" i="15"/>
  <c r="Z31" i="15"/>
  <c r="AA31" i="15"/>
  <c r="AB31" i="15"/>
  <c r="AC31" i="15"/>
  <c r="AE31" i="15"/>
  <c r="AF31" i="15"/>
  <c r="AH31" i="15"/>
  <c r="AI31" i="15"/>
  <c r="AK31" i="15"/>
  <c r="AL31" i="15"/>
  <c r="AM31" i="15"/>
  <c r="AN31" i="15"/>
  <c r="AO31" i="15"/>
  <c r="AQ31" i="15"/>
  <c r="AS31" i="15"/>
  <c r="AU31" i="15"/>
  <c r="AV31" i="15"/>
  <c r="AW31" i="15"/>
  <c r="AX31" i="15"/>
  <c r="AY31" i="15"/>
  <c r="AZ31" i="15"/>
  <c r="BB31" i="15"/>
  <c r="BC31" i="15"/>
  <c r="BD31" i="15"/>
  <c r="BE31" i="15"/>
  <c r="BF31" i="15"/>
  <c r="BG31" i="15"/>
  <c r="BI31" i="15"/>
  <c r="BM31" i="15"/>
  <c r="C32" i="15"/>
  <c r="O32" i="15"/>
  <c r="AB32" i="15"/>
  <c r="AC32" i="15"/>
  <c r="AE32" i="15"/>
  <c r="AF32" i="15"/>
  <c r="AH32" i="15"/>
  <c r="AI32" i="15"/>
  <c r="AK32" i="15"/>
  <c r="AL32" i="15"/>
  <c r="AM32" i="15"/>
  <c r="AN32" i="15"/>
  <c r="AO32" i="15"/>
  <c r="AQ32" i="15"/>
  <c r="AX32" i="15"/>
  <c r="AZ32" i="15"/>
  <c r="BE32" i="15"/>
  <c r="BG32" i="15"/>
  <c r="BM32" i="15"/>
  <c r="C33" i="15"/>
  <c r="O33" i="15"/>
  <c r="AB33" i="15"/>
  <c r="AC33" i="15"/>
  <c r="AE33" i="15"/>
  <c r="AF33" i="15"/>
  <c r="AH33" i="15"/>
  <c r="AI33" i="15"/>
  <c r="AK33" i="15"/>
  <c r="AL33" i="15"/>
  <c r="AM33" i="15"/>
  <c r="AN33" i="15"/>
  <c r="AO33" i="15"/>
  <c r="AQ33" i="15"/>
  <c r="AX33" i="15"/>
  <c r="AZ33" i="15"/>
  <c r="BE33" i="15"/>
  <c r="BG33" i="15"/>
  <c r="BM33" i="15"/>
  <c r="C34" i="15"/>
  <c r="O34" i="15"/>
  <c r="AB34" i="15"/>
  <c r="AC34" i="15"/>
  <c r="AE34" i="15"/>
  <c r="AF34" i="15"/>
  <c r="AH34" i="15"/>
  <c r="AI34" i="15"/>
  <c r="AK34" i="15"/>
  <c r="AL34" i="15"/>
  <c r="AM34" i="15"/>
  <c r="AN34" i="15"/>
  <c r="AO34" i="15"/>
  <c r="AQ34" i="15"/>
  <c r="AX34" i="15"/>
  <c r="AZ34" i="15"/>
  <c r="BE34" i="15"/>
  <c r="BG34" i="15"/>
  <c r="BM34" i="15"/>
  <c r="C35" i="15"/>
  <c r="O35" i="15"/>
  <c r="AB35" i="15"/>
  <c r="AC35" i="15"/>
  <c r="AE35" i="15"/>
  <c r="AF35" i="15"/>
  <c r="AH35" i="15"/>
  <c r="AI35" i="15"/>
  <c r="AK35" i="15"/>
  <c r="AL35" i="15"/>
  <c r="AM35" i="15"/>
  <c r="AN35" i="15"/>
  <c r="AO35" i="15"/>
  <c r="AQ35" i="15"/>
  <c r="AX35" i="15"/>
  <c r="AZ35" i="15"/>
  <c r="BE35" i="15"/>
  <c r="BG35" i="15"/>
  <c r="BM35" i="15"/>
  <c r="C36" i="15"/>
  <c r="O36" i="15"/>
  <c r="AB36" i="15"/>
  <c r="AC36" i="15"/>
  <c r="AE36" i="15"/>
  <c r="AF36" i="15"/>
  <c r="AH36" i="15"/>
  <c r="AI36" i="15"/>
  <c r="AK36" i="15"/>
  <c r="AL36" i="15"/>
  <c r="AM36" i="15"/>
  <c r="AN36" i="15"/>
  <c r="AO36" i="15"/>
  <c r="AQ36" i="15"/>
  <c r="AX36" i="15"/>
  <c r="AZ36" i="15"/>
  <c r="BE36" i="15"/>
  <c r="BG36" i="15"/>
  <c r="BM36" i="15"/>
  <c r="C37" i="15"/>
  <c r="O37" i="15"/>
  <c r="AB37" i="15"/>
  <c r="AC37" i="15"/>
  <c r="AE37" i="15"/>
  <c r="AF37" i="15"/>
  <c r="AH37" i="15"/>
  <c r="AI37" i="15"/>
  <c r="AK37" i="15"/>
  <c r="AL37" i="15"/>
  <c r="AM37" i="15"/>
  <c r="AN37" i="15"/>
  <c r="AO37" i="15"/>
  <c r="AQ37" i="15"/>
  <c r="AX37" i="15"/>
  <c r="AZ37" i="15"/>
  <c r="BE37" i="15"/>
  <c r="BG37" i="15"/>
  <c r="BM37" i="15"/>
  <c r="C38" i="15"/>
  <c r="O38" i="15"/>
  <c r="AB38" i="15"/>
  <c r="AC38" i="15"/>
  <c r="AE38" i="15"/>
  <c r="AF38" i="15"/>
  <c r="AH38" i="15"/>
  <c r="AI38" i="15"/>
  <c r="AK38" i="15"/>
  <c r="AL38" i="15"/>
  <c r="AM38" i="15"/>
  <c r="AN38" i="15"/>
  <c r="AO38" i="15"/>
  <c r="AQ38" i="15"/>
  <c r="AX38" i="15"/>
  <c r="AZ38" i="15"/>
  <c r="BE38" i="15"/>
  <c r="BG38" i="15"/>
  <c r="BM38" i="15"/>
  <c r="C39" i="15"/>
  <c r="O39" i="15"/>
  <c r="AB39" i="15"/>
  <c r="AC39" i="15"/>
  <c r="AE39" i="15"/>
  <c r="AF39" i="15"/>
  <c r="AH39" i="15"/>
  <c r="AI39" i="15"/>
  <c r="AK39" i="15"/>
  <c r="AL39" i="15"/>
  <c r="AM39" i="15"/>
  <c r="AN39" i="15"/>
  <c r="AO39" i="15"/>
  <c r="AQ39" i="15"/>
  <c r="AX39" i="15"/>
  <c r="AZ39" i="15"/>
  <c r="BE39" i="15"/>
  <c r="BG39" i="15"/>
  <c r="BM39" i="15"/>
  <c r="C40" i="15"/>
  <c r="O40" i="15"/>
  <c r="AB40" i="15"/>
  <c r="AC40" i="15"/>
  <c r="AE40" i="15"/>
  <c r="AF40" i="15"/>
  <c r="AH40" i="15"/>
  <c r="AI40" i="15"/>
  <c r="AK40" i="15"/>
  <c r="AL40" i="15"/>
  <c r="AM40" i="15"/>
  <c r="AN40" i="15"/>
  <c r="AO40" i="15"/>
  <c r="AQ40" i="15"/>
  <c r="AX40" i="15"/>
  <c r="AZ40" i="15"/>
  <c r="BE40" i="15"/>
  <c r="BG40" i="15"/>
  <c r="BM40" i="15"/>
  <c r="C41" i="15"/>
  <c r="O41" i="15"/>
  <c r="AB41" i="15"/>
  <c r="AC41" i="15"/>
  <c r="AE41" i="15"/>
  <c r="AF41" i="15"/>
  <c r="AH41" i="15"/>
  <c r="AI41" i="15"/>
  <c r="AK41" i="15"/>
  <c r="AL41" i="15"/>
  <c r="AM41" i="15"/>
  <c r="AN41" i="15"/>
  <c r="AO41" i="15"/>
  <c r="AQ41" i="15"/>
  <c r="AX41" i="15"/>
  <c r="AZ41" i="15"/>
  <c r="BE41" i="15"/>
  <c r="BG41" i="15"/>
  <c r="BM41" i="15"/>
  <c r="C42" i="15"/>
  <c r="O42" i="15"/>
  <c r="AB42" i="15"/>
  <c r="AC42" i="15"/>
  <c r="AE42" i="15"/>
  <c r="AF42" i="15"/>
  <c r="AH42" i="15"/>
  <c r="AI42" i="15"/>
  <c r="AK42" i="15"/>
  <c r="AL42" i="15"/>
  <c r="AM42" i="15"/>
  <c r="AN42" i="15"/>
  <c r="AO42" i="15"/>
  <c r="AQ42" i="15"/>
  <c r="AX42" i="15"/>
  <c r="AZ42" i="15"/>
  <c r="BE42" i="15"/>
  <c r="BG42" i="15"/>
  <c r="BM42" i="15"/>
  <c r="C43" i="15"/>
  <c r="O43" i="15"/>
  <c r="AB43" i="15"/>
  <c r="AC43" i="15"/>
  <c r="AE43" i="15"/>
  <c r="AF43" i="15"/>
  <c r="AH43" i="15"/>
  <c r="AI43" i="15"/>
  <c r="AK43" i="15"/>
  <c r="AL43" i="15"/>
  <c r="AM43" i="15"/>
  <c r="AN43" i="15"/>
  <c r="AO43" i="15"/>
  <c r="AQ43" i="15"/>
  <c r="AX43" i="15"/>
  <c r="AZ43" i="15"/>
  <c r="BE43" i="15"/>
  <c r="BG43" i="15"/>
  <c r="BM43" i="15"/>
  <c r="C44" i="15"/>
  <c r="O44" i="15"/>
  <c r="AB44" i="15"/>
  <c r="AC44" i="15"/>
  <c r="AE44" i="15"/>
  <c r="AF44" i="15"/>
  <c r="AH44" i="15"/>
  <c r="AI44" i="15"/>
  <c r="AK44" i="15"/>
  <c r="AL44" i="15"/>
  <c r="AM44" i="15"/>
  <c r="AN44" i="15"/>
  <c r="AO44" i="15"/>
  <c r="AQ44" i="15"/>
  <c r="AX44" i="15"/>
  <c r="AZ44" i="15"/>
  <c r="BE44" i="15"/>
  <c r="BG44" i="15"/>
  <c r="BM44" i="15"/>
  <c r="C45" i="15"/>
  <c r="O45" i="15"/>
  <c r="Q45" i="15"/>
  <c r="S45" i="15"/>
  <c r="T45" i="15"/>
  <c r="U45" i="15"/>
  <c r="V45" i="15"/>
  <c r="W45" i="15"/>
  <c r="X45" i="15"/>
  <c r="Y45" i="15"/>
  <c r="Z45" i="15"/>
  <c r="AA45" i="15"/>
  <c r="AB45" i="15"/>
  <c r="AC45" i="15"/>
  <c r="AE45" i="15"/>
  <c r="AF45" i="15"/>
  <c r="AH45" i="15"/>
  <c r="AI45" i="15"/>
  <c r="AK45" i="15"/>
  <c r="AL45" i="15"/>
  <c r="AM45" i="15"/>
  <c r="AN45" i="15"/>
  <c r="AO45" i="15"/>
  <c r="AQ45" i="15"/>
  <c r="AS45" i="15"/>
  <c r="AU45" i="15"/>
  <c r="AV45" i="15"/>
  <c r="AW45" i="15"/>
  <c r="AX45" i="15"/>
  <c r="AY45" i="15"/>
  <c r="AZ45" i="15"/>
  <c r="BB45" i="15"/>
  <c r="BC45" i="15"/>
  <c r="BD45" i="15"/>
  <c r="BE45" i="15"/>
  <c r="BF45" i="15"/>
  <c r="BG45" i="15"/>
  <c r="BI45" i="15"/>
  <c r="BM45" i="15"/>
  <c r="C47" i="15"/>
  <c r="O47" i="15"/>
  <c r="AB47" i="15"/>
  <c r="AC47" i="15"/>
  <c r="AE47" i="15"/>
  <c r="AF47" i="15"/>
  <c r="AH47" i="15"/>
  <c r="AI47" i="15"/>
  <c r="AK47" i="15"/>
  <c r="AL47" i="15"/>
  <c r="AM47" i="15"/>
  <c r="AN47" i="15"/>
  <c r="AO47" i="15"/>
  <c r="AQ47" i="15"/>
  <c r="AX47" i="15"/>
  <c r="AZ47" i="15"/>
  <c r="BE47" i="15"/>
  <c r="BG47" i="15"/>
  <c r="BM47" i="15"/>
  <c r="C48" i="15"/>
  <c r="O48" i="15"/>
  <c r="AB48" i="15"/>
  <c r="AC48" i="15"/>
  <c r="AE48" i="15"/>
  <c r="AF48" i="15"/>
  <c r="AH48" i="15"/>
  <c r="AI48" i="15"/>
  <c r="AK48" i="15"/>
  <c r="AL48" i="15"/>
  <c r="AM48" i="15"/>
  <c r="AN48" i="15"/>
  <c r="AO48" i="15"/>
  <c r="AQ48" i="15"/>
  <c r="AX48" i="15"/>
  <c r="AZ48" i="15"/>
  <c r="BE48" i="15"/>
  <c r="BG48" i="15"/>
  <c r="BM48" i="15"/>
  <c r="C49" i="15"/>
  <c r="O49" i="15"/>
  <c r="AB49" i="15"/>
  <c r="AC49" i="15"/>
  <c r="AE49" i="15"/>
  <c r="AF49" i="15"/>
  <c r="AH49" i="15"/>
  <c r="AI49" i="15"/>
  <c r="AK49" i="15"/>
  <c r="AL49" i="15"/>
  <c r="AM49" i="15"/>
  <c r="AN49" i="15"/>
  <c r="AO49" i="15"/>
  <c r="AQ49" i="15"/>
  <c r="AX49" i="15"/>
  <c r="AZ49" i="15"/>
  <c r="BE49" i="15"/>
  <c r="BG49" i="15"/>
  <c r="BM49" i="15"/>
  <c r="C50" i="15"/>
  <c r="O50" i="15"/>
  <c r="AB50" i="15"/>
  <c r="AC50" i="15"/>
  <c r="AE50" i="15"/>
  <c r="AF50" i="15"/>
  <c r="AH50" i="15"/>
  <c r="AI50" i="15"/>
  <c r="AK50" i="15"/>
  <c r="AL50" i="15"/>
  <c r="AM50" i="15"/>
  <c r="AN50" i="15"/>
  <c r="AO50" i="15"/>
  <c r="AQ50" i="15"/>
  <c r="AX50" i="15"/>
  <c r="AZ50" i="15"/>
  <c r="BE50" i="15"/>
  <c r="BG50" i="15"/>
  <c r="BM50" i="15"/>
  <c r="C12" i="14"/>
  <c r="O12" i="14"/>
  <c r="Q12" i="14"/>
  <c r="R12" i="14"/>
  <c r="S12" i="14"/>
  <c r="T12" i="14"/>
  <c r="V12" i="14"/>
  <c r="X12" i="14"/>
  <c r="Y12" i="14"/>
  <c r="Z12" i="14"/>
  <c r="AA12" i="14"/>
  <c r="AG12" i="14"/>
  <c r="C13" i="14"/>
  <c r="O13" i="14"/>
  <c r="Q13" i="14"/>
  <c r="R13" i="14"/>
  <c r="S13" i="14"/>
  <c r="T13" i="14"/>
  <c r="V13" i="14"/>
  <c r="X13" i="14"/>
  <c r="Y13" i="14"/>
  <c r="Z13" i="14"/>
  <c r="AA13" i="14"/>
  <c r="AG13" i="14"/>
  <c r="C14" i="14"/>
  <c r="O14" i="14"/>
  <c r="Q14" i="14"/>
  <c r="R14" i="14"/>
  <c r="S14" i="14"/>
  <c r="T14" i="14"/>
  <c r="V14" i="14"/>
  <c r="X14" i="14"/>
  <c r="Y14" i="14"/>
  <c r="Z14" i="14"/>
  <c r="AA14" i="14"/>
  <c r="AG14" i="14"/>
  <c r="C15" i="14"/>
  <c r="O15" i="14"/>
  <c r="Q15" i="14"/>
  <c r="R15" i="14"/>
  <c r="S15" i="14"/>
  <c r="T15" i="14"/>
  <c r="V15" i="14"/>
  <c r="X15" i="14"/>
  <c r="Y15" i="14"/>
  <c r="Z15" i="14"/>
  <c r="AA15" i="14"/>
  <c r="AG15" i="14"/>
  <c r="C16" i="14"/>
  <c r="O16" i="14"/>
  <c r="Q16" i="14"/>
  <c r="R16" i="14"/>
  <c r="S16" i="14"/>
  <c r="T16" i="14"/>
  <c r="V16" i="14"/>
  <c r="X16" i="14"/>
  <c r="Y16" i="14"/>
  <c r="Z16" i="14"/>
  <c r="AA16" i="14"/>
  <c r="AG16" i="14"/>
  <c r="C18" i="14"/>
  <c r="O18" i="14"/>
  <c r="Q18" i="14"/>
  <c r="R18" i="14"/>
  <c r="S18" i="14"/>
  <c r="T18" i="14"/>
  <c r="V18" i="14"/>
  <c r="X18" i="14"/>
  <c r="Y18" i="14"/>
  <c r="Z18" i="14"/>
  <c r="AA18" i="14"/>
  <c r="AG18" i="14"/>
  <c r="C19" i="14"/>
  <c r="O19" i="14"/>
  <c r="Q19" i="14"/>
  <c r="R19" i="14"/>
  <c r="S19" i="14"/>
  <c r="T19" i="14"/>
  <c r="V19" i="14"/>
  <c r="X19" i="14"/>
  <c r="Y19" i="14"/>
  <c r="Z19" i="14"/>
  <c r="AA19" i="14"/>
  <c r="AG19" i="14"/>
  <c r="C20" i="14"/>
  <c r="O20" i="14"/>
  <c r="Q20" i="14"/>
  <c r="R20" i="14"/>
  <c r="S20" i="14"/>
  <c r="T20" i="14"/>
  <c r="V20" i="14"/>
  <c r="X20" i="14"/>
  <c r="Y20" i="14"/>
  <c r="Z20" i="14"/>
  <c r="AA20" i="14"/>
  <c r="AG20" i="14"/>
  <c r="C21" i="14"/>
  <c r="O21" i="14"/>
  <c r="Q21" i="14"/>
  <c r="R21" i="14"/>
  <c r="S21" i="14"/>
  <c r="T21" i="14"/>
  <c r="V21" i="14"/>
  <c r="X21" i="14"/>
  <c r="Y21" i="14"/>
  <c r="Z21" i="14"/>
  <c r="AA21" i="14"/>
  <c r="AG21" i="14"/>
  <c r="C22" i="14"/>
  <c r="O22" i="14"/>
  <c r="Q22" i="14"/>
  <c r="R22" i="14"/>
  <c r="S22" i="14"/>
  <c r="T22" i="14"/>
  <c r="V22" i="14"/>
  <c r="X22" i="14"/>
  <c r="Y22" i="14"/>
  <c r="Z22" i="14"/>
  <c r="AA22" i="14"/>
  <c r="AG22" i="14"/>
  <c r="C23" i="14"/>
  <c r="O23" i="14"/>
  <c r="Q23" i="14"/>
  <c r="R23" i="14"/>
  <c r="S23" i="14"/>
  <c r="T23" i="14"/>
  <c r="V23" i="14"/>
  <c r="X23" i="14"/>
  <c r="Y23" i="14"/>
  <c r="Z23" i="14"/>
  <c r="AA23" i="14"/>
  <c r="AG23" i="14"/>
  <c r="C24" i="14"/>
  <c r="O24" i="14"/>
  <c r="Q24" i="14"/>
  <c r="R24" i="14"/>
  <c r="S24" i="14"/>
  <c r="T24" i="14"/>
  <c r="V24" i="14"/>
  <c r="X24" i="14"/>
  <c r="Y24" i="14"/>
  <c r="Z24" i="14"/>
  <c r="AA24" i="14"/>
  <c r="AG24" i="14"/>
  <c r="C25" i="14"/>
  <c r="O25" i="14"/>
  <c r="Q25" i="14"/>
  <c r="R25" i="14"/>
  <c r="S25" i="14"/>
  <c r="T25" i="14"/>
  <c r="V25" i="14"/>
  <c r="X25" i="14"/>
  <c r="Y25" i="14"/>
  <c r="Z25" i="14"/>
  <c r="AA25" i="14"/>
  <c r="AG25" i="14"/>
  <c r="C26" i="14"/>
  <c r="O26" i="14"/>
  <c r="Q26" i="14"/>
  <c r="R26" i="14"/>
  <c r="S26" i="14"/>
  <c r="T26" i="14"/>
  <c r="V26" i="14"/>
  <c r="X26" i="14"/>
  <c r="Y26" i="14"/>
  <c r="Z26" i="14"/>
  <c r="AA26" i="14"/>
  <c r="AG26" i="14"/>
  <c r="C27" i="14"/>
  <c r="O27" i="14"/>
  <c r="Q27" i="14"/>
  <c r="R27" i="14"/>
  <c r="S27" i="14"/>
  <c r="T27" i="14"/>
  <c r="V27" i="14"/>
  <c r="X27" i="14"/>
  <c r="Y27" i="14"/>
  <c r="Z27" i="14"/>
  <c r="AA27" i="14"/>
  <c r="AG27" i="14"/>
  <c r="C28" i="14"/>
  <c r="O28" i="14"/>
  <c r="Q28" i="14"/>
  <c r="R28" i="14"/>
  <c r="S28" i="14"/>
  <c r="T28" i="14"/>
  <c r="V28" i="14"/>
  <c r="X28" i="14"/>
  <c r="Y28" i="14"/>
  <c r="Z28" i="14"/>
  <c r="AA28" i="14"/>
  <c r="AG28" i="14"/>
  <c r="C29" i="14"/>
  <c r="O29" i="14"/>
  <c r="Q29" i="14"/>
  <c r="R29" i="14"/>
  <c r="S29" i="14"/>
  <c r="T29" i="14"/>
  <c r="V29" i="14"/>
  <c r="X29" i="14"/>
  <c r="Y29" i="14"/>
  <c r="Z29" i="14"/>
  <c r="AA29" i="14"/>
  <c r="AG29" i="14"/>
  <c r="C30" i="14"/>
  <c r="O30" i="14"/>
  <c r="Q30" i="14"/>
  <c r="R30" i="14"/>
  <c r="S30" i="14"/>
  <c r="T30" i="14"/>
  <c r="V30" i="14"/>
  <c r="X30" i="14"/>
  <c r="Y30" i="14"/>
  <c r="Z30" i="14"/>
  <c r="AA30" i="14"/>
  <c r="AG30" i="14"/>
  <c r="C32" i="14"/>
  <c r="O32" i="14"/>
  <c r="Q32" i="14"/>
  <c r="R32" i="14"/>
  <c r="S32" i="14"/>
  <c r="T32" i="14"/>
  <c r="V32" i="14"/>
  <c r="X32" i="14"/>
  <c r="Y32" i="14"/>
  <c r="Z32" i="14"/>
  <c r="AA32" i="14"/>
  <c r="AG32" i="14"/>
  <c r="C33" i="14"/>
  <c r="O33" i="14"/>
  <c r="Q33" i="14"/>
  <c r="R33" i="14"/>
  <c r="S33" i="14"/>
  <c r="T33" i="14"/>
  <c r="V33" i="14"/>
  <c r="X33" i="14"/>
  <c r="Y33" i="14"/>
  <c r="Z33" i="14"/>
  <c r="AA33" i="14"/>
  <c r="AG33" i="14"/>
  <c r="C34" i="14"/>
  <c r="O34" i="14"/>
  <c r="Q34" i="14"/>
  <c r="R34" i="14"/>
  <c r="S34" i="14"/>
  <c r="T34" i="14"/>
  <c r="V34" i="14"/>
  <c r="X34" i="14"/>
  <c r="Y34" i="14"/>
  <c r="Z34" i="14"/>
  <c r="AA34" i="14"/>
  <c r="AG34" i="14"/>
  <c r="C35" i="14"/>
  <c r="O35" i="14"/>
  <c r="Q35" i="14"/>
  <c r="R35" i="14"/>
  <c r="S35" i="14"/>
  <c r="T35" i="14"/>
  <c r="V35" i="14"/>
  <c r="X35" i="14"/>
  <c r="Y35" i="14"/>
  <c r="Z35" i="14"/>
  <c r="AA35" i="14"/>
  <c r="AG35" i="14"/>
  <c r="C36" i="14"/>
  <c r="O36" i="14"/>
  <c r="Q36" i="14"/>
  <c r="R36" i="14"/>
  <c r="S36" i="14"/>
  <c r="T36" i="14"/>
  <c r="V36" i="14"/>
  <c r="X36" i="14"/>
  <c r="Y36" i="14"/>
  <c r="Z36" i="14"/>
  <c r="AA36" i="14"/>
  <c r="AG36" i="14"/>
  <c r="C37" i="14"/>
  <c r="O37" i="14"/>
  <c r="Q37" i="14"/>
  <c r="R37" i="14"/>
  <c r="S37" i="14"/>
  <c r="T37" i="14"/>
  <c r="V37" i="14"/>
  <c r="X37" i="14"/>
  <c r="Y37" i="14"/>
  <c r="Z37" i="14"/>
  <c r="AA37" i="14"/>
  <c r="AG37" i="14"/>
  <c r="C38" i="14"/>
  <c r="O38" i="14"/>
  <c r="Q38" i="14"/>
  <c r="R38" i="14"/>
  <c r="S38" i="14"/>
  <c r="T38" i="14"/>
  <c r="V38" i="14"/>
  <c r="X38" i="14"/>
  <c r="Y38" i="14"/>
  <c r="Z38" i="14"/>
  <c r="AA38" i="14"/>
  <c r="AG38" i="14"/>
  <c r="C39" i="14"/>
  <c r="O39" i="14"/>
  <c r="Q39" i="14"/>
  <c r="R39" i="14"/>
  <c r="S39" i="14"/>
  <c r="T39" i="14"/>
  <c r="V39" i="14"/>
  <c r="X39" i="14"/>
  <c r="Y39" i="14"/>
  <c r="Z39" i="14"/>
  <c r="AA39" i="14"/>
  <c r="AG39" i="14"/>
  <c r="C40" i="14"/>
  <c r="O40" i="14"/>
  <c r="Q40" i="14"/>
  <c r="R40" i="14"/>
  <c r="S40" i="14"/>
  <c r="T40" i="14"/>
  <c r="V40" i="14"/>
  <c r="X40" i="14"/>
  <c r="Y40" i="14"/>
  <c r="Z40" i="14"/>
  <c r="AA40" i="14"/>
  <c r="AG40" i="14"/>
  <c r="C41" i="14"/>
  <c r="O41" i="14"/>
  <c r="Q41" i="14"/>
  <c r="R41" i="14"/>
  <c r="S41" i="14"/>
  <c r="T41" i="14"/>
  <c r="V41" i="14"/>
  <c r="X41" i="14"/>
  <c r="Y41" i="14"/>
  <c r="Z41" i="14"/>
  <c r="AA41" i="14"/>
  <c r="AG41" i="14"/>
  <c r="C42" i="14"/>
  <c r="O42" i="14"/>
  <c r="Q42" i="14"/>
  <c r="R42" i="14"/>
  <c r="S42" i="14"/>
  <c r="T42" i="14"/>
  <c r="V42" i="14"/>
  <c r="X42" i="14"/>
  <c r="Y42" i="14"/>
  <c r="Z42" i="14"/>
  <c r="AA42" i="14"/>
  <c r="AG42" i="14"/>
  <c r="C43" i="14"/>
  <c r="O43" i="14"/>
  <c r="Q43" i="14"/>
  <c r="R43" i="14"/>
  <c r="S43" i="14"/>
  <c r="T43" i="14"/>
  <c r="V43" i="14"/>
  <c r="X43" i="14"/>
  <c r="Y43" i="14"/>
  <c r="Z43" i="14"/>
  <c r="AA43" i="14"/>
  <c r="AG43" i="14"/>
  <c r="C44" i="14"/>
  <c r="O44" i="14"/>
  <c r="Q44" i="14"/>
  <c r="R44" i="14"/>
  <c r="S44" i="14"/>
  <c r="T44" i="14"/>
  <c r="V44" i="14"/>
  <c r="X44" i="14"/>
  <c r="Y44" i="14"/>
  <c r="Z44" i="14"/>
  <c r="AA44" i="14"/>
  <c r="AG44" i="14"/>
  <c r="C45" i="14"/>
  <c r="O45" i="14"/>
  <c r="Q45" i="14"/>
  <c r="R45" i="14"/>
  <c r="S45" i="14"/>
  <c r="T45" i="14"/>
  <c r="U45" i="14"/>
  <c r="V45" i="14"/>
  <c r="W45" i="14"/>
  <c r="X45" i="14"/>
  <c r="Y45" i="14"/>
  <c r="Z45" i="14"/>
  <c r="AA45" i="14"/>
  <c r="AC45" i="14"/>
  <c r="AG45" i="14"/>
  <c r="C47" i="14"/>
  <c r="O47" i="14"/>
  <c r="Q47" i="14"/>
  <c r="R47" i="14"/>
  <c r="S47" i="14"/>
  <c r="T47" i="14"/>
  <c r="V47" i="14"/>
  <c r="X47" i="14"/>
  <c r="Y47" i="14"/>
  <c r="Z47" i="14"/>
  <c r="AA47" i="14"/>
  <c r="AG47" i="14"/>
  <c r="C48" i="14"/>
  <c r="O48" i="14"/>
  <c r="Q48" i="14"/>
  <c r="R48" i="14"/>
  <c r="S48" i="14"/>
  <c r="T48" i="14"/>
  <c r="V48" i="14"/>
  <c r="X48" i="14"/>
  <c r="Y48" i="14"/>
  <c r="Z48" i="14"/>
  <c r="AA48" i="14"/>
  <c r="AG48" i="14"/>
  <c r="C49" i="14"/>
  <c r="O49" i="14"/>
  <c r="Q49" i="14"/>
  <c r="R49" i="14"/>
  <c r="S49" i="14"/>
  <c r="T49" i="14"/>
  <c r="V49" i="14"/>
  <c r="X49" i="14"/>
  <c r="Y49" i="14"/>
  <c r="Z49" i="14"/>
  <c r="AA49" i="14"/>
  <c r="AG49" i="14"/>
  <c r="C50" i="14"/>
  <c r="O50" i="14"/>
  <c r="Q50" i="14"/>
  <c r="R50" i="14"/>
  <c r="S50" i="14"/>
  <c r="T50" i="14"/>
  <c r="V50" i="14"/>
  <c r="X50" i="14"/>
  <c r="Y50" i="14"/>
  <c r="Z50" i="14"/>
  <c r="AA50" i="14"/>
  <c r="AG50" i="14"/>
  <c r="C12" i="20"/>
  <c r="AF12" i="24"/>
  <c r="E12" i="20"/>
  <c r="AG12" i="24"/>
  <c r="F12" i="20"/>
  <c r="G12" i="20"/>
  <c r="H12" i="20"/>
  <c r="I12" i="20"/>
  <c r="J12" i="20"/>
  <c r="AL12" i="24"/>
  <c r="K12" i="20"/>
  <c r="L12" i="20"/>
  <c r="AN12" i="24"/>
  <c r="M12" i="20"/>
  <c r="AO12" i="24"/>
  <c r="N12" i="20"/>
  <c r="AP12" i="24"/>
  <c r="O12" i="20"/>
  <c r="Q12" i="20"/>
  <c r="T12" i="20"/>
  <c r="U12" i="20"/>
  <c r="V12" i="20"/>
  <c r="W12" i="20"/>
  <c r="X12" i="20"/>
  <c r="Y12" i="20"/>
  <c r="AA12" i="20"/>
  <c r="AB12" i="20"/>
  <c r="AC12" i="20"/>
  <c r="AD12" i="20"/>
  <c r="AE12" i="20"/>
  <c r="AF12" i="20"/>
  <c r="C13" i="20"/>
  <c r="AF13" i="24"/>
  <c r="E13" i="20"/>
  <c r="AG13" i="24"/>
  <c r="F13" i="20"/>
  <c r="G13" i="20"/>
  <c r="H13" i="20"/>
  <c r="I13" i="20"/>
  <c r="J13" i="20"/>
  <c r="AL13" i="24"/>
  <c r="K13" i="20"/>
  <c r="L13" i="20"/>
  <c r="AN13" i="24"/>
  <c r="M13" i="20"/>
  <c r="AO13" i="24"/>
  <c r="N13" i="20"/>
  <c r="AP13" i="24"/>
  <c r="O13" i="20"/>
  <c r="Q13" i="20"/>
  <c r="T13" i="20"/>
  <c r="U13" i="20"/>
  <c r="V13" i="20"/>
  <c r="W13" i="20"/>
  <c r="X13" i="20"/>
  <c r="Y13" i="20"/>
  <c r="AA13" i="20"/>
  <c r="AB13" i="20"/>
  <c r="AC13" i="20"/>
  <c r="AD13" i="20"/>
  <c r="AE13" i="20"/>
  <c r="AF13" i="20"/>
  <c r="C14" i="20"/>
  <c r="AF14" i="24"/>
  <c r="E14" i="20"/>
  <c r="AG14" i="24"/>
  <c r="F14" i="20"/>
  <c r="G14" i="20"/>
  <c r="H14" i="20"/>
  <c r="I14" i="20"/>
  <c r="J14" i="20"/>
  <c r="AL14" i="24"/>
  <c r="K14" i="20"/>
  <c r="L14" i="20"/>
  <c r="AN14" i="24"/>
  <c r="M14" i="20"/>
  <c r="AO14" i="24"/>
  <c r="N14" i="20"/>
  <c r="AP14" i="24"/>
  <c r="O14" i="20"/>
  <c r="Q14" i="20"/>
  <c r="T14" i="20"/>
  <c r="U14" i="20"/>
  <c r="V14" i="20"/>
  <c r="W14" i="20"/>
  <c r="X14" i="20"/>
  <c r="Y14" i="20"/>
  <c r="AA14" i="20"/>
  <c r="AB14" i="20"/>
  <c r="AC14" i="20"/>
  <c r="AD14" i="20"/>
  <c r="AE14" i="20"/>
  <c r="AF14" i="20"/>
  <c r="C15" i="20"/>
  <c r="AF15" i="24"/>
  <c r="E15" i="20"/>
  <c r="AG15" i="24"/>
  <c r="F15" i="20"/>
  <c r="G15" i="20"/>
  <c r="H15" i="20"/>
  <c r="I15" i="20"/>
  <c r="J15" i="20"/>
  <c r="AL15" i="24"/>
  <c r="K15" i="20"/>
  <c r="L15" i="20"/>
  <c r="AN15" i="24"/>
  <c r="M15" i="20"/>
  <c r="AO15" i="24"/>
  <c r="N15" i="20"/>
  <c r="AP15" i="24"/>
  <c r="O15" i="20"/>
  <c r="Q15" i="20"/>
  <c r="T15" i="20"/>
  <c r="U15" i="20"/>
  <c r="V15" i="20"/>
  <c r="W15" i="20"/>
  <c r="X15" i="20"/>
  <c r="Y15" i="20"/>
  <c r="AA15" i="20"/>
  <c r="AB15" i="20"/>
  <c r="AC15" i="20"/>
  <c r="AD15" i="20"/>
  <c r="AE15" i="20"/>
  <c r="AF15" i="20"/>
  <c r="C16" i="20"/>
  <c r="AF16" i="24"/>
  <c r="E16" i="20"/>
  <c r="AG16" i="24"/>
  <c r="F16" i="20"/>
  <c r="G16" i="20"/>
  <c r="H16" i="20"/>
  <c r="I16" i="20"/>
  <c r="J16" i="20"/>
  <c r="AL16" i="24"/>
  <c r="K16" i="20"/>
  <c r="L16" i="20"/>
  <c r="AN16" i="24"/>
  <c r="M16" i="20"/>
  <c r="AO16" i="24"/>
  <c r="N16" i="20"/>
  <c r="AP16" i="24"/>
  <c r="O16" i="20"/>
  <c r="Q16" i="20"/>
  <c r="T16" i="20"/>
  <c r="U16" i="20"/>
  <c r="V16" i="20"/>
  <c r="W16" i="20"/>
  <c r="X16" i="20"/>
  <c r="Y16" i="20"/>
  <c r="AA16" i="20"/>
  <c r="AB16" i="20"/>
  <c r="AC16" i="20"/>
  <c r="AD16" i="20"/>
  <c r="AE16" i="20"/>
  <c r="AF16" i="20"/>
  <c r="C18" i="20"/>
  <c r="AF18" i="24"/>
  <c r="E18" i="20"/>
  <c r="AG18" i="24"/>
  <c r="F18" i="20"/>
  <c r="G18" i="20"/>
  <c r="H18" i="20"/>
  <c r="I18" i="20"/>
  <c r="J18" i="20"/>
  <c r="AL18" i="24"/>
  <c r="K18" i="20"/>
  <c r="L18" i="20"/>
  <c r="AN18" i="24"/>
  <c r="M18" i="20"/>
  <c r="AO18" i="24"/>
  <c r="N18" i="20"/>
  <c r="AP18" i="24"/>
  <c r="O18" i="20"/>
  <c r="Q18" i="20"/>
  <c r="T18" i="20"/>
  <c r="U18" i="20"/>
  <c r="V18" i="20"/>
  <c r="W18" i="20"/>
  <c r="X18" i="20"/>
  <c r="Y18" i="20"/>
  <c r="AA18" i="20"/>
  <c r="AB18" i="20"/>
  <c r="AC18" i="20"/>
  <c r="AD18" i="20"/>
  <c r="AE18" i="20"/>
  <c r="AF18" i="20"/>
  <c r="C19" i="20"/>
  <c r="AF19" i="24"/>
  <c r="E19" i="20"/>
  <c r="AG19" i="24"/>
  <c r="F19" i="20"/>
  <c r="G19" i="20"/>
  <c r="H19" i="20"/>
  <c r="I19" i="20"/>
  <c r="J19" i="20"/>
  <c r="AL19" i="24"/>
  <c r="K19" i="20"/>
  <c r="L19" i="20"/>
  <c r="AN19" i="24"/>
  <c r="M19" i="20"/>
  <c r="AO19" i="24"/>
  <c r="N19" i="20"/>
  <c r="AP19" i="24"/>
  <c r="O19" i="20"/>
  <c r="Q19" i="20"/>
  <c r="T19" i="20"/>
  <c r="U19" i="20"/>
  <c r="V19" i="20"/>
  <c r="W19" i="20"/>
  <c r="X19" i="20"/>
  <c r="Y19" i="20"/>
  <c r="AA19" i="20"/>
  <c r="AB19" i="20"/>
  <c r="AC19" i="20"/>
  <c r="AD19" i="20"/>
  <c r="AE19" i="20"/>
  <c r="C20" i="20"/>
  <c r="AF20" i="24"/>
  <c r="E20" i="20"/>
  <c r="AG20" i="24"/>
  <c r="F20" i="20"/>
  <c r="G20" i="20"/>
  <c r="H20" i="20"/>
  <c r="I20" i="20"/>
  <c r="J20" i="20"/>
  <c r="AL20" i="24"/>
  <c r="K20" i="20"/>
  <c r="L20" i="20"/>
  <c r="AN20" i="24"/>
  <c r="M20" i="20"/>
  <c r="AO20" i="24"/>
  <c r="N20" i="20"/>
  <c r="AP20" i="24"/>
  <c r="O20" i="20"/>
  <c r="Q20" i="20"/>
  <c r="T20" i="20"/>
  <c r="U20" i="20"/>
  <c r="V20" i="20"/>
  <c r="W20" i="20"/>
  <c r="X20" i="20"/>
  <c r="Y20" i="20"/>
  <c r="AA20" i="20"/>
  <c r="AB20" i="20"/>
  <c r="AC20" i="20"/>
  <c r="AD20" i="20"/>
  <c r="AE20" i="20"/>
  <c r="C21" i="20"/>
  <c r="AF21" i="24"/>
  <c r="E21" i="20"/>
  <c r="AG21" i="24"/>
  <c r="F21" i="20"/>
  <c r="G21" i="20"/>
  <c r="H21" i="20"/>
  <c r="I21" i="20"/>
  <c r="J21" i="20"/>
  <c r="AL21" i="24"/>
  <c r="K21" i="20"/>
  <c r="L21" i="20"/>
  <c r="AN21" i="24"/>
  <c r="M21" i="20"/>
  <c r="AO21" i="24"/>
  <c r="N21" i="20"/>
  <c r="AP21" i="24"/>
  <c r="O21" i="20"/>
  <c r="Q21" i="20"/>
  <c r="T21" i="20"/>
  <c r="U21" i="20"/>
  <c r="V21" i="20"/>
  <c r="W21" i="20"/>
  <c r="X21" i="20"/>
  <c r="Y21" i="20"/>
  <c r="AA21" i="20"/>
  <c r="AB21" i="20"/>
  <c r="AC21" i="20"/>
  <c r="AD21" i="20"/>
  <c r="AE21" i="20"/>
  <c r="C22" i="20"/>
  <c r="AF22" i="24"/>
  <c r="E22" i="20"/>
  <c r="AG22" i="24"/>
  <c r="F22" i="20"/>
  <c r="G22" i="20"/>
  <c r="H22" i="20"/>
  <c r="I22" i="20"/>
  <c r="J22" i="20"/>
  <c r="AL22" i="24"/>
  <c r="K22" i="20"/>
  <c r="L22" i="20"/>
  <c r="AN22" i="24"/>
  <c r="M22" i="20"/>
  <c r="AO22" i="24"/>
  <c r="N22" i="20"/>
  <c r="AP22" i="24"/>
  <c r="O22" i="20"/>
  <c r="Q22" i="20"/>
  <c r="T22" i="20"/>
  <c r="U22" i="20"/>
  <c r="V22" i="20"/>
  <c r="W22" i="20"/>
  <c r="X22" i="20"/>
  <c r="Y22" i="20"/>
  <c r="AA22" i="20"/>
  <c r="AB22" i="20"/>
  <c r="AC22" i="20"/>
  <c r="AD22" i="20"/>
  <c r="AE22" i="20"/>
  <c r="C23" i="20"/>
  <c r="AF23" i="24"/>
  <c r="E23" i="20"/>
  <c r="AG23" i="24"/>
  <c r="F23" i="20"/>
  <c r="G23" i="20"/>
  <c r="H23" i="20"/>
  <c r="I23" i="20"/>
  <c r="J23" i="20"/>
  <c r="AL23" i="24"/>
  <c r="K23" i="20"/>
  <c r="L23" i="20"/>
  <c r="AN23" i="24"/>
  <c r="M23" i="20"/>
  <c r="AO23" i="24"/>
  <c r="N23" i="20"/>
  <c r="AP23" i="24"/>
  <c r="O23" i="20"/>
  <c r="Q23" i="20"/>
  <c r="T23" i="20"/>
  <c r="U23" i="20"/>
  <c r="V23" i="20"/>
  <c r="W23" i="20"/>
  <c r="X23" i="20"/>
  <c r="Y23" i="20"/>
  <c r="AA23" i="20"/>
  <c r="AB23" i="20"/>
  <c r="AC23" i="20"/>
  <c r="AD23" i="20"/>
  <c r="AE23" i="20"/>
  <c r="C24" i="20"/>
  <c r="AF24" i="24"/>
  <c r="E24" i="20"/>
  <c r="AG24" i="24"/>
  <c r="F24" i="20"/>
  <c r="G24" i="20"/>
  <c r="H24" i="20"/>
  <c r="I24" i="20"/>
  <c r="J24" i="20"/>
  <c r="AL24" i="24"/>
  <c r="K24" i="20"/>
  <c r="L24" i="20"/>
  <c r="AN24" i="24"/>
  <c r="M24" i="20"/>
  <c r="AO24" i="24"/>
  <c r="N24" i="20"/>
  <c r="AP24" i="24"/>
  <c r="O24" i="20"/>
  <c r="Q24" i="20"/>
  <c r="T24" i="20"/>
  <c r="U24" i="20"/>
  <c r="V24" i="20"/>
  <c r="W24" i="20"/>
  <c r="X24" i="20"/>
  <c r="Y24" i="20"/>
  <c r="AA24" i="20"/>
  <c r="AB24" i="20"/>
  <c r="AC24" i="20"/>
  <c r="AD24" i="20"/>
  <c r="AE24" i="20"/>
  <c r="C25" i="20"/>
  <c r="AF25" i="24"/>
  <c r="E25" i="20"/>
  <c r="AG25" i="24"/>
  <c r="F25" i="20"/>
  <c r="G25" i="20"/>
  <c r="H25" i="20"/>
  <c r="I25" i="20"/>
  <c r="J25" i="20"/>
  <c r="AL25" i="24"/>
  <c r="K25" i="20"/>
  <c r="L25" i="20"/>
  <c r="AN25" i="24"/>
  <c r="M25" i="20"/>
  <c r="AO25" i="24"/>
  <c r="N25" i="20"/>
  <c r="AP25" i="24"/>
  <c r="O25" i="20"/>
  <c r="Q25" i="20"/>
  <c r="T25" i="20"/>
  <c r="U25" i="20"/>
  <c r="V25" i="20"/>
  <c r="W25" i="20"/>
  <c r="X25" i="20"/>
  <c r="Y25" i="20"/>
  <c r="AA25" i="20"/>
  <c r="AB25" i="20"/>
  <c r="AC25" i="20"/>
  <c r="AD25" i="20"/>
  <c r="AE25" i="20"/>
  <c r="C26" i="20"/>
  <c r="AF26" i="24"/>
  <c r="E26" i="20"/>
  <c r="AG26" i="24"/>
  <c r="F26" i="20"/>
  <c r="G26" i="20"/>
  <c r="H26" i="20"/>
  <c r="I26" i="20"/>
  <c r="J26" i="20"/>
  <c r="AL26" i="24"/>
  <c r="K26" i="20"/>
  <c r="L26" i="20"/>
  <c r="AN26" i="24"/>
  <c r="M26" i="20"/>
  <c r="AO26" i="24"/>
  <c r="N26" i="20"/>
  <c r="AP26" i="24"/>
  <c r="O26" i="20"/>
  <c r="Q26" i="20"/>
  <c r="T26" i="20"/>
  <c r="U26" i="20"/>
  <c r="V26" i="20"/>
  <c r="W26" i="20"/>
  <c r="X26" i="20"/>
  <c r="Y26" i="20"/>
  <c r="AA26" i="20"/>
  <c r="AB26" i="20"/>
  <c r="AC26" i="20"/>
  <c r="AD26" i="20"/>
  <c r="AE26" i="20"/>
  <c r="C27" i="20"/>
  <c r="AF27" i="24"/>
  <c r="E27" i="20"/>
  <c r="AG27" i="24"/>
  <c r="F27" i="20"/>
  <c r="G27" i="20"/>
  <c r="H27" i="20"/>
  <c r="I27" i="20"/>
  <c r="J27" i="20"/>
  <c r="AL27" i="24"/>
  <c r="K27" i="20"/>
  <c r="L27" i="20"/>
  <c r="AN27" i="24"/>
  <c r="M27" i="20"/>
  <c r="AO27" i="24"/>
  <c r="N27" i="20"/>
  <c r="AP27" i="24"/>
  <c r="O27" i="20"/>
  <c r="Q27" i="20"/>
  <c r="T27" i="20"/>
  <c r="U27" i="20"/>
  <c r="V27" i="20"/>
  <c r="W27" i="20"/>
  <c r="X27" i="20"/>
  <c r="Y27" i="20"/>
  <c r="AA27" i="20"/>
  <c r="AB27" i="20"/>
  <c r="AC27" i="20"/>
  <c r="AD27" i="20"/>
  <c r="AE27" i="20"/>
  <c r="C28" i="20"/>
  <c r="AF28" i="24"/>
  <c r="E28" i="20"/>
  <c r="AG28" i="24"/>
  <c r="F28" i="20"/>
  <c r="G28" i="20"/>
  <c r="H28" i="20"/>
  <c r="I28" i="20"/>
  <c r="J28" i="20"/>
  <c r="AL28" i="24"/>
  <c r="K28" i="20"/>
  <c r="L28" i="20"/>
  <c r="AN28" i="24"/>
  <c r="M28" i="20"/>
  <c r="AO28" i="24"/>
  <c r="N28" i="20"/>
  <c r="AP28" i="24"/>
  <c r="O28" i="20"/>
  <c r="Q28" i="20"/>
  <c r="T28" i="20"/>
  <c r="U28" i="20"/>
  <c r="V28" i="20"/>
  <c r="W28" i="20"/>
  <c r="X28" i="20"/>
  <c r="Y28" i="20"/>
  <c r="AA28" i="20"/>
  <c r="AB28" i="20"/>
  <c r="AC28" i="20"/>
  <c r="AD28" i="20"/>
  <c r="AE28" i="20"/>
  <c r="C29" i="20"/>
  <c r="AF29" i="24"/>
  <c r="E29" i="20"/>
  <c r="AG29" i="24"/>
  <c r="F29" i="20"/>
  <c r="G29" i="20"/>
  <c r="H29" i="20"/>
  <c r="I29" i="20"/>
  <c r="J29" i="20"/>
  <c r="AL29" i="24"/>
  <c r="K29" i="20"/>
  <c r="L29" i="20"/>
  <c r="AN29" i="24"/>
  <c r="M29" i="20"/>
  <c r="AO29" i="24"/>
  <c r="N29" i="20"/>
  <c r="AP29" i="24"/>
  <c r="O29" i="20"/>
  <c r="Q29" i="20"/>
  <c r="T29" i="20"/>
  <c r="U29" i="20"/>
  <c r="V29" i="20"/>
  <c r="W29" i="20"/>
  <c r="X29" i="20"/>
  <c r="Y29" i="20"/>
  <c r="AA29" i="20"/>
  <c r="AB29" i="20"/>
  <c r="AC29" i="20"/>
  <c r="AD29" i="20"/>
  <c r="AE29" i="20"/>
  <c r="C30" i="20"/>
  <c r="AF30" i="24"/>
  <c r="E30" i="20"/>
  <c r="AG30" i="24"/>
  <c r="F30" i="20"/>
  <c r="G30" i="20"/>
  <c r="H30" i="20"/>
  <c r="I30" i="20"/>
  <c r="AL30" i="24"/>
  <c r="K30" i="20"/>
  <c r="AN30" i="24"/>
  <c r="M30" i="20"/>
  <c r="AO30" i="24"/>
  <c r="N30" i="20"/>
  <c r="AP30" i="24"/>
  <c r="O30" i="20"/>
  <c r="Q30" i="20"/>
  <c r="T30" i="20"/>
  <c r="U30" i="20"/>
  <c r="V30" i="20"/>
  <c r="W30" i="20"/>
  <c r="X30" i="20"/>
  <c r="Y30" i="20"/>
  <c r="AA30" i="20"/>
  <c r="AB30" i="20"/>
  <c r="AC30" i="20"/>
  <c r="AD30" i="20"/>
  <c r="AE30" i="20"/>
  <c r="C32" i="20"/>
  <c r="AF32" i="24"/>
  <c r="E32" i="20"/>
  <c r="AG32" i="24"/>
  <c r="F32" i="20"/>
  <c r="G32" i="20"/>
  <c r="H32" i="20"/>
  <c r="I32" i="20"/>
  <c r="J32" i="20"/>
  <c r="AL32" i="24"/>
  <c r="K32" i="20"/>
  <c r="L32" i="20"/>
  <c r="AN32" i="24"/>
  <c r="M32" i="20"/>
  <c r="AO32" i="24"/>
  <c r="N32" i="20"/>
  <c r="AP32" i="24"/>
  <c r="O32" i="20"/>
  <c r="Q32" i="20"/>
  <c r="T32" i="20"/>
  <c r="U32" i="20"/>
  <c r="V32" i="20"/>
  <c r="W32" i="20"/>
  <c r="X32" i="20"/>
  <c r="Y32" i="20"/>
  <c r="AA32" i="20"/>
  <c r="AB32" i="20"/>
  <c r="AC32" i="20"/>
  <c r="AD32" i="20"/>
  <c r="AE32" i="20"/>
  <c r="AF32" i="20"/>
  <c r="C33" i="20"/>
  <c r="AF33" i="24"/>
  <c r="E33" i="20"/>
  <c r="AG33" i="24"/>
  <c r="F33" i="20"/>
  <c r="G33" i="20"/>
  <c r="H33" i="20"/>
  <c r="I33" i="20"/>
  <c r="J33" i="20"/>
  <c r="AL33" i="24"/>
  <c r="K33" i="20"/>
  <c r="L33" i="20"/>
  <c r="AN33" i="24"/>
  <c r="M33" i="20"/>
  <c r="AO33" i="24"/>
  <c r="N33" i="20"/>
  <c r="AP33" i="24"/>
  <c r="O33" i="20"/>
  <c r="Q33" i="20"/>
  <c r="T33" i="20"/>
  <c r="U33" i="20"/>
  <c r="V33" i="20"/>
  <c r="W33" i="20"/>
  <c r="X33" i="20"/>
  <c r="Y33" i="20"/>
  <c r="AA33" i="20"/>
  <c r="AB33" i="20"/>
  <c r="AC33" i="20"/>
  <c r="AD33" i="20"/>
  <c r="AE33" i="20"/>
  <c r="AF33" i="20"/>
  <c r="C34" i="20"/>
  <c r="AF34" i="24"/>
  <c r="E34" i="20"/>
  <c r="AG34" i="24"/>
  <c r="F34" i="20"/>
  <c r="G34" i="20"/>
  <c r="H34" i="20"/>
  <c r="I34" i="20"/>
  <c r="J34" i="20"/>
  <c r="AL34" i="24"/>
  <c r="K34" i="20"/>
  <c r="L34" i="20"/>
  <c r="AN34" i="24"/>
  <c r="M34" i="20"/>
  <c r="AO34" i="24"/>
  <c r="N34" i="20"/>
  <c r="AP34" i="24"/>
  <c r="O34" i="20"/>
  <c r="Q34" i="20"/>
  <c r="T34" i="20"/>
  <c r="U34" i="20"/>
  <c r="V34" i="20"/>
  <c r="W34" i="20"/>
  <c r="X34" i="20"/>
  <c r="Y34" i="20"/>
  <c r="AA34" i="20"/>
  <c r="AB34" i="20"/>
  <c r="AC34" i="20"/>
  <c r="AD34" i="20"/>
  <c r="AE34" i="20"/>
  <c r="AF34" i="20"/>
  <c r="C35" i="20"/>
  <c r="AF35" i="24"/>
  <c r="E35" i="20"/>
  <c r="AG35" i="24"/>
  <c r="F35" i="20"/>
  <c r="G35" i="20"/>
  <c r="H35" i="20"/>
  <c r="I35" i="20"/>
  <c r="J35" i="20"/>
  <c r="AL35" i="24"/>
  <c r="K35" i="20"/>
  <c r="L35" i="20"/>
  <c r="AN35" i="24"/>
  <c r="M35" i="20"/>
  <c r="AO35" i="24"/>
  <c r="N35" i="20"/>
  <c r="AP35" i="24"/>
  <c r="O35" i="20"/>
  <c r="Q35" i="20"/>
  <c r="T35" i="20"/>
  <c r="U35" i="20"/>
  <c r="V35" i="20"/>
  <c r="W35" i="20"/>
  <c r="X35" i="20"/>
  <c r="Y35" i="20"/>
  <c r="AA35" i="20"/>
  <c r="AB35" i="20"/>
  <c r="AC35" i="20"/>
  <c r="AD35" i="20"/>
  <c r="AE35" i="20"/>
  <c r="AF35" i="20"/>
  <c r="C36" i="20"/>
  <c r="AF36" i="24"/>
  <c r="E36" i="20"/>
  <c r="AG36" i="24"/>
  <c r="F36" i="20"/>
  <c r="G36" i="20"/>
  <c r="H36" i="20"/>
  <c r="I36" i="20"/>
  <c r="J36" i="20"/>
  <c r="AL36" i="24"/>
  <c r="K36" i="20"/>
  <c r="L36" i="20"/>
  <c r="AN36" i="24"/>
  <c r="M36" i="20"/>
  <c r="AO36" i="24"/>
  <c r="N36" i="20"/>
  <c r="AP36" i="24"/>
  <c r="O36" i="20"/>
  <c r="Q36" i="20"/>
  <c r="T36" i="20"/>
  <c r="U36" i="20"/>
  <c r="V36" i="20"/>
  <c r="W36" i="20"/>
  <c r="X36" i="20"/>
  <c r="Y36" i="20"/>
  <c r="AA36" i="20"/>
  <c r="AB36" i="20"/>
  <c r="AC36" i="20"/>
  <c r="AD36" i="20"/>
  <c r="AE36" i="20"/>
  <c r="AF36" i="20"/>
  <c r="C37" i="20"/>
  <c r="AF37" i="24"/>
  <c r="E37" i="20"/>
  <c r="AG37" i="24"/>
  <c r="F37" i="20"/>
  <c r="G37" i="20"/>
  <c r="H37" i="20"/>
  <c r="I37" i="20"/>
  <c r="J37" i="20"/>
  <c r="AL37" i="24"/>
  <c r="K37" i="20"/>
  <c r="L37" i="20"/>
  <c r="AN37" i="24"/>
  <c r="M37" i="20"/>
  <c r="AO37" i="24"/>
  <c r="N37" i="20"/>
  <c r="AP37" i="24"/>
  <c r="O37" i="20"/>
  <c r="Q37" i="20"/>
  <c r="T37" i="20"/>
  <c r="U37" i="20"/>
  <c r="V37" i="20"/>
  <c r="W37" i="20"/>
  <c r="X37" i="20"/>
  <c r="Y37" i="20"/>
  <c r="AA37" i="20"/>
  <c r="AB37" i="20"/>
  <c r="AC37" i="20"/>
  <c r="AD37" i="20"/>
  <c r="AE37" i="20"/>
  <c r="AF37" i="20"/>
  <c r="C38" i="20"/>
  <c r="AF38" i="24"/>
  <c r="E38" i="20"/>
  <c r="AG38" i="24"/>
  <c r="F38" i="20"/>
  <c r="G38" i="20"/>
  <c r="H38" i="20"/>
  <c r="I38" i="20"/>
  <c r="J38" i="20"/>
  <c r="AL38" i="24"/>
  <c r="K38" i="20"/>
  <c r="L38" i="20"/>
  <c r="AN38" i="24"/>
  <c r="M38" i="20"/>
  <c r="AO38" i="24"/>
  <c r="N38" i="20"/>
  <c r="AP38" i="24"/>
  <c r="O38" i="20"/>
  <c r="Q38" i="20"/>
  <c r="T38" i="20"/>
  <c r="U38" i="20"/>
  <c r="V38" i="20"/>
  <c r="W38" i="20"/>
  <c r="X38" i="20"/>
  <c r="Y38" i="20"/>
  <c r="AA38" i="20"/>
  <c r="AB38" i="20"/>
  <c r="AC38" i="20"/>
  <c r="AD38" i="20"/>
  <c r="AE38" i="20"/>
  <c r="AF38" i="20"/>
  <c r="C39" i="20"/>
  <c r="AF39" i="24"/>
  <c r="E39" i="20"/>
  <c r="AG39" i="24"/>
  <c r="F39" i="20"/>
  <c r="G39" i="20"/>
  <c r="H39" i="20"/>
  <c r="I39" i="20"/>
  <c r="J39" i="20"/>
  <c r="AL39" i="24"/>
  <c r="K39" i="20"/>
  <c r="L39" i="20"/>
  <c r="AN39" i="24"/>
  <c r="M39" i="20"/>
  <c r="AO39" i="24"/>
  <c r="N39" i="20"/>
  <c r="AP39" i="24"/>
  <c r="O39" i="20"/>
  <c r="Q39" i="20"/>
  <c r="T39" i="20"/>
  <c r="U39" i="20"/>
  <c r="V39" i="20"/>
  <c r="W39" i="20"/>
  <c r="X39" i="20"/>
  <c r="Y39" i="20"/>
  <c r="AA39" i="20"/>
  <c r="AB39" i="20"/>
  <c r="AC39" i="20"/>
  <c r="AD39" i="20"/>
  <c r="AE39" i="20"/>
  <c r="AF39" i="20"/>
  <c r="C40" i="20"/>
  <c r="AF40" i="24"/>
  <c r="E40" i="20"/>
  <c r="AG40" i="24"/>
  <c r="F40" i="20"/>
  <c r="G40" i="20"/>
  <c r="H40" i="20"/>
  <c r="I40" i="20"/>
  <c r="J40" i="20"/>
  <c r="AL40" i="24"/>
  <c r="K40" i="20"/>
  <c r="L40" i="20"/>
  <c r="AN40" i="24"/>
  <c r="M40" i="20"/>
  <c r="AO40" i="24"/>
  <c r="N40" i="20"/>
  <c r="AP40" i="24"/>
  <c r="O40" i="20"/>
  <c r="Q40" i="20"/>
  <c r="T40" i="20"/>
  <c r="U40" i="20"/>
  <c r="V40" i="20"/>
  <c r="W40" i="20"/>
  <c r="X40" i="20"/>
  <c r="Y40" i="20"/>
  <c r="AA40" i="20"/>
  <c r="AB40" i="20"/>
  <c r="AC40" i="20"/>
  <c r="AD40" i="20"/>
  <c r="AE40" i="20"/>
  <c r="AF40" i="20"/>
  <c r="C41" i="20"/>
  <c r="AF41" i="24"/>
  <c r="E41" i="20"/>
  <c r="AG41" i="24"/>
  <c r="F41" i="20"/>
  <c r="G41" i="20"/>
  <c r="H41" i="20"/>
  <c r="I41" i="20"/>
  <c r="J41" i="20"/>
  <c r="AL41" i="24"/>
  <c r="K41" i="20"/>
  <c r="L41" i="20"/>
  <c r="AN41" i="24"/>
  <c r="M41" i="20"/>
  <c r="AO41" i="24"/>
  <c r="N41" i="20"/>
  <c r="AP41" i="24"/>
  <c r="O41" i="20"/>
  <c r="Q41" i="20"/>
  <c r="T41" i="20"/>
  <c r="U41" i="20"/>
  <c r="V41" i="20"/>
  <c r="W41" i="20"/>
  <c r="X41" i="20"/>
  <c r="Y41" i="20"/>
  <c r="AA41" i="20"/>
  <c r="AB41" i="20"/>
  <c r="AC41" i="20"/>
  <c r="AD41" i="20"/>
  <c r="AE41" i="20"/>
  <c r="AF41" i="20"/>
  <c r="C42" i="20"/>
  <c r="AF42" i="24"/>
  <c r="E42" i="20"/>
  <c r="AG42" i="24"/>
  <c r="F42" i="20"/>
  <c r="G42" i="20"/>
  <c r="H42" i="20"/>
  <c r="I42" i="20"/>
  <c r="J42" i="20"/>
  <c r="AL42" i="24"/>
  <c r="K42" i="20"/>
  <c r="L42" i="20"/>
  <c r="AN42" i="24"/>
  <c r="M42" i="20"/>
  <c r="AO42" i="24"/>
  <c r="N42" i="20"/>
  <c r="AP42" i="24"/>
  <c r="O42" i="20"/>
  <c r="Q42" i="20"/>
  <c r="T42" i="20"/>
  <c r="U42" i="20"/>
  <c r="V42" i="20"/>
  <c r="W42" i="20"/>
  <c r="X42" i="20"/>
  <c r="Y42" i="20"/>
  <c r="AA42" i="20"/>
  <c r="AB42" i="20"/>
  <c r="AC42" i="20"/>
  <c r="AD42" i="20"/>
  <c r="AE42" i="20"/>
  <c r="AF42" i="20"/>
  <c r="C43" i="20"/>
  <c r="AF43" i="24"/>
  <c r="E43" i="20"/>
  <c r="AG43" i="24"/>
  <c r="F43" i="20"/>
  <c r="G43" i="20"/>
  <c r="H43" i="20"/>
  <c r="I43" i="20"/>
  <c r="J43" i="20"/>
  <c r="AL43" i="24"/>
  <c r="K43" i="20"/>
  <c r="L43" i="20"/>
  <c r="AN43" i="24"/>
  <c r="M43" i="20"/>
  <c r="AO43" i="24"/>
  <c r="N43" i="20"/>
  <c r="AP43" i="24"/>
  <c r="O43" i="20"/>
  <c r="Q43" i="20"/>
  <c r="T43" i="20"/>
  <c r="U43" i="20"/>
  <c r="V43" i="20"/>
  <c r="W43" i="20"/>
  <c r="X43" i="20"/>
  <c r="Y43" i="20"/>
  <c r="AA43" i="20"/>
  <c r="AB43" i="20"/>
  <c r="AC43" i="20"/>
  <c r="AD43" i="20"/>
  <c r="AE43" i="20"/>
  <c r="AF43" i="20"/>
  <c r="C44" i="20"/>
  <c r="AF44" i="24"/>
  <c r="E44" i="20"/>
  <c r="AG44" i="24"/>
  <c r="F44" i="20"/>
  <c r="G44" i="20"/>
  <c r="H44" i="20"/>
  <c r="I44" i="20"/>
  <c r="J44" i="20"/>
  <c r="AL44" i="24"/>
  <c r="K44" i="20"/>
  <c r="L44" i="20"/>
  <c r="AN44" i="24"/>
  <c r="M44" i="20"/>
  <c r="AO44" i="24"/>
  <c r="N44" i="20"/>
  <c r="AP44" i="24"/>
  <c r="O44" i="20"/>
  <c r="Q44" i="20"/>
  <c r="T44" i="20"/>
  <c r="U44" i="20"/>
  <c r="V44" i="20"/>
  <c r="W44" i="20"/>
  <c r="X44" i="20"/>
  <c r="Y44" i="20"/>
  <c r="AA44" i="20"/>
  <c r="AB44" i="20"/>
  <c r="AC44" i="20"/>
  <c r="AD44" i="20"/>
  <c r="AE44" i="20"/>
  <c r="AF44" i="20"/>
  <c r="C47" i="20"/>
  <c r="AF47" i="24"/>
  <c r="E47" i="20"/>
  <c r="AG47" i="24"/>
  <c r="F47" i="20"/>
  <c r="G47" i="20"/>
  <c r="H47" i="20"/>
  <c r="I47" i="20"/>
  <c r="J47" i="20"/>
  <c r="AL47" i="24"/>
  <c r="K47" i="20"/>
  <c r="L47" i="20"/>
  <c r="AN47" i="24"/>
  <c r="M47" i="20"/>
  <c r="AO47" i="24"/>
  <c r="N47" i="20"/>
  <c r="AP47" i="24"/>
  <c r="O47" i="20"/>
  <c r="Q47" i="20"/>
  <c r="T47" i="20"/>
  <c r="U47" i="20"/>
  <c r="V47" i="20"/>
  <c r="W47" i="20"/>
  <c r="X47" i="20"/>
  <c r="Y47" i="20"/>
  <c r="AA47" i="20"/>
  <c r="AB47" i="20"/>
  <c r="AC47" i="20"/>
  <c r="AD47" i="20"/>
  <c r="AE47" i="20"/>
  <c r="AF47" i="20"/>
  <c r="C48" i="20"/>
  <c r="AF48" i="24"/>
  <c r="E48" i="20"/>
  <c r="AG48" i="24"/>
  <c r="F48" i="20"/>
  <c r="G48" i="20"/>
  <c r="H48" i="20"/>
  <c r="I48" i="20"/>
  <c r="J48" i="20"/>
  <c r="AL48" i="24"/>
  <c r="K48" i="20"/>
  <c r="L48" i="20"/>
  <c r="AN48" i="24"/>
  <c r="M48" i="20"/>
  <c r="AO48" i="24"/>
  <c r="N48" i="20"/>
  <c r="AP48" i="24"/>
  <c r="O48" i="20"/>
  <c r="Q48" i="20"/>
  <c r="T48" i="20"/>
  <c r="U48" i="20"/>
  <c r="V48" i="20"/>
  <c r="W48" i="20"/>
  <c r="X48" i="20"/>
  <c r="Y48" i="20"/>
  <c r="AA48" i="20"/>
  <c r="AB48" i="20"/>
  <c r="AC48" i="20"/>
  <c r="AD48" i="20"/>
  <c r="AE48" i="20"/>
  <c r="AF48" i="20"/>
  <c r="C49" i="20"/>
  <c r="AF49" i="24"/>
  <c r="E49" i="20"/>
  <c r="AG49" i="24"/>
  <c r="F49" i="20"/>
  <c r="G49" i="20"/>
  <c r="H49" i="20"/>
  <c r="I49" i="20"/>
  <c r="J49" i="20"/>
  <c r="AL49" i="24"/>
  <c r="K49" i="20"/>
  <c r="L49" i="20"/>
  <c r="AN49" i="24"/>
  <c r="M49" i="20"/>
  <c r="AO49" i="24"/>
  <c r="N49" i="20"/>
  <c r="AP49" i="24"/>
  <c r="O49" i="20"/>
  <c r="Q49" i="20"/>
  <c r="T49" i="20"/>
  <c r="U49" i="20"/>
  <c r="V49" i="20"/>
  <c r="W49" i="20"/>
  <c r="X49" i="20"/>
  <c r="Y49" i="20"/>
  <c r="AA49" i="20"/>
  <c r="AB49" i="20"/>
  <c r="AC49" i="20"/>
  <c r="AD49" i="20"/>
  <c r="AE49" i="20"/>
  <c r="AF49" i="20"/>
  <c r="C50" i="20"/>
  <c r="AF50" i="24"/>
  <c r="E50" i="20"/>
  <c r="AG50" i="24"/>
  <c r="F50" i="20"/>
  <c r="G50" i="20"/>
  <c r="H50" i="20"/>
  <c r="I50" i="20"/>
  <c r="J50" i="20"/>
  <c r="AL50" i="24"/>
  <c r="K50" i="20"/>
  <c r="L50" i="20"/>
  <c r="AN50" i="24"/>
  <c r="M50" i="20"/>
  <c r="AO50" i="24"/>
  <c r="N50" i="20"/>
  <c r="AP50" i="24"/>
  <c r="O50" i="20"/>
  <c r="Q50" i="20"/>
  <c r="T50" i="20"/>
  <c r="U50" i="20"/>
  <c r="V50" i="20"/>
  <c r="W50" i="20"/>
  <c r="X50" i="20"/>
  <c r="Y50" i="20"/>
  <c r="AA50" i="20"/>
  <c r="AB50" i="20"/>
  <c r="AC50" i="20"/>
  <c r="AD50" i="20"/>
  <c r="AE50" i="20"/>
  <c r="AF50" i="20"/>
  <c r="P12" i="24"/>
  <c r="AC12" i="24"/>
  <c r="AQ12" i="24"/>
  <c r="AR12" i="24"/>
  <c r="AT12" i="24"/>
  <c r="AV12" i="24"/>
  <c r="AX12" i="24"/>
  <c r="BA12" i="24"/>
  <c r="BB12" i="24"/>
  <c r="BD12" i="24"/>
  <c r="BF12" i="24"/>
  <c r="P13" i="24"/>
  <c r="AC13" i="24"/>
  <c r="AQ13" i="24"/>
  <c r="AR13" i="24"/>
  <c r="AT13" i="24"/>
  <c r="AV13" i="24"/>
  <c r="AX13" i="24"/>
  <c r="BA13" i="24"/>
  <c r="BB13" i="24"/>
  <c r="BD13" i="24"/>
  <c r="BF13" i="24"/>
  <c r="P14" i="24"/>
  <c r="AC14" i="24"/>
  <c r="AQ14" i="24"/>
  <c r="AR14" i="24"/>
  <c r="AT14" i="24"/>
  <c r="AV14" i="24"/>
  <c r="AX14" i="24"/>
  <c r="BA14" i="24"/>
  <c r="BB14" i="24"/>
  <c r="BD14" i="24"/>
  <c r="BF14" i="24"/>
  <c r="P15" i="24"/>
  <c r="AC15" i="24"/>
  <c r="AQ15" i="24"/>
  <c r="AR15" i="24"/>
  <c r="AT15" i="24"/>
  <c r="AV15" i="24"/>
  <c r="AX15" i="24"/>
  <c r="BA15" i="24"/>
  <c r="BB15" i="24"/>
  <c r="BD15" i="24"/>
  <c r="BF15" i="24"/>
  <c r="P16" i="24"/>
  <c r="AC16" i="24"/>
  <c r="AQ16" i="24"/>
  <c r="AR16" i="24"/>
  <c r="AT16" i="24"/>
  <c r="AV16" i="24"/>
  <c r="AX16" i="24"/>
  <c r="BA16" i="24"/>
  <c r="BB16" i="24"/>
  <c r="BD16" i="24"/>
  <c r="BF16" i="24"/>
  <c r="P18" i="24"/>
  <c r="AC18" i="24"/>
  <c r="AQ18" i="24"/>
  <c r="AR18" i="24"/>
  <c r="AT18" i="24"/>
  <c r="AV18" i="24"/>
  <c r="AX18" i="24"/>
  <c r="BA18" i="24"/>
  <c r="BB18" i="24"/>
  <c r="BD18" i="24"/>
  <c r="BF18" i="24"/>
  <c r="P19" i="24"/>
  <c r="AC19" i="24"/>
  <c r="AQ19" i="24"/>
  <c r="AR19" i="24"/>
  <c r="AT19" i="24"/>
  <c r="AV19" i="24"/>
  <c r="AX19" i="24"/>
  <c r="BA19" i="24"/>
  <c r="BB19" i="24"/>
  <c r="BD19" i="24"/>
  <c r="BF19" i="24"/>
  <c r="P20" i="24"/>
  <c r="AC20" i="24"/>
  <c r="AQ20" i="24"/>
  <c r="AR20" i="24"/>
  <c r="AT20" i="24"/>
  <c r="AV20" i="24"/>
  <c r="AX20" i="24"/>
  <c r="BA20" i="24"/>
  <c r="BB20" i="24"/>
  <c r="BD20" i="24"/>
  <c r="BF20" i="24"/>
  <c r="P21" i="24"/>
  <c r="AC21" i="24"/>
  <c r="AQ21" i="24"/>
  <c r="AR21" i="24"/>
  <c r="AT21" i="24"/>
  <c r="AV21" i="24"/>
  <c r="AX21" i="24"/>
  <c r="BA21" i="24"/>
  <c r="BB21" i="24"/>
  <c r="BD21" i="24"/>
  <c r="BF21" i="24"/>
  <c r="P22" i="24"/>
  <c r="AC22" i="24"/>
  <c r="AQ22" i="24"/>
  <c r="AR22" i="24"/>
  <c r="AT22" i="24"/>
  <c r="AV22" i="24"/>
  <c r="AX22" i="24"/>
  <c r="BA22" i="24"/>
  <c r="BB22" i="24"/>
  <c r="BD22" i="24"/>
  <c r="BF22" i="24"/>
  <c r="P23" i="24"/>
  <c r="AC23" i="24"/>
  <c r="AQ23" i="24"/>
  <c r="AR23" i="24"/>
  <c r="AT23" i="24"/>
  <c r="AV23" i="24"/>
  <c r="AX23" i="24"/>
  <c r="BA23" i="24"/>
  <c r="BB23" i="24"/>
  <c r="BD23" i="24"/>
  <c r="BF23" i="24"/>
  <c r="P24" i="24"/>
  <c r="AC24" i="24"/>
  <c r="AQ24" i="24"/>
  <c r="AR24" i="24"/>
  <c r="AT24" i="24"/>
  <c r="AV24" i="24"/>
  <c r="AX24" i="24"/>
  <c r="BA24" i="24"/>
  <c r="BB24" i="24"/>
  <c r="BD24" i="24"/>
  <c r="BF24" i="24"/>
  <c r="P25" i="24"/>
  <c r="AC25" i="24"/>
  <c r="AQ25" i="24"/>
  <c r="AR25" i="24"/>
  <c r="AT25" i="24"/>
  <c r="AV25" i="24"/>
  <c r="AX25" i="24"/>
  <c r="BA25" i="24"/>
  <c r="BB25" i="24"/>
  <c r="BD25" i="24"/>
  <c r="BF25" i="24"/>
  <c r="P26" i="24"/>
  <c r="AC26" i="24"/>
  <c r="AQ26" i="24"/>
  <c r="AR26" i="24"/>
  <c r="AT26" i="24"/>
  <c r="AV26" i="24"/>
  <c r="AX26" i="24"/>
  <c r="BA26" i="24"/>
  <c r="BB26" i="24"/>
  <c r="BD26" i="24"/>
  <c r="BF26" i="24"/>
  <c r="P27" i="24"/>
  <c r="AC27" i="24"/>
  <c r="AQ27" i="24"/>
  <c r="AR27" i="24"/>
  <c r="AT27" i="24"/>
  <c r="AV27" i="24"/>
  <c r="AX27" i="24"/>
  <c r="BA27" i="24"/>
  <c r="BB27" i="24"/>
  <c r="BD27" i="24"/>
  <c r="BF27" i="24"/>
  <c r="P28" i="24"/>
  <c r="AC28" i="24"/>
  <c r="AQ28" i="24"/>
  <c r="AR28" i="24"/>
  <c r="AT28" i="24"/>
  <c r="AV28" i="24"/>
  <c r="AX28" i="24"/>
  <c r="BA28" i="24"/>
  <c r="BB28" i="24"/>
  <c r="BD28" i="24"/>
  <c r="BF28" i="24"/>
  <c r="P29" i="24"/>
  <c r="AC29" i="24"/>
  <c r="AQ29" i="24"/>
  <c r="AR29" i="24"/>
  <c r="AT29" i="24"/>
  <c r="AV29" i="24"/>
  <c r="AX29" i="24"/>
  <c r="BA29" i="24"/>
  <c r="BB29" i="24"/>
  <c r="BD29" i="24"/>
  <c r="BF29" i="24"/>
  <c r="P30" i="24"/>
  <c r="AC30" i="24"/>
  <c r="AQ30" i="24"/>
  <c r="AR30" i="24"/>
  <c r="AT30" i="24"/>
  <c r="AV30" i="24"/>
  <c r="AX30" i="24"/>
  <c r="BA30" i="24"/>
  <c r="BB30" i="24"/>
  <c r="BD30" i="24"/>
  <c r="BF30" i="24"/>
  <c r="P32" i="24"/>
  <c r="AC32" i="24"/>
  <c r="AQ32" i="24"/>
  <c r="AR32" i="24"/>
  <c r="AT32" i="24"/>
  <c r="AV32" i="24"/>
  <c r="AX32" i="24"/>
  <c r="BA32" i="24"/>
  <c r="BB32" i="24"/>
  <c r="BD32" i="24"/>
  <c r="BF32" i="24"/>
  <c r="P33" i="24"/>
  <c r="AC33" i="24"/>
  <c r="AQ33" i="24"/>
  <c r="AR33" i="24"/>
  <c r="AT33" i="24"/>
  <c r="AV33" i="24"/>
  <c r="AX33" i="24"/>
  <c r="BA33" i="24"/>
  <c r="BB33" i="24"/>
  <c r="BD33" i="24"/>
  <c r="BF33" i="24"/>
  <c r="P34" i="24"/>
  <c r="AC34" i="24"/>
  <c r="AQ34" i="24"/>
  <c r="AR34" i="24"/>
  <c r="AT34" i="24"/>
  <c r="AV34" i="24"/>
  <c r="AX34" i="24"/>
  <c r="BA34" i="24"/>
  <c r="BB34" i="24"/>
  <c r="BD34" i="24"/>
  <c r="BF34" i="24"/>
  <c r="P35" i="24"/>
  <c r="AC35" i="24"/>
  <c r="AQ35" i="24"/>
  <c r="AR35" i="24"/>
  <c r="AT35" i="24"/>
  <c r="AV35" i="24"/>
  <c r="AX35" i="24"/>
  <c r="BA35" i="24"/>
  <c r="BB35" i="24"/>
  <c r="BD35" i="24"/>
  <c r="BF35" i="24"/>
  <c r="P36" i="24"/>
  <c r="AC36" i="24"/>
  <c r="AQ36" i="24"/>
  <c r="AR36" i="24"/>
  <c r="AT36" i="24"/>
  <c r="AV36" i="24"/>
  <c r="AX36" i="24"/>
  <c r="BA36" i="24"/>
  <c r="BB36" i="24"/>
  <c r="BD36" i="24"/>
  <c r="BF36" i="24"/>
  <c r="P37" i="24"/>
  <c r="AC37" i="24"/>
  <c r="AQ37" i="24"/>
  <c r="AR37" i="24"/>
  <c r="AT37" i="24"/>
  <c r="AV37" i="24"/>
  <c r="AX37" i="24"/>
  <c r="BA37" i="24"/>
  <c r="BB37" i="24"/>
  <c r="BD37" i="24"/>
  <c r="BF37" i="24"/>
  <c r="P38" i="24"/>
  <c r="AC38" i="24"/>
  <c r="AQ38" i="24"/>
  <c r="AR38" i="24"/>
  <c r="AT38" i="24"/>
  <c r="AV38" i="24"/>
  <c r="AX38" i="24"/>
  <c r="BA38" i="24"/>
  <c r="BB38" i="24"/>
  <c r="BD38" i="24"/>
  <c r="BF38" i="24"/>
  <c r="P39" i="24"/>
  <c r="AC39" i="24"/>
  <c r="AQ39" i="24"/>
  <c r="AR39" i="24"/>
  <c r="AT39" i="24"/>
  <c r="AV39" i="24"/>
  <c r="AX39" i="24"/>
  <c r="BA39" i="24"/>
  <c r="BB39" i="24"/>
  <c r="BD39" i="24"/>
  <c r="BF39" i="24"/>
  <c r="P40" i="24"/>
  <c r="AC40" i="24"/>
  <c r="AQ40" i="24"/>
  <c r="AR40" i="24"/>
  <c r="AT40" i="24"/>
  <c r="AV40" i="24"/>
  <c r="AX40" i="24"/>
  <c r="BA40" i="24"/>
  <c r="BB40" i="24"/>
  <c r="BD40" i="24"/>
  <c r="BF40" i="24"/>
  <c r="P41" i="24"/>
  <c r="AC41" i="24"/>
  <c r="AQ41" i="24"/>
  <c r="AR41" i="24"/>
  <c r="AT41" i="24"/>
  <c r="AV41" i="24"/>
  <c r="AX41" i="24"/>
  <c r="BA41" i="24"/>
  <c r="BB41" i="24"/>
  <c r="BD41" i="24"/>
  <c r="BF41" i="24"/>
  <c r="P42" i="24"/>
  <c r="AC42" i="24"/>
  <c r="AQ42" i="24"/>
  <c r="AR42" i="24"/>
  <c r="AT42" i="24"/>
  <c r="AV42" i="24"/>
  <c r="AX42" i="24"/>
  <c r="BA42" i="24"/>
  <c r="BB42" i="24"/>
  <c r="BD42" i="24"/>
  <c r="BF42" i="24"/>
  <c r="P43" i="24"/>
  <c r="AC43" i="24"/>
  <c r="AQ43" i="24"/>
  <c r="AR43" i="24"/>
  <c r="AT43" i="24"/>
  <c r="AV43" i="24"/>
  <c r="AX43" i="24"/>
  <c r="BA43" i="24"/>
  <c r="BB43" i="24"/>
  <c r="BD43" i="24"/>
  <c r="BF43" i="24"/>
  <c r="P44" i="24"/>
  <c r="AC44" i="24"/>
  <c r="AQ44" i="24"/>
  <c r="AR44" i="24"/>
  <c r="AT44" i="24"/>
  <c r="AV44" i="24"/>
  <c r="AX44" i="24"/>
  <c r="BA44" i="24"/>
  <c r="BB44" i="24"/>
  <c r="BD44" i="24"/>
  <c r="BF44" i="24"/>
  <c r="P47" i="24"/>
  <c r="AC47" i="24"/>
  <c r="AQ47" i="24"/>
  <c r="AR47" i="24"/>
  <c r="AT47" i="24"/>
  <c r="AV47" i="24"/>
  <c r="AX47" i="24"/>
  <c r="BA47" i="24"/>
  <c r="BB47" i="24"/>
  <c r="BD47" i="24"/>
  <c r="BF47" i="24"/>
  <c r="P48" i="24"/>
  <c r="AC48" i="24"/>
  <c r="AQ48" i="24"/>
  <c r="AR48" i="24"/>
  <c r="AT48" i="24"/>
  <c r="AV48" i="24"/>
  <c r="AX48" i="24"/>
  <c r="BA48" i="24"/>
  <c r="BB48" i="24"/>
  <c r="BD48" i="24"/>
  <c r="BF48" i="24"/>
  <c r="P49" i="24"/>
  <c r="AC49" i="24"/>
  <c r="AQ49" i="24"/>
  <c r="AR49" i="24"/>
  <c r="AT49" i="24"/>
  <c r="AV49" i="24"/>
  <c r="AX49" i="24"/>
  <c r="BA49" i="24"/>
  <c r="BB49" i="24"/>
  <c r="BD49" i="24"/>
  <c r="BF49" i="24"/>
  <c r="P50" i="24"/>
  <c r="AC50" i="24"/>
  <c r="AQ50" i="24"/>
  <c r="AR50" i="24"/>
  <c r="AT50" i="24"/>
  <c r="AV50" i="24"/>
  <c r="AX50" i="24"/>
  <c r="BA50" i="24"/>
  <c r="BB50" i="24"/>
  <c r="BD50" i="24"/>
  <c r="BF50" i="24"/>
  <c r="Q5" i="15"/>
  <c r="U5" i="15"/>
  <c r="S5" i="15"/>
  <c r="AS5" i="15"/>
  <c r="AU5" i="15"/>
  <c r="V5" i="15"/>
  <c r="AV5" i="15"/>
  <c r="T5" i="15"/>
  <c r="AW5" i="15"/>
  <c r="W5" i="15"/>
  <c r="Y5" i="15"/>
  <c r="AY5" i="15"/>
  <c r="Z5" i="15"/>
  <c r="BB5" i="15"/>
  <c r="AA5" i="15"/>
  <c r="BC5" i="15"/>
  <c r="X5" i="15"/>
  <c r="BD5" i="15"/>
  <c r="BF5" i="15"/>
  <c r="BI5" i="15"/>
  <c r="Q5" i="6"/>
  <c r="Q6" i="15"/>
  <c r="U6" i="15"/>
  <c r="S6" i="15"/>
  <c r="AS6" i="15"/>
  <c r="AU6" i="15"/>
  <c r="V6" i="15"/>
  <c r="AV6" i="15"/>
  <c r="T6" i="15"/>
  <c r="AW6" i="15"/>
  <c r="W6" i="15"/>
  <c r="Y6" i="15"/>
  <c r="AY6" i="15"/>
  <c r="Z6" i="15"/>
  <c r="BB6" i="15"/>
  <c r="AA6" i="15"/>
  <c r="BC6" i="15"/>
  <c r="X6" i="15"/>
  <c r="BD6" i="15"/>
  <c r="BF6" i="15"/>
  <c r="BI6" i="15"/>
  <c r="Q6" i="6"/>
  <c r="Q7" i="15"/>
  <c r="U7" i="15"/>
  <c r="S7" i="15"/>
  <c r="AS7" i="15"/>
  <c r="AU7" i="15"/>
  <c r="V7" i="15"/>
  <c r="AV7" i="15"/>
  <c r="T7" i="15"/>
  <c r="AW7" i="15"/>
  <c r="W7" i="15"/>
  <c r="Y7" i="15"/>
  <c r="AY7" i="15"/>
  <c r="Z7" i="15"/>
  <c r="BB7" i="15"/>
  <c r="AA7" i="15"/>
  <c r="BC7" i="15"/>
  <c r="X7" i="15"/>
  <c r="BD7" i="15"/>
  <c r="BF7" i="15"/>
  <c r="BI7" i="15"/>
  <c r="Q7" i="6"/>
  <c r="Q4" i="15"/>
  <c r="U4" i="15"/>
  <c r="S4" i="15"/>
  <c r="AS4" i="15"/>
  <c r="AU4" i="15"/>
  <c r="V4" i="15"/>
  <c r="AV4" i="15"/>
  <c r="T4" i="15"/>
  <c r="AW4" i="15"/>
  <c r="W4" i="15"/>
  <c r="Y4" i="15"/>
  <c r="AY4" i="15"/>
  <c r="Z4" i="15"/>
  <c r="BB4" i="15"/>
  <c r="AA4" i="15"/>
  <c r="BC4" i="15"/>
  <c r="X4" i="15"/>
  <c r="BD4" i="15"/>
  <c r="BF4" i="15"/>
  <c r="BI4" i="15"/>
  <c r="Q4" i="6"/>
  <c r="W5" i="14"/>
  <c r="U5" i="14"/>
  <c r="AC5" i="14"/>
  <c r="O5" i="6"/>
  <c r="W6" i="14"/>
  <c r="U6" i="14"/>
  <c r="AC6" i="14"/>
  <c r="O6" i="6"/>
  <c r="W7" i="14"/>
  <c r="U7" i="14"/>
  <c r="AC7" i="14"/>
  <c r="O7" i="6"/>
  <c r="W8" i="14"/>
  <c r="U8" i="14"/>
  <c r="AC8" i="14"/>
  <c r="W4" i="14"/>
  <c r="U4" i="14"/>
  <c r="AC4" i="14"/>
  <c r="O4" i="6"/>
  <c r="U4" i="24"/>
  <c r="R4" i="24"/>
  <c r="S4" i="24"/>
  <c r="T4" i="24"/>
  <c r="V4" i="24"/>
  <c r="W4" i="24"/>
  <c r="X4" i="24"/>
  <c r="Y4" i="24"/>
  <c r="Z4" i="24"/>
  <c r="AB4" i="24"/>
  <c r="AA4" i="24"/>
  <c r="AD4" i="24"/>
  <c r="AI4" i="24"/>
  <c r="AJ4" i="24"/>
  <c r="AH4" i="24"/>
  <c r="AB4" i="21"/>
  <c r="AK4" i="24"/>
  <c r="AM4" i="24"/>
  <c r="AA4" i="21"/>
  <c r="AC4" i="21"/>
  <c r="AE4" i="21"/>
  <c r="AG4" i="21"/>
  <c r="F4" i="6"/>
  <c r="C5" i="6"/>
  <c r="C6" i="6"/>
  <c r="C7" i="6"/>
  <c r="C8" i="6"/>
  <c r="W5" i="24"/>
  <c r="R5" i="24"/>
  <c r="S5" i="24"/>
  <c r="T5" i="24"/>
  <c r="U5" i="24"/>
  <c r="V5" i="24"/>
  <c r="X5" i="24"/>
  <c r="Y5" i="24"/>
  <c r="Z5" i="24"/>
  <c r="AB5" i="24"/>
  <c r="AA5" i="24"/>
  <c r="AD5" i="24"/>
  <c r="AK5" i="24"/>
  <c r="AM5" i="24"/>
  <c r="AA5" i="21"/>
  <c r="W6" i="24"/>
  <c r="R6" i="24"/>
  <c r="S6" i="24"/>
  <c r="T6" i="24"/>
  <c r="U6" i="24"/>
  <c r="V6" i="24"/>
  <c r="X6" i="24"/>
  <c r="Y6" i="24"/>
  <c r="Z6" i="24"/>
  <c r="AB6" i="24"/>
  <c r="AA6" i="24"/>
  <c r="AD6" i="24"/>
  <c r="AK6" i="24"/>
  <c r="AM6" i="24"/>
  <c r="AA6" i="21"/>
  <c r="W7" i="24"/>
  <c r="R7" i="24"/>
  <c r="S7" i="24"/>
  <c r="T7" i="24"/>
  <c r="U7" i="24"/>
  <c r="V7" i="24"/>
  <c r="X7" i="24"/>
  <c r="Y7" i="24"/>
  <c r="Z7" i="24"/>
  <c r="AB7" i="24"/>
  <c r="AA7" i="24"/>
  <c r="AD7" i="24"/>
  <c r="AK7" i="24"/>
  <c r="AM7" i="24"/>
  <c r="AA7" i="21"/>
  <c r="W8" i="24"/>
  <c r="R8" i="24"/>
  <c r="S8" i="24"/>
  <c r="T8" i="24"/>
  <c r="U8" i="24"/>
  <c r="V8" i="24"/>
  <c r="X8" i="24"/>
  <c r="Y8" i="24"/>
  <c r="Z8" i="24"/>
  <c r="AB8" i="24"/>
  <c r="AA8" i="24"/>
  <c r="AD8" i="24"/>
  <c r="AK8" i="24"/>
  <c r="AM8" i="24"/>
  <c r="AA8" i="21"/>
  <c r="AI5" i="24"/>
  <c r="AJ5" i="24"/>
  <c r="AH5" i="24"/>
  <c r="AB5" i="21"/>
  <c r="AC5" i="21"/>
  <c r="AE5" i="21"/>
  <c r="AG5" i="21"/>
  <c r="AI6" i="24"/>
  <c r="AJ6" i="24"/>
  <c r="AH6" i="24"/>
  <c r="AB6" i="21"/>
  <c r="AC6" i="21"/>
  <c r="AE6" i="21"/>
  <c r="AG6" i="21"/>
  <c r="AI7" i="24"/>
  <c r="AJ7" i="24"/>
  <c r="AH7" i="24"/>
  <c r="AB7" i="21"/>
  <c r="AC7" i="21"/>
  <c r="AE7" i="21"/>
  <c r="AG7" i="21"/>
  <c r="AI8" i="24"/>
  <c r="AJ8" i="24"/>
  <c r="AH8" i="24"/>
  <c r="AB8" i="21"/>
  <c r="AC8" i="21"/>
  <c r="AE8" i="21"/>
  <c r="AG8" i="21"/>
  <c r="D4" i="21"/>
  <c r="E4" i="21"/>
  <c r="F4" i="21"/>
  <c r="G4" i="21"/>
  <c r="H4" i="21"/>
  <c r="I4" i="21"/>
  <c r="J4" i="21"/>
  <c r="K4" i="21"/>
  <c r="L4" i="21"/>
  <c r="M4" i="21"/>
  <c r="D5" i="21"/>
  <c r="E5" i="21"/>
  <c r="F5" i="21"/>
  <c r="G5" i="21"/>
  <c r="H5" i="21"/>
  <c r="I5" i="21"/>
  <c r="J5" i="21"/>
  <c r="K5" i="21"/>
  <c r="L5" i="21"/>
  <c r="M5" i="21"/>
  <c r="D6" i="21"/>
  <c r="E6" i="21"/>
  <c r="F6" i="21"/>
  <c r="G6" i="21"/>
  <c r="H6" i="21"/>
  <c r="I6" i="21"/>
  <c r="J6" i="21"/>
  <c r="K6" i="21"/>
  <c r="L6" i="21"/>
  <c r="M6" i="21"/>
  <c r="D7" i="21"/>
  <c r="E7" i="21"/>
  <c r="F7" i="21"/>
  <c r="G7" i="21"/>
  <c r="H7" i="21"/>
  <c r="I7" i="21"/>
  <c r="J7" i="21"/>
  <c r="K7" i="21"/>
  <c r="L7" i="21"/>
  <c r="M7" i="21"/>
  <c r="D8" i="21"/>
  <c r="E8" i="21"/>
  <c r="F8" i="21"/>
  <c r="G8" i="21"/>
  <c r="H8" i="21"/>
  <c r="I8" i="21"/>
  <c r="J8" i="21"/>
  <c r="K8" i="21"/>
  <c r="L8" i="21"/>
  <c r="M8" i="21"/>
  <c r="D9" i="21"/>
  <c r="E9" i="21"/>
  <c r="F9" i="21"/>
  <c r="G9" i="21"/>
  <c r="H9" i="21"/>
  <c r="I9" i="21"/>
  <c r="J9" i="21"/>
  <c r="K9" i="21"/>
  <c r="L9" i="21"/>
  <c r="M9" i="21"/>
  <c r="D10" i="21"/>
  <c r="E10" i="21"/>
  <c r="F10" i="21"/>
  <c r="G10" i="21"/>
  <c r="H10" i="21"/>
  <c r="I10" i="21"/>
  <c r="J10" i="21"/>
  <c r="K10" i="21"/>
  <c r="L10" i="21"/>
  <c r="M10" i="21"/>
  <c r="A5" i="21"/>
  <c r="A6" i="21"/>
  <c r="A7" i="21"/>
  <c r="A8" i="21"/>
  <c r="A9" i="21"/>
  <c r="A10" i="21"/>
  <c r="A4" i="21"/>
  <c r="C5" i="15"/>
  <c r="C6" i="15"/>
  <c r="C7" i="15"/>
  <c r="C4" i="15"/>
  <c r="C5" i="14"/>
  <c r="C6" i="14"/>
  <c r="C7" i="14"/>
  <c r="C8" i="14"/>
  <c r="C9" i="14"/>
  <c r="C10" i="14"/>
  <c r="C11" i="14"/>
  <c r="C4" i="14"/>
  <c r="C5" i="20"/>
  <c r="C6" i="20"/>
  <c r="C7" i="20"/>
  <c r="C8" i="20"/>
  <c r="C9" i="20"/>
  <c r="C10" i="20"/>
  <c r="C11" i="20"/>
  <c r="C4" i="20"/>
  <c r="AC4" i="6"/>
  <c r="AA4" i="6"/>
  <c r="AE4" i="6"/>
  <c r="F5" i="6"/>
  <c r="F6" i="6"/>
  <c r="F7" i="6"/>
  <c r="F8" i="6"/>
  <c r="BA5" i="24"/>
  <c r="BB5" i="24"/>
  <c r="BA6" i="24"/>
  <c r="BB6" i="24"/>
  <c r="BA7" i="24"/>
  <c r="BB7" i="24"/>
  <c r="BA8" i="24"/>
  <c r="BB8" i="24"/>
  <c r="BA9" i="24"/>
  <c r="BB9" i="24"/>
  <c r="BA10" i="24"/>
  <c r="BB10" i="24"/>
  <c r="BA11" i="24"/>
  <c r="BB11" i="24"/>
  <c r="BB4" i="24"/>
  <c r="BA4" i="24"/>
  <c r="AF5" i="20"/>
  <c r="AF6" i="20"/>
  <c r="AF7" i="20"/>
  <c r="AF8" i="20"/>
  <c r="AF9" i="20"/>
  <c r="AF10" i="20"/>
  <c r="AF11" i="20"/>
  <c r="AF4" i="20"/>
  <c r="P11" i="24"/>
  <c r="AC11" i="24"/>
  <c r="AF11" i="24"/>
  <c r="AG11" i="24"/>
  <c r="AL11" i="24"/>
  <c r="AN11" i="24"/>
  <c r="AO11" i="24"/>
  <c r="AP11" i="24"/>
  <c r="AQ11" i="24"/>
  <c r="AR11" i="24"/>
  <c r="AT11" i="24"/>
  <c r="AV11" i="24"/>
  <c r="AX11" i="24"/>
  <c r="BD11" i="24"/>
  <c r="BF11" i="24"/>
  <c r="AV4" i="24"/>
  <c r="AV5" i="24"/>
  <c r="AV6" i="24"/>
  <c r="AV7" i="24"/>
  <c r="AV8" i="24"/>
  <c r="AV9" i="24"/>
  <c r="AV10" i="24"/>
  <c r="AX4" i="24"/>
  <c r="AX5" i="24"/>
  <c r="AX6" i="24"/>
  <c r="AX7" i="24"/>
  <c r="AX8" i="24"/>
  <c r="AX9" i="24"/>
  <c r="AX10" i="24"/>
  <c r="AT4" i="24"/>
  <c r="AT5" i="24"/>
  <c r="AT6" i="24"/>
  <c r="AT7" i="24"/>
  <c r="AT8" i="24"/>
  <c r="AT9" i="24"/>
  <c r="AT10" i="24"/>
  <c r="AF5" i="24"/>
  <c r="AG5" i="24"/>
  <c r="AL5" i="24"/>
  <c r="AN5" i="24"/>
  <c r="AO5" i="24"/>
  <c r="AP5" i="24"/>
  <c r="AQ5" i="24"/>
  <c r="BD5" i="24"/>
  <c r="BF5" i="24"/>
  <c r="AF6" i="24"/>
  <c r="AG6" i="24"/>
  <c r="AL6" i="24"/>
  <c r="AN6" i="24"/>
  <c r="AO6" i="24"/>
  <c r="AP6" i="24"/>
  <c r="AQ6" i="24"/>
  <c r="BD6" i="24"/>
  <c r="BF6" i="24"/>
  <c r="AF7" i="24"/>
  <c r="AG7" i="24"/>
  <c r="AL7" i="24"/>
  <c r="AN7" i="24"/>
  <c r="AO7" i="24"/>
  <c r="AP7" i="24"/>
  <c r="AQ7" i="24"/>
  <c r="BD7" i="24"/>
  <c r="BF7" i="24"/>
  <c r="AF8" i="24"/>
  <c r="AG8" i="24"/>
  <c r="AL8" i="24"/>
  <c r="AN8" i="24"/>
  <c r="AO8" i="24"/>
  <c r="AP8" i="24"/>
  <c r="AQ8" i="24"/>
  <c r="BD8" i="24"/>
  <c r="BF8" i="24"/>
  <c r="AF9" i="24"/>
  <c r="AG9" i="24"/>
  <c r="AL9" i="24"/>
  <c r="AN9" i="24"/>
  <c r="AO9" i="24"/>
  <c r="AP9" i="24"/>
  <c r="AQ9" i="24"/>
  <c r="BD9" i="24"/>
  <c r="BF9" i="24"/>
  <c r="AF10" i="24"/>
  <c r="AG10" i="24"/>
  <c r="AL10" i="24"/>
  <c r="AN10" i="24"/>
  <c r="AO10" i="24"/>
  <c r="AP10" i="24"/>
  <c r="AQ10" i="24"/>
  <c r="BD10" i="24"/>
  <c r="BF10" i="24"/>
  <c r="AF4" i="24"/>
  <c r="AG4" i="24"/>
  <c r="AL4" i="24"/>
  <c r="AN4" i="24"/>
  <c r="AO4" i="24"/>
  <c r="AP4" i="24"/>
  <c r="AQ4" i="24"/>
  <c r="BD4" i="24"/>
  <c r="BF4" i="24"/>
  <c r="E9" i="20"/>
  <c r="F9" i="20"/>
  <c r="G9" i="20"/>
  <c r="H9" i="20"/>
  <c r="I9" i="20"/>
  <c r="J9" i="20"/>
  <c r="K9" i="20"/>
  <c r="L9" i="20"/>
  <c r="M9" i="20"/>
  <c r="N9" i="20"/>
  <c r="O9" i="20"/>
  <c r="E10" i="20"/>
  <c r="F10" i="20"/>
  <c r="G10" i="20"/>
  <c r="H10" i="20"/>
  <c r="I10" i="20"/>
  <c r="J10" i="20"/>
  <c r="K10" i="20"/>
  <c r="L10" i="20"/>
  <c r="M10" i="20"/>
  <c r="N10" i="20"/>
  <c r="O10" i="20"/>
  <c r="E11" i="20"/>
  <c r="F11" i="20"/>
  <c r="G11" i="20"/>
  <c r="H11" i="20"/>
  <c r="I11" i="20"/>
  <c r="J11" i="20"/>
  <c r="K11" i="20"/>
  <c r="L11" i="20"/>
  <c r="M11" i="20"/>
  <c r="N11" i="20"/>
  <c r="O11" i="20"/>
  <c r="O5" i="21"/>
  <c r="P5" i="21"/>
  <c r="Q5" i="21"/>
  <c r="R5" i="21"/>
  <c r="S5" i="21"/>
  <c r="T5" i="21"/>
  <c r="U5" i="21"/>
  <c r="V5" i="21"/>
  <c r="W5" i="21"/>
  <c r="X5" i="21"/>
  <c r="Y5" i="21"/>
  <c r="O6" i="21"/>
  <c r="P6" i="21"/>
  <c r="Q6" i="21"/>
  <c r="R6" i="21"/>
  <c r="S6" i="21"/>
  <c r="T6" i="21"/>
  <c r="U6" i="21"/>
  <c r="V6" i="21"/>
  <c r="W6" i="21"/>
  <c r="X6" i="21"/>
  <c r="Y6" i="21"/>
  <c r="O7" i="21"/>
  <c r="P7" i="21"/>
  <c r="Q7" i="21"/>
  <c r="R7" i="21"/>
  <c r="S7" i="21"/>
  <c r="T7" i="21"/>
  <c r="U7" i="21"/>
  <c r="V7" i="21"/>
  <c r="W7" i="21"/>
  <c r="X7" i="21"/>
  <c r="Y7" i="21"/>
  <c r="O8" i="21"/>
  <c r="P8" i="21"/>
  <c r="Q8" i="21"/>
  <c r="R8" i="21"/>
  <c r="S8" i="21"/>
  <c r="T8" i="21"/>
  <c r="U8" i="21"/>
  <c r="V8" i="21"/>
  <c r="W8" i="21"/>
  <c r="X8" i="21"/>
  <c r="Y8" i="21"/>
  <c r="O9" i="21"/>
  <c r="P9" i="21"/>
  <c r="Q9" i="21"/>
  <c r="R9" i="21"/>
  <c r="S9" i="21"/>
  <c r="T9" i="21"/>
  <c r="U9" i="21"/>
  <c r="V9" i="21"/>
  <c r="W9" i="21"/>
  <c r="X9" i="21"/>
  <c r="Y9" i="21"/>
  <c r="O10" i="21"/>
  <c r="P10" i="21"/>
  <c r="Q10" i="21"/>
  <c r="R10" i="21"/>
  <c r="S10" i="21"/>
  <c r="T10" i="21"/>
  <c r="U10" i="21"/>
  <c r="V10" i="21"/>
  <c r="W10" i="21"/>
  <c r="X10" i="21"/>
  <c r="Y10" i="21"/>
  <c r="P4" i="21"/>
  <c r="Q4" i="21"/>
  <c r="R4" i="21"/>
  <c r="S4" i="21"/>
  <c r="T4" i="21"/>
  <c r="U4" i="21"/>
  <c r="V4" i="21"/>
  <c r="W4" i="21"/>
  <c r="X4" i="21"/>
  <c r="Y4" i="21"/>
  <c r="O4" i="21"/>
  <c r="S5" i="6"/>
  <c r="U5" i="6"/>
  <c r="W5" i="6"/>
  <c r="AA5" i="6"/>
  <c r="AC5" i="6"/>
  <c r="AE5" i="6"/>
  <c r="S6" i="6"/>
  <c r="U6" i="6"/>
  <c r="W6" i="6"/>
  <c r="AA6" i="6"/>
  <c r="AC6" i="6"/>
  <c r="AE6" i="6"/>
  <c r="U7" i="6"/>
  <c r="W7" i="6"/>
  <c r="AA7" i="6"/>
  <c r="AC7" i="6"/>
  <c r="AE7" i="6"/>
  <c r="S8" i="6"/>
  <c r="W8" i="6"/>
  <c r="AA8" i="6"/>
  <c r="AC8" i="6"/>
  <c r="AE8" i="6"/>
  <c r="O5" i="15"/>
  <c r="AB5" i="15"/>
  <c r="AC5" i="15"/>
  <c r="AE5" i="15"/>
  <c r="AF5" i="15"/>
  <c r="AH5" i="15"/>
  <c r="AI5" i="15"/>
  <c r="AK5" i="15"/>
  <c r="AL5" i="15"/>
  <c r="AM5" i="15"/>
  <c r="AN5" i="15"/>
  <c r="AO5" i="15"/>
  <c r="AQ5" i="15"/>
  <c r="AX5" i="15"/>
  <c r="AZ5" i="15"/>
  <c r="BE5" i="15"/>
  <c r="BG5" i="15"/>
  <c r="BM5" i="15"/>
  <c r="O6" i="15"/>
  <c r="AB6" i="15"/>
  <c r="AC6" i="15"/>
  <c r="AE6" i="15"/>
  <c r="AF6" i="15"/>
  <c r="AH6" i="15"/>
  <c r="AI6" i="15"/>
  <c r="AK6" i="15"/>
  <c r="AL6" i="15"/>
  <c r="AM6" i="15"/>
  <c r="AN6" i="15"/>
  <c r="AO6" i="15"/>
  <c r="AQ6" i="15"/>
  <c r="AX6" i="15"/>
  <c r="AZ6" i="15"/>
  <c r="BE6" i="15"/>
  <c r="BG6" i="15"/>
  <c r="BM6" i="15"/>
  <c r="O7" i="15"/>
  <c r="AB7" i="15"/>
  <c r="AC7" i="15"/>
  <c r="AE7" i="15"/>
  <c r="AF7" i="15"/>
  <c r="AH7" i="15"/>
  <c r="AI7" i="15"/>
  <c r="AK7" i="15"/>
  <c r="AL7" i="15"/>
  <c r="AM7" i="15"/>
  <c r="AN7" i="15"/>
  <c r="AO7" i="15"/>
  <c r="AQ7" i="15"/>
  <c r="AX7" i="15"/>
  <c r="AZ7" i="15"/>
  <c r="BE7" i="15"/>
  <c r="BG7" i="15"/>
  <c r="BM7" i="15"/>
  <c r="O5" i="14"/>
  <c r="Q5" i="14"/>
  <c r="R5" i="14"/>
  <c r="S5" i="14"/>
  <c r="T5" i="14"/>
  <c r="V5" i="14"/>
  <c r="X5" i="14"/>
  <c r="Y5" i="14"/>
  <c r="Z5" i="14"/>
  <c r="AA5" i="14"/>
  <c r="AG5" i="14"/>
  <c r="O6" i="14"/>
  <c r="Q6" i="14"/>
  <c r="R6" i="14"/>
  <c r="S6" i="14"/>
  <c r="T6" i="14"/>
  <c r="V6" i="14"/>
  <c r="X6" i="14"/>
  <c r="Y6" i="14"/>
  <c r="Z6" i="14"/>
  <c r="AA6" i="14"/>
  <c r="AG6" i="14"/>
  <c r="O7" i="14"/>
  <c r="Q7" i="14"/>
  <c r="R7" i="14"/>
  <c r="S7" i="14"/>
  <c r="T7" i="14"/>
  <c r="V7" i="14"/>
  <c r="X7" i="14"/>
  <c r="Y7" i="14"/>
  <c r="Z7" i="14"/>
  <c r="AA7" i="14"/>
  <c r="AG7" i="14"/>
  <c r="O8" i="14"/>
  <c r="Q8" i="14"/>
  <c r="R8" i="14"/>
  <c r="S8" i="14"/>
  <c r="T8" i="14"/>
  <c r="V8" i="14"/>
  <c r="X8" i="14"/>
  <c r="Y8" i="14"/>
  <c r="Z8" i="14"/>
  <c r="AA8" i="14"/>
  <c r="AG8" i="14"/>
  <c r="O9" i="14"/>
  <c r="Q9" i="14"/>
  <c r="R9" i="14"/>
  <c r="S9" i="14"/>
  <c r="T9" i="14"/>
  <c r="V9" i="14"/>
  <c r="X9" i="14"/>
  <c r="Y9" i="14"/>
  <c r="Z9" i="14"/>
  <c r="AA9" i="14"/>
  <c r="AG9" i="14"/>
  <c r="O10" i="14"/>
  <c r="Q10" i="14"/>
  <c r="R10" i="14"/>
  <c r="S10" i="14"/>
  <c r="T10" i="14"/>
  <c r="V10" i="14"/>
  <c r="X10" i="14"/>
  <c r="Y10" i="14"/>
  <c r="Z10" i="14"/>
  <c r="AA10" i="14"/>
  <c r="AG10" i="14"/>
  <c r="O11" i="14"/>
  <c r="Q11" i="14"/>
  <c r="R11" i="14"/>
  <c r="S11" i="14"/>
  <c r="T11" i="14"/>
  <c r="V11" i="14"/>
  <c r="X11" i="14"/>
  <c r="Y11" i="14"/>
  <c r="Z11" i="14"/>
  <c r="AA11" i="14"/>
  <c r="AG11" i="14"/>
  <c r="E5" i="20"/>
  <c r="F5" i="20"/>
  <c r="G5" i="20"/>
  <c r="H5" i="20"/>
  <c r="I5" i="20"/>
  <c r="J5" i="20"/>
  <c r="K5" i="20"/>
  <c r="L5" i="20"/>
  <c r="M5" i="20"/>
  <c r="N5" i="20"/>
  <c r="O5" i="20"/>
  <c r="Q5" i="20"/>
  <c r="T5" i="20"/>
  <c r="U5" i="20"/>
  <c r="V5" i="20"/>
  <c r="W5" i="20"/>
  <c r="X5" i="20"/>
  <c r="Y5" i="20"/>
  <c r="AA5" i="20"/>
  <c r="AB5" i="20"/>
  <c r="AC5" i="20"/>
  <c r="AD5" i="20"/>
  <c r="AE5" i="20"/>
  <c r="E6" i="20"/>
  <c r="F6" i="20"/>
  <c r="G6" i="20"/>
  <c r="H6" i="20"/>
  <c r="I6" i="20"/>
  <c r="J6" i="20"/>
  <c r="K6" i="20"/>
  <c r="L6" i="20"/>
  <c r="M6" i="20"/>
  <c r="N6" i="20"/>
  <c r="O6" i="20"/>
  <c r="Q6" i="20"/>
  <c r="T6" i="20"/>
  <c r="U6" i="20"/>
  <c r="V6" i="20"/>
  <c r="W6" i="20"/>
  <c r="X6" i="20"/>
  <c r="Y6" i="20"/>
  <c r="AA6" i="20"/>
  <c r="AB6" i="20"/>
  <c r="AC6" i="20"/>
  <c r="AD6" i="20"/>
  <c r="AE6" i="20"/>
  <c r="E7" i="20"/>
  <c r="F7" i="20"/>
  <c r="G7" i="20"/>
  <c r="H7" i="20"/>
  <c r="I7" i="20"/>
  <c r="J7" i="20"/>
  <c r="K7" i="20"/>
  <c r="L7" i="20"/>
  <c r="M7" i="20"/>
  <c r="N7" i="20"/>
  <c r="O7" i="20"/>
  <c r="Q7" i="20"/>
  <c r="T7" i="20"/>
  <c r="U7" i="20"/>
  <c r="V7" i="20"/>
  <c r="W7" i="20"/>
  <c r="X7" i="20"/>
  <c r="Y7" i="20"/>
  <c r="AA7" i="20"/>
  <c r="AB7" i="20"/>
  <c r="AC7" i="20"/>
  <c r="AD7" i="20"/>
  <c r="AE7" i="20"/>
  <c r="E8" i="20"/>
  <c r="F8" i="20"/>
  <c r="G8" i="20"/>
  <c r="H8" i="20"/>
  <c r="I8" i="20"/>
  <c r="J8" i="20"/>
  <c r="K8" i="20"/>
  <c r="L8" i="20"/>
  <c r="M8" i="20"/>
  <c r="N8" i="20"/>
  <c r="O8" i="20"/>
  <c r="Q8" i="20"/>
  <c r="T8" i="20"/>
  <c r="U8" i="20"/>
  <c r="V8" i="20"/>
  <c r="W8" i="20"/>
  <c r="X8" i="20"/>
  <c r="Y8" i="20"/>
  <c r="AA8" i="20"/>
  <c r="AB8" i="20"/>
  <c r="AC8" i="20"/>
  <c r="AD8" i="20"/>
  <c r="AE8" i="20"/>
  <c r="Q9" i="20"/>
  <c r="T9" i="20"/>
  <c r="U9" i="20"/>
  <c r="V9" i="20"/>
  <c r="W9" i="20"/>
  <c r="X9" i="20"/>
  <c r="Y9" i="20"/>
  <c r="AA9" i="20"/>
  <c r="AB9" i="20"/>
  <c r="AC9" i="20"/>
  <c r="AD9" i="20"/>
  <c r="AE9" i="20"/>
  <c r="Q10" i="20"/>
  <c r="T10" i="20"/>
  <c r="U10" i="20"/>
  <c r="V10" i="20"/>
  <c r="W10" i="20"/>
  <c r="X10" i="20"/>
  <c r="Y10" i="20"/>
  <c r="AA10" i="20"/>
  <c r="AB10" i="20"/>
  <c r="AC10" i="20"/>
  <c r="AD10" i="20"/>
  <c r="AE10" i="20"/>
  <c r="Q11" i="20"/>
  <c r="T11" i="20"/>
  <c r="U11" i="20"/>
  <c r="V11" i="20"/>
  <c r="W11" i="20"/>
  <c r="X11" i="20"/>
  <c r="Y11" i="20"/>
  <c r="AA11" i="20"/>
  <c r="AB11" i="20"/>
  <c r="AC11" i="20"/>
  <c r="AD11" i="20"/>
  <c r="AE11" i="20"/>
  <c r="P5" i="24"/>
  <c r="AC5" i="24"/>
  <c r="AR5" i="24"/>
  <c r="P6" i="24"/>
  <c r="AC6" i="24"/>
  <c r="AR6" i="24"/>
  <c r="P7" i="24"/>
  <c r="AC7" i="24"/>
  <c r="AR7" i="24"/>
  <c r="P8" i="24"/>
  <c r="AC8" i="24"/>
  <c r="AR8" i="24"/>
  <c r="P9" i="24"/>
  <c r="AC9" i="24"/>
  <c r="AR9" i="24"/>
  <c r="P10" i="24"/>
  <c r="AC10" i="24"/>
  <c r="AR10" i="24"/>
  <c r="F4" i="20"/>
  <c r="G4" i="20"/>
  <c r="H4" i="20"/>
  <c r="I4" i="20"/>
  <c r="J4" i="20"/>
  <c r="K4" i="20"/>
  <c r="L4" i="20"/>
  <c r="M4" i="20"/>
  <c r="N4" i="20"/>
  <c r="O4" i="20"/>
  <c r="E4" i="20"/>
  <c r="AC4" i="24"/>
  <c r="AR4" i="24"/>
  <c r="P4" i="24"/>
  <c r="T4" i="20"/>
  <c r="U4" i="20"/>
  <c r="V4" i="20"/>
  <c r="W4" i="20"/>
  <c r="X4" i="20"/>
  <c r="Y4" i="20"/>
  <c r="AE4" i="20"/>
  <c r="AD4" i="20"/>
  <c r="AC4" i="20"/>
  <c r="AB4" i="20"/>
  <c r="AA4" i="20"/>
  <c r="Q4" i="20"/>
  <c r="BM4" i="15"/>
  <c r="AG4" i="14"/>
  <c r="U4" i="6"/>
  <c r="S4" i="6"/>
  <c r="W4" i="6"/>
  <c r="O4" i="14"/>
  <c r="O4" i="15"/>
  <c r="AB4" i="15"/>
  <c r="BE4" i="15"/>
  <c r="BG4" i="15"/>
  <c r="AX4" i="15"/>
  <c r="AZ4" i="15"/>
  <c r="AQ4" i="15"/>
  <c r="AC4" i="15"/>
  <c r="AH4" i="15"/>
  <c r="AI4" i="15"/>
  <c r="AK4" i="15"/>
  <c r="AL4" i="15"/>
  <c r="AM4" i="15"/>
  <c r="AN4" i="15"/>
  <c r="AO4" i="15"/>
  <c r="AF4" i="15"/>
  <c r="AE4" i="15"/>
  <c r="Q4" i="14"/>
  <c r="R4" i="14"/>
  <c r="S4" i="14"/>
  <c r="T4" i="14"/>
  <c r="V4" i="14"/>
  <c r="X4" i="14"/>
  <c r="Y4" i="14"/>
  <c r="Z4" i="14"/>
  <c r="AA4" i="14"/>
</calcChain>
</file>

<file path=xl/sharedStrings.xml><?xml version="1.0" encoding="utf-8"?>
<sst xmlns="http://schemas.openxmlformats.org/spreadsheetml/2006/main" count="349" uniqueCount="128">
  <si>
    <t xml:space="preserve">   SiO2  </t>
  </si>
  <si>
    <t xml:space="preserve">   Na2O  </t>
  </si>
  <si>
    <t xml:space="preserve">   CaO   </t>
  </si>
  <si>
    <t xml:space="preserve">   MgO   </t>
  </si>
  <si>
    <t xml:space="preserve">   MnO   </t>
  </si>
  <si>
    <t xml:space="preserve">   TiO2  </t>
  </si>
  <si>
    <t xml:space="preserve">   FeO   </t>
  </si>
  <si>
    <t xml:space="preserve">  Total  </t>
  </si>
  <si>
    <t xml:space="preserve">   Cr2O3 </t>
  </si>
  <si>
    <t xml:space="preserve">   Al2O3 </t>
  </si>
  <si>
    <t>SAMPLE ID</t>
  </si>
  <si>
    <t>NiO</t>
  </si>
  <si>
    <t>Si</t>
  </si>
  <si>
    <t>Al</t>
  </si>
  <si>
    <t>Mg</t>
  </si>
  <si>
    <t>Ni</t>
  </si>
  <si>
    <t>Ti</t>
  </si>
  <si>
    <t>Cr</t>
  </si>
  <si>
    <t>Mn</t>
  </si>
  <si>
    <t>Ca</t>
  </si>
  <si>
    <t>Na</t>
  </si>
  <si>
    <t>Fe</t>
  </si>
  <si>
    <t>O</t>
  </si>
  <si>
    <t>Cr#</t>
  </si>
  <si>
    <t>molar cation</t>
  </si>
  <si>
    <t>norm</t>
  </si>
  <si>
    <t>Fe3+</t>
  </si>
  <si>
    <t>Fe2+</t>
  </si>
  <si>
    <t>Mg#</t>
  </si>
  <si>
    <t>Fo# olivine</t>
  </si>
  <si>
    <t>Comments</t>
  </si>
  <si>
    <t>X_M1*X_M2 opx</t>
  </si>
  <si>
    <t>logfO2, PT</t>
  </si>
  <si>
    <t>Frost, 1991</t>
  </si>
  <si>
    <t>logQFM, P,T_std</t>
  </si>
  <si>
    <t>logQFM, P,T_S+Gh</t>
  </si>
  <si>
    <t>T (std) in C</t>
  </si>
  <si>
    <t>P (std) in kbar</t>
  </si>
  <si>
    <t xml:space="preserve">   FeOT</t>
  </si>
  <si>
    <t>sum O props</t>
  </si>
  <si>
    <t>num O</t>
  </si>
  <si>
    <t>cation sum</t>
  </si>
  <si>
    <t>CaEs</t>
  </si>
  <si>
    <t>jad</t>
  </si>
  <si>
    <t>K-jad</t>
  </si>
  <si>
    <t>Al-buf</t>
  </si>
  <si>
    <t>CaTs</t>
  </si>
  <si>
    <t>DiHd</t>
  </si>
  <si>
    <t>EnFs</t>
  </si>
  <si>
    <t>sum</t>
  </si>
  <si>
    <t>Fe/Mn</t>
  </si>
  <si>
    <t>Al(IV)</t>
  </si>
  <si>
    <t>Al(VI)</t>
  </si>
  <si>
    <t>XFeM1*XFeM2</t>
  </si>
  <si>
    <t>delQFM @ T</t>
  </si>
  <si>
    <t>a_Fe3O4 (T_std)</t>
  </si>
  <si>
    <t>Fo#</t>
  </si>
  <si>
    <t>TiO2</t>
  </si>
  <si>
    <t>Mattioli and Wood</t>
  </si>
  <si>
    <t>dQFM</t>
  </si>
  <si>
    <t>X_Mg/X_Fe</t>
  </si>
  <si>
    <t>total cat</t>
  </si>
  <si>
    <t>total O</t>
  </si>
  <si>
    <t>Mg to spinel</t>
  </si>
  <si>
    <t>spinel</t>
  </si>
  <si>
    <t>Cr to chromite</t>
  </si>
  <si>
    <t>chromite</t>
  </si>
  <si>
    <t>Ti to ulvospinel</t>
  </si>
  <si>
    <t>ulvospinel</t>
  </si>
  <si>
    <t>Fe3+ to magnetite</t>
  </si>
  <si>
    <t>magnetite</t>
  </si>
  <si>
    <t>MgAl2O4</t>
  </si>
  <si>
    <t>FeCr2O4</t>
  </si>
  <si>
    <t>Fe2TiO4</t>
  </si>
  <si>
    <t>FeFe2O4</t>
  </si>
  <si>
    <t>remaining Fe2+ to hercynite</t>
  </si>
  <si>
    <t>hercynite</t>
  </si>
  <si>
    <t>FeAl2O4</t>
  </si>
  <si>
    <t>normalized</t>
  </si>
  <si>
    <t>total</t>
  </si>
  <si>
    <t>p</t>
  </si>
  <si>
    <t>sample</t>
  </si>
  <si>
    <t>P (GPa)</t>
  </si>
  <si>
    <t>phase1</t>
  </si>
  <si>
    <t>SiO2</t>
  </si>
  <si>
    <t>Al2O3</t>
  </si>
  <si>
    <t>Cr2O3</t>
  </si>
  <si>
    <t>Fe2O3</t>
  </si>
  <si>
    <t>FeO</t>
  </si>
  <si>
    <t>MnO</t>
  </si>
  <si>
    <t>MgO</t>
  </si>
  <si>
    <t>CaO</t>
  </si>
  <si>
    <t>Na2O</t>
  </si>
  <si>
    <t>phase2</t>
  </si>
  <si>
    <t>ol</t>
  </si>
  <si>
    <t>spl</t>
  </si>
  <si>
    <t>Average</t>
  </si>
  <si>
    <t>stdev</t>
  </si>
  <si>
    <t>Sack and Ghiorso</t>
  </si>
  <si>
    <t>Fe3+/tFe</t>
  </si>
  <si>
    <t>Total O</t>
  </si>
  <si>
    <t>Fe_total per 3 cations</t>
  </si>
  <si>
    <t>Fe3+/tFe precision</t>
  </si>
  <si>
    <t>error</t>
  </si>
  <si>
    <t>wt% TiO2</t>
  </si>
  <si>
    <t>wt% NiO</t>
  </si>
  <si>
    <t>98-101.5</t>
  </si>
  <si>
    <t>Li thermometer</t>
  </si>
  <si>
    <t>KD</t>
  </si>
  <si>
    <t>Y_Cr</t>
  </si>
  <si>
    <t>Y_Fe3</t>
  </si>
  <si>
    <t>lnKD0</t>
  </si>
  <si>
    <t>T (°C) Li</t>
  </si>
  <si>
    <t>t</t>
  </si>
  <si>
    <t>from Li 1995</t>
  </si>
  <si>
    <t>T (Li et al., 1995)</t>
  </si>
  <si>
    <t>a_Fe3O4 (T_Li)</t>
  </si>
  <si>
    <t>Li et al., 1995</t>
  </si>
  <si>
    <t>FORMAT INPUT SPREADSHEET TO 8 DECIMAL POINTS-- MSS.PY DOESN'T LIKE SCIENTIFIC NOTATION</t>
  </si>
  <si>
    <t>SWIR 50-07 projected back, iso-chemical/modal</t>
  </si>
  <si>
    <t>SWIR 50-07 projected back, Mg# in spinel decreasing as T increases</t>
  </si>
  <si>
    <t>SWIR 50-07 projected back, Fe3+ increases, Al decreases</t>
  </si>
  <si>
    <t>subtract MgAl2O4</t>
  </si>
  <si>
    <t>lose spinel Mg as you go to low T</t>
  </si>
  <si>
    <t>lose Al and gain Fe3+ at high T</t>
  </si>
  <si>
    <t>more MgAl2O4</t>
  </si>
  <si>
    <t>less MgAl2O4</t>
  </si>
  <si>
    <t>Fred thinks high T, high Fe3+/tFe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</si>
</sst>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[$-409]General"/>
    <numFmt numFmtId="166" formatCode="[$$-409]#,##0.00;[Red]&quot;-&quot;[$$-409]#,##0.00"/>
    <numFmt numFmtId="167" formatCode="0.000"/>
    <numFmt numFmtId="168" formatCode="0.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Helv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0"/>
      <name val="Helv"/>
    </font>
    <font>
      <b/>
      <sz val="11"/>
      <color rgb="FF3F3F3F"/>
      <name val="Calibri"/>
      <family val="2"/>
    </font>
    <font>
      <b/>
      <i/>
      <u/>
      <sz val="11"/>
      <color rgb="FF000000"/>
      <name val="Arial"/>
      <family val="2"/>
    </font>
    <font>
      <b/>
      <sz val="18"/>
      <color rgb="FF1F497D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Arial"/>
    </font>
    <font>
      <sz val="10"/>
      <name val="Arial"/>
      <family val="2"/>
    </font>
    <font>
      <sz val="10"/>
      <color theme="1"/>
      <name val="Arial"/>
    </font>
    <font>
      <sz val="11"/>
      <name val="Calibri"/>
      <scheme val="minor"/>
    </font>
    <font>
      <b/>
      <sz val="14"/>
      <color rgb="FF000000"/>
      <name val="Calibri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F2DDDC"/>
        <bgColor rgb="FFF2DDDC"/>
      </patternFill>
    </fill>
    <fill>
      <patternFill patternType="solid">
        <fgColor rgb="FFEAF1DD"/>
        <bgColor rgb="FFEAF1DD"/>
      </patternFill>
    </fill>
    <fill>
      <patternFill patternType="solid">
        <fgColor rgb="FFE5E0EC"/>
        <bgColor rgb="FFE5E0EC"/>
      </patternFill>
    </fill>
    <fill>
      <patternFill patternType="solid">
        <fgColor rgb="FFDBEEF3"/>
        <bgColor rgb="FFDB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9B8"/>
        <bgColor rgb="FFE6B9B8"/>
      </patternFill>
    </fill>
    <fill>
      <patternFill patternType="solid">
        <fgColor rgb="FFD7E4BC"/>
        <bgColor rgb="FFD7E4BC"/>
      </patternFill>
    </fill>
    <fill>
      <patternFill patternType="solid">
        <fgColor rgb="FFCCC0DA"/>
        <bgColor rgb="FFCCC0DA"/>
      </patternFill>
    </fill>
    <fill>
      <patternFill patternType="solid">
        <fgColor rgb="FFB6DDE8"/>
        <bgColor rgb="FFB6DD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99795"/>
        <bgColor rgb="FFD99795"/>
      </patternFill>
    </fill>
    <fill>
      <patternFill patternType="solid">
        <fgColor rgb="FFC2D69A"/>
        <bgColor rgb="FFC2D69A"/>
      </patternFill>
    </fill>
    <fill>
      <patternFill patternType="solid">
        <fgColor rgb="FFB2A1C7"/>
        <bgColor rgb="FFB2A1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7CE"/>
        <bgColor rgb="FFFFC7CE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2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23" fillId="0" borderId="0" applyNumberFormat="0" applyBorder="0" applyProtection="0"/>
    <xf numFmtId="0" fontId="1" fillId="0" borderId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6" fillId="33" borderId="4" applyNumberFormat="0" applyAlignment="0" applyProtection="0"/>
    <xf numFmtId="0" fontId="26" fillId="33" borderId="4" applyNumberFormat="0" applyAlignment="0" applyProtection="0"/>
    <xf numFmtId="0" fontId="27" fillId="60" borderId="7" applyNumberFormat="0" applyAlignment="0" applyProtection="0"/>
    <xf numFmtId="0" fontId="27" fillId="60" borderId="7" applyNumberFormat="0" applyAlignment="0" applyProtection="0"/>
    <xf numFmtId="165" fontId="22" fillId="0" borderId="0" applyBorder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61" borderId="0" applyNumberFormat="0" applyBorder="0" applyAlignment="0" applyProtection="0"/>
    <xf numFmtId="0" fontId="29" fillId="61" borderId="0" applyNumberFormat="0" applyBorder="0" applyAlignment="0" applyProtection="0"/>
    <xf numFmtId="0" fontId="30" fillId="0" borderId="0" applyNumberFormat="0" applyBorder="0" applyProtection="0">
      <alignment horizontal="center"/>
    </xf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0" applyNumberFormat="0" applyBorder="0" applyProtection="0">
      <alignment horizontal="center" textRotation="90"/>
    </xf>
    <xf numFmtId="0" fontId="34" fillId="62" borderId="4" applyNumberFormat="0" applyAlignment="0" applyProtection="0"/>
    <xf numFmtId="0" fontId="34" fillId="62" borderId="4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18" fillId="0" borderId="0"/>
    <xf numFmtId="0" fontId="18" fillId="0" borderId="0" applyNumberFormat="0" applyFont="0" applyBorder="0" applyProtection="0"/>
    <xf numFmtId="0" fontId="20" fillId="0" borderId="0" applyNumberFormat="0" applyBorder="0" applyProtection="0"/>
    <xf numFmtId="0" fontId="1" fillId="0" borderId="0"/>
    <xf numFmtId="0" fontId="37" fillId="0" borderId="0"/>
    <xf numFmtId="0" fontId="18" fillId="0" borderId="0"/>
    <xf numFmtId="0" fontId="18" fillId="0" borderId="0"/>
    <xf numFmtId="0" fontId="18" fillId="64" borderId="8" applyNumberFormat="0" applyFont="0" applyAlignment="0" applyProtection="0"/>
    <xf numFmtId="0" fontId="18" fillId="64" borderId="8" applyNumberFormat="0" applyFont="0" applyAlignment="0" applyProtection="0"/>
    <xf numFmtId="0" fontId="38" fillId="33" borderId="5" applyNumberFormat="0" applyAlignment="0" applyProtection="0"/>
    <xf numFmtId="0" fontId="38" fillId="33" borderId="5" applyNumberFormat="0" applyAlignment="0" applyProtection="0"/>
    <xf numFmtId="0" fontId="39" fillId="0" borderId="0" applyNumberFormat="0" applyBorder="0" applyProtection="0"/>
    <xf numFmtId="166" fontId="39" fillId="0" borderId="0" applyBorder="0" applyProtection="0"/>
    <xf numFmtId="0" fontId="39" fillId="0" borderId="0" applyNumberFormat="0" applyBorder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14" applyNumberFormat="0" applyFill="0" applyAlignment="0" applyProtection="0"/>
    <xf numFmtId="0" fontId="41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6" fillId="0" borderId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7" fillId="0" borderId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86">
    <xf numFmtId="0" fontId="0" fillId="0" borderId="0" xfId="0"/>
    <xf numFmtId="164" fontId="21" fillId="0" borderId="0" xfId="42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20" fillId="0" borderId="0" xfId="45" applyNumberFormat="1" applyFont="1" applyFill="1" applyAlignment="1"/>
    <xf numFmtId="0" fontId="16" fillId="0" borderId="0" xfId="0" applyFont="1"/>
    <xf numFmtId="0" fontId="21" fillId="0" borderId="0" xfId="0" applyFont="1"/>
    <xf numFmtId="2" fontId="21" fillId="0" borderId="0" xfId="0" applyNumberFormat="1" applyFont="1" applyAlignment="1">
      <alignment horizontal="right"/>
    </xf>
    <xf numFmtId="164" fontId="45" fillId="34" borderId="0" xfId="45" applyNumberFormat="1" applyFont="1" applyFill="1" applyAlignment="1"/>
    <xf numFmtId="0" fontId="0" fillId="0" borderId="0" xfId="0"/>
    <xf numFmtId="0" fontId="0" fillId="34" borderId="0" xfId="0" applyFill="1"/>
    <xf numFmtId="164" fontId="16" fillId="34" borderId="0" xfId="0" applyNumberFormat="1" applyFont="1" applyFill="1"/>
    <xf numFmtId="164" fontId="20" fillId="0" borderId="0" xfId="45" applyNumberFormat="1"/>
    <xf numFmtId="164" fontId="16" fillId="0" borderId="0" xfId="0" applyNumberFormat="1" applyFont="1" applyAlignment="1">
      <alignment horizontal="right"/>
    </xf>
    <xf numFmtId="164" fontId="19" fillId="0" borderId="10" xfId="45" applyNumberFormat="1" applyFont="1" applyFill="1" applyBorder="1" applyAlignment="1">
      <alignment horizontal="right"/>
    </xf>
    <xf numFmtId="0" fontId="19" fillId="0" borderId="10" xfId="0" applyFont="1" applyBorder="1"/>
    <xf numFmtId="0" fontId="19" fillId="34" borderId="10" xfId="0" applyFont="1" applyFill="1" applyBorder="1"/>
    <xf numFmtId="164" fontId="19" fillId="34" borderId="10" xfId="45" applyNumberFormat="1" applyFont="1" applyFill="1" applyBorder="1" applyAlignment="1">
      <alignment horizontal="right"/>
    </xf>
    <xf numFmtId="164" fontId="41" fillId="0" borderId="10" xfId="45" applyNumberFormat="1" applyFont="1" applyBorder="1"/>
    <xf numFmtId="164" fontId="16" fillId="0" borderId="10" xfId="0" applyNumberFormat="1" applyFont="1" applyBorder="1" applyAlignment="1">
      <alignment horizontal="right"/>
    </xf>
    <xf numFmtId="164" fontId="19" fillId="0" borderId="0" xfId="42" applyNumberFormat="1" applyFont="1" applyAlignment="1">
      <alignment horizontal="right"/>
    </xf>
    <xf numFmtId="0" fontId="16" fillId="34" borderId="10" xfId="0" applyFont="1" applyFill="1" applyBorder="1"/>
    <xf numFmtId="0" fontId="16" fillId="34" borderId="0" xfId="0" applyFont="1" applyFill="1"/>
    <xf numFmtId="0" fontId="21" fillId="0" borderId="15" xfId="0" applyFont="1" applyBorder="1"/>
    <xf numFmtId="0" fontId="19" fillId="0" borderId="16" xfId="0" applyFont="1" applyBorder="1"/>
    <xf numFmtId="0" fontId="0" fillId="0" borderId="15" xfId="0" applyBorder="1"/>
    <xf numFmtId="164" fontId="0" fillId="0" borderId="15" xfId="0" applyNumberFormat="1" applyFont="1" applyBorder="1" applyAlignment="1">
      <alignment horizontal="right"/>
    </xf>
    <xf numFmtId="2" fontId="21" fillId="0" borderId="15" xfId="0" applyNumberFormat="1" applyFont="1" applyBorder="1" applyAlignment="1">
      <alignment horizontal="right"/>
    </xf>
    <xf numFmtId="0" fontId="16" fillId="0" borderId="10" xfId="0" applyFont="1" applyBorder="1"/>
    <xf numFmtId="0" fontId="16" fillId="0" borderId="16" xfId="0" applyFont="1" applyBorder="1"/>
    <xf numFmtId="0" fontId="0" fillId="0" borderId="0" xfId="0" applyFont="1"/>
    <xf numFmtId="0" fontId="0" fillId="0" borderId="15" xfId="0" applyFont="1" applyBorder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19" fillId="0" borderId="0" xfId="0" applyFont="1" applyFill="1" applyBorder="1"/>
    <xf numFmtId="164" fontId="19" fillId="0" borderId="0" xfId="45" applyNumberFormat="1" applyFont="1" applyFill="1" applyBorder="1" applyAlignment="1">
      <alignment horizontal="right"/>
    </xf>
    <xf numFmtId="164" fontId="41" fillId="0" borderId="0" xfId="45" applyNumberFormat="1" applyFont="1" applyBorder="1"/>
    <xf numFmtId="164" fontId="16" fillId="0" borderId="0" xfId="0" applyNumberFormat="1" applyFont="1" applyBorder="1" applyAlignment="1">
      <alignment horizontal="right"/>
    </xf>
    <xf numFmtId="164" fontId="21" fillId="0" borderId="0" xfId="42" applyNumberFormat="1" applyFont="1" applyAlignment="1">
      <alignment horizontal="right" wrapText="1"/>
    </xf>
    <xf numFmtId="0" fontId="21" fillId="0" borderId="0" xfId="42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19" fillId="0" borderId="0" xfId="45" applyNumberFormat="1" applyFont="1" applyFill="1" applyBorder="1" applyAlignment="1">
      <alignment horizontal="right"/>
    </xf>
    <xf numFmtId="0" fontId="0" fillId="0" borderId="0" xfId="0" applyBorder="1"/>
    <xf numFmtId="0" fontId="21" fillId="0" borderId="0" xfId="42" applyNumberFormat="1" applyFont="1" applyFill="1" applyBorder="1" applyAlignment="1">
      <alignment horizontal="right"/>
    </xf>
    <xf numFmtId="164" fontId="21" fillId="0" borderId="0" xfId="42" applyNumberFormat="1" applyFont="1" applyFill="1" applyBorder="1" applyAlignment="1">
      <alignment horizontal="right"/>
    </xf>
    <xf numFmtId="0" fontId="0" fillId="0" borderId="0" xfId="0" applyFill="1"/>
    <xf numFmtId="164" fontId="19" fillId="0" borderId="0" xfId="42" applyNumberFormat="1" applyFont="1" applyFill="1" applyAlignment="1">
      <alignment horizontal="right"/>
    </xf>
    <xf numFmtId="164" fontId="16" fillId="0" borderId="0" xfId="0" applyNumberFormat="1" applyFont="1" applyFill="1" applyAlignment="1">
      <alignment horizontal="right"/>
    </xf>
    <xf numFmtId="0" fontId="19" fillId="0" borderId="0" xfId="0" applyFont="1" applyFill="1"/>
    <xf numFmtId="0" fontId="19" fillId="34" borderId="0" xfId="0" applyFont="1" applyFill="1" applyBorder="1"/>
    <xf numFmtId="164" fontId="19" fillId="65" borderId="0" xfId="45" applyNumberFormat="1" applyFont="1" applyFill="1" applyBorder="1" applyAlignment="1">
      <alignment horizontal="right"/>
    </xf>
    <xf numFmtId="0" fontId="19" fillId="65" borderId="0" xfId="0" applyFont="1" applyFill="1" applyBorder="1"/>
    <xf numFmtId="0" fontId="0" fillId="65" borderId="0" xfId="0" applyFill="1"/>
    <xf numFmtId="0" fontId="19" fillId="65" borderId="10" xfId="0" applyFont="1" applyFill="1" applyBorder="1"/>
    <xf numFmtId="0" fontId="16" fillId="65" borderId="10" xfId="0" applyFont="1" applyFill="1" applyBorder="1"/>
    <xf numFmtId="1" fontId="20" fillId="0" borderId="0" xfId="45" applyNumberFormat="1"/>
    <xf numFmtId="0" fontId="14" fillId="0" borderId="0" xfId="0" applyFont="1"/>
    <xf numFmtId="167" fontId="16" fillId="0" borderId="0" xfId="0" applyNumberFormat="1" applyFont="1"/>
    <xf numFmtId="167" fontId="0" fillId="0" borderId="0" xfId="0" applyNumberFormat="1" applyFill="1"/>
    <xf numFmtId="2" fontId="0" fillId="0" borderId="0" xfId="0" applyNumberFormat="1"/>
    <xf numFmtId="0" fontId="16" fillId="0" borderId="10" xfId="0" applyFont="1" applyFill="1" applyBorder="1"/>
    <xf numFmtId="2" fontId="0" fillId="0" borderId="0" xfId="0" applyNumberFormat="1" applyFill="1"/>
    <xf numFmtId="0" fontId="0" fillId="0" borderId="15" xfId="0" applyFill="1" applyBorder="1"/>
    <xf numFmtId="168" fontId="0" fillId="0" borderId="0" xfId="0" applyNumberFormat="1" applyFill="1"/>
    <xf numFmtId="0" fontId="16" fillId="0" borderId="17" xfId="0" applyFont="1" applyBorder="1"/>
    <xf numFmtId="0" fontId="41" fillId="0" borderId="17" xfId="43" applyFont="1" applyBorder="1"/>
    <xf numFmtId="164" fontId="21" fillId="0" borderId="0" xfId="42" applyNumberFormat="1" applyFont="1" applyAlignment="1">
      <alignment horizontal="left"/>
    </xf>
    <xf numFmtId="164" fontId="49" fillId="0" borderId="0" xfId="42" applyNumberFormat="1" applyFont="1" applyAlignment="1">
      <alignment horizontal="left"/>
    </xf>
    <xf numFmtId="0" fontId="0" fillId="0" borderId="0" xfId="0" applyFill="1" applyBorder="1"/>
    <xf numFmtId="167" fontId="48" fillId="65" borderId="0" xfId="0" applyNumberFormat="1" applyFont="1" applyFill="1"/>
    <xf numFmtId="164" fontId="48" fillId="65" borderId="0" xfId="0" applyNumberFormat="1" applyFont="1" applyFill="1"/>
    <xf numFmtId="164" fontId="19" fillId="65" borderId="0" xfId="42" applyNumberFormat="1" applyFont="1" applyFill="1" applyBorder="1" applyAlignment="1">
      <alignment horizontal="right"/>
    </xf>
    <xf numFmtId="164" fontId="21" fillId="0" borderId="0" xfId="42" applyNumberFormat="1" applyFont="1" applyBorder="1" applyAlignment="1">
      <alignment horizontal="right"/>
    </xf>
    <xf numFmtId="164" fontId="21" fillId="0" borderId="0" xfId="42" applyNumberFormat="1" applyFont="1" applyFill="1" applyAlignment="1">
      <alignment horizontal="right"/>
    </xf>
    <xf numFmtId="164" fontId="20" fillId="0" borderId="0" xfId="45" applyNumberFormat="1" applyFill="1"/>
    <xf numFmtId="164" fontId="0" fillId="0" borderId="0" xfId="0" applyNumberFormat="1" applyFont="1" applyFill="1" applyAlignment="1">
      <alignment horizontal="right"/>
    </xf>
    <xf numFmtId="0" fontId="0" fillId="0" borderId="18" xfId="0" applyBorder="1"/>
    <xf numFmtId="0" fontId="0" fillId="66" borderId="0" xfId="0" applyFill="1" applyBorder="1"/>
    <xf numFmtId="0" fontId="0" fillId="67" borderId="19" xfId="0" applyFill="1" applyBorder="1"/>
    <xf numFmtId="0" fontId="0" fillId="67" borderId="20" xfId="0" applyFill="1" applyBorder="1"/>
    <xf numFmtId="0" fontId="0" fillId="67" borderId="21" xfId="0" applyFill="1" applyBorder="1"/>
    <xf numFmtId="0" fontId="0" fillId="68" borderId="0" xfId="0" applyFill="1"/>
    <xf numFmtId="0" fontId="0" fillId="66" borderId="0" xfId="0" applyFill="1"/>
    <xf numFmtId="164" fontId="0" fillId="0" borderId="18" xfId="0" applyNumberFormat="1" applyFont="1" applyBorder="1" applyAlignment="1">
      <alignment horizontal="right"/>
    </xf>
    <xf numFmtId="164" fontId="0" fillId="0" borderId="0" xfId="0" applyNumberFormat="1" applyFont="1" applyAlignment="1">
      <alignment horizontal="left"/>
    </xf>
    <xf numFmtId="164" fontId="16" fillId="0" borderId="0" xfId="0" applyNumberFormat="1" applyFont="1" applyAlignment="1">
      <alignment horizontal="left"/>
    </xf>
    <xf numFmtId="0" fontId="16" fillId="0" borderId="0" xfId="0" applyFont="1" applyBorder="1"/>
  </cellXfs>
  <cellStyles count="2246">
    <cellStyle name="20% - Accent1" xfId="19" builtinId="30" customBuiltin="1"/>
    <cellStyle name="20% - Accent1 2" xfId="49"/>
    <cellStyle name="20% - Accent1 3" xfId="50"/>
    <cellStyle name="20% - Accent2" xfId="23" builtinId="34" customBuiltin="1"/>
    <cellStyle name="20% - Accent2 2" xfId="51"/>
    <cellStyle name="20% - Accent2 3" xfId="52"/>
    <cellStyle name="20% - Accent3" xfId="27" builtinId="38" customBuiltin="1"/>
    <cellStyle name="20% - Accent3 2" xfId="53"/>
    <cellStyle name="20% - Accent3 3" xfId="54"/>
    <cellStyle name="20% - Accent4" xfId="31" builtinId="42" customBuiltin="1"/>
    <cellStyle name="20% - Accent4 2" xfId="55"/>
    <cellStyle name="20% - Accent4 3" xfId="56"/>
    <cellStyle name="20% - Accent5" xfId="35" builtinId="46" customBuiltin="1"/>
    <cellStyle name="20% - Accent5 2" xfId="57"/>
    <cellStyle name="20% - Accent5 3" xfId="58"/>
    <cellStyle name="20% - Accent6" xfId="39" builtinId="50" customBuiltin="1"/>
    <cellStyle name="20% - Accent6 2" xfId="59"/>
    <cellStyle name="20% - Accent6 3" xfId="60"/>
    <cellStyle name="40% - Accent1" xfId="20" builtinId="31" customBuiltin="1"/>
    <cellStyle name="40% - Accent1 2" xfId="61"/>
    <cellStyle name="40% - Accent1 3" xfId="62"/>
    <cellStyle name="40% - Accent2" xfId="24" builtinId="35" customBuiltin="1"/>
    <cellStyle name="40% - Accent2 2" xfId="63"/>
    <cellStyle name="40% - Accent2 3" xfId="64"/>
    <cellStyle name="40% - Accent3" xfId="28" builtinId="39" customBuiltin="1"/>
    <cellStyle name="40% - Accent3 2" xfId="65"/>
    <cellStyle name="40% - Accent3 3" xfId="66"/>
    <cellStyle name="40% - Accent4" xfId="32" builtinId="43" customBuiltin="1"/>
    <cellStyle name="40% - Accent4 2" xfId="67"/>
    <cellStyle name="40% - Accent4 3" xfId="68"/>
    <cellStyle name="40% - Accent5" xfId="36" builtinId="47" customBuiltin="1"/>
    <cellStyle name="40% - Accent5 2" xfId="69"/>
    <cellStyle name="40% - Accent5 3" xfId="70"/>
    <cellStyle name="40% - Accent6" xfId="40" builtinId="51" customBuiltin="1"/>
    <cellStyle name="40% - Accent6 2" xfId="71"/>
    <cellStyle name="40% - Accent6 3" xfId="72"/>
    <cellStyle name="60% - Accent1" xfId="21" builtinId="32" customBuiltin="1"/>
    <cellStyle name="60% - Accent1 2" xfId="73"/>
    <cellStyle name="60% - Accent1 3" xfId="74"/>
    <cellStyle name="60% - Accent2" xfId="25" builtinId="36" customBuiltin="1"/>
    <cellStyle name="60% - Accent2 2" xfId="75"/>
    <cellStyle name="60% - Accent2 3" xfId="76"/>
    <cellStyle name="60% - Accent3" xfId="29" builtinId="40" customBuiltin="1"/>
    <cellStyle name="60% - Accent3 2" xfId="77"/>
    <cellStyle name="60% - Accent3 3" xfId="78"/>
    <cellStyle name="60% - Accent4" xfId="33" builtinId="44" customBuiltin="1"/>
    <cellStyle name="60% - Accent4 2" xfId="79"/>
    <cellStyle name="60% - Accent4 3" xfId="80"/>
    <cellStyle name="60% - Accent5" xfId="37" builtinId="48" customBuiltin="1"/>
    <cellStyle name="60% - Accent5 2" xfId="81"/>
    <cellStyle name="60% - Accent5 3" xfId="82"/>
    <cellStyle name="60% - Accent6" xfId="41" builtinId="52" customBuiltin="1"/>
    <cellStyle name="60% - Accent6 2" xfId="83"/>
    <cellStyle name="60% - Accent6 3" xfId="84"/>
    <cellStyle name="Accent1" xfId="18" builtinId="29" customBuiltin="1"/>
    <cellStyle name="Accent1 2" xfId="85"/>
    <cellStyle name="Accent1 3" xfId="86"/>
    <cellStyle name="Accent2" xfId="22" builtinId="33" customBuiltin="1"/>
    <cellStyle name="Accent2 2" xfId="87"/>
    <cellStyle name="Accent2 3" xfId="88"/>
    <cellStyle name="Accent3" xfId="26" builtinId="37" customBuiltin="1"/>
    <cellStyle name="Accent3 2" xfId="89"/>
    <cellStyle name="Accent3 3" xfId="90"/>
    <cellStyle name="Accent4" xfId="30" builtinId="41" customBuiltin="1"/>
    <cellStyle name="Accent4 2" xfId="91"/>
    <cellStyle name="Accent4 3" xfId="92"/>
    <cellStyle name="Accent5" xfId="34" builtinId="45" customBuiltin="1"/>
    <cellStyle name="Accent5 2" xfId="93"/>
    <cellStyle name="Accent5 3" xfId="94"/>
    <cellStyle name="Accent6" xfId="38" builtinId="49" customBuiltin="1"/>
    <cellStyle name="Accent6 2" xfId="95"/>
    <cellStyle name="Accent6 3" xfId="96"/>
    <cellStyle name="Bad" xfId="7" builtinId="27" customBuiltin="1"/>
    <cellStyle name="Bad 2" xfId="97"/>
    <cellStyle name="Bad 3" xfId="98"/>
    <cellStyle name="Calculation" xfId="11" builtinId="22" customBuiltin="1"/>
    <cellStyle name="Calculation 2" xfId="99"/>
    <cellStyle name="Calculation 3" xfId="100"/>
    <cellStyle name="Check Cell" xfId="13" builtinId="23" customBuiltin="1"/>
    <cellStyle name="Check Cell 2" xfId="101"/>
    <cellStyle name="Check Cell 3" xfId="102"/>
    <cellStyle name="Excel Built-in Normal" xfId="103"/>
    <cellStyle name="Explanatory Text" xfId="16" builtinId="53" customBuiltin="1"/>
    <cellStyle name="Explanatory Text 2" xfId="104"/>
    <cellStyle name="Explanatory Text 3" xfId="105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Good" xfId="6" builtinId="26" customBuiltin="1"/>
    <cellStyle name="Good 2" xfId="106"/>
    <cellStyle name="Good 3" xfId="107"/>
    <cellStyle name="Heading" xfId="108"/>
    <cellStyle name="Heading 1" xfId="2" builtinId="16" customBuiltin="1"/>
    <cellStyle name="Heading 1 2" xfId="109"/>
    <cellStyle name="Heading 1 3" xfId="110"/>
    <cellStyle name="Heading 2" xfId="3" builtinId="17" customBuiltin="1"/>
    <cellStyle name="Heading 2 2" xfId="111"/>
    <cellStyle name="Heading 2 3" xfId="112"/>
    <cellStyle name="Heading 3" xfId="4" builtinId="18" customBuiltin="1"/>
    <cellStyle name="Heading 3 2" xfId="113"/>
    <cellStyle name="Heading 3 3" xfId="114"/>
    <cellStyle name="Heading 4" xfId="5" builtinId="19" customBuiltin="1"/>
    <cellStyle name="Heading 4 2" xfId="115"/>
    <cellStyle name="Heading 4 3" xfId="116"/>
    <cellStyle name="Heading1" xfId="117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Input" xfId="9" builtinId="20" customBuiltin="1"/>
    <cellStyle name="Input 2" xfId="118"/>
    <cellStyle name="Input 3" xfId="119"/>
    <cellStyle name="Linked Cell" xfId="12" builtinId="24" customBuiltin="1"/>
    <cellStyle name="Linked Cell 2" xfId="120"/>
    <cellStyle name="Linked Cell 3" xfId="121"/>
    <cellStyle name="Neutral" xfId="8" builtinId="28" customBuiltin="1"/>
    <cellStyle name="Neutral 2" xfId="122"/>
    <cellStyle name="Neutral 3" xfId="123"/>
    <cellStyle name="Normal" xfId="0" builtinId="0"/>
    <cellStyle name="Normal 10" xfId="124"/>
    <cellStyle name="Normal 11" xfId="274"/>
    <cellStyle name="Normal 2" xfId="43"/>
    <cellStyle name="Normal 2 2" xfId="2025"/>
    <cellStyle name="Normal 3" xfId="125"/>
    <cellStyle name="Normal 3 2" xfId="126"/>
    <cellStyle name="Normal 3 3" xfId="46"/>
    <cellStyle name="Normal 3 4" xfId="48"/>
    <cellStyle name="Normal 3_Spinel" xfId="127"/>
    <cellStyle name="Normal 4" xfId="45"/>
    <cellStyle name="Normal 5" xfId="44"/>
    <cellStyle name="Normal 5 2" xfId="47"/>
    <cellStyle name="Normal 6" xfId="42"/>
    <cellStyle name="Normal 7" xfId="128"/>
    <cellStyle name="Normal 8" xfId="129"/>
    <cellStyle name="Normal 9" xfId="130"/>
    <cellStyle name="Note" xfId="15" builtinId="10" customBuiltin="1"/>
    <cellStyle name="Note 2" xfId="131"/>
    <cellStyle name="Note 3" xfId="132"/>
    <cellStyle name="Output" xfId="10" builtinId="21" customBuiltin="1"/>
    <cellStyle name="Output 2" xfId="133"/>
    <cellStyle name="Output 3" xfId="134"/>
    <cellStyle name="Result" xfId="135"/>
    <cellStyle name="Result2" xfId="136"/>
    <cellStyle name="Result2 2" xfId="137"/>
    <cellStyle name="Title" xfId="1" builtinId="15" customBuiltin="1"/>
    <cellStyle name="Title 2" xfId="138"/>
    <cellStyle name="Title 3" xfId="139"/>
    <cellStyle name="Total" xfId="17" builtinId="25" customBuiltin="1"/>
    <cellStyle name="Total 2" xfId="140"/>
    <cellStyle name="Total 3" xfId="141"/>
    <cellStyle name="Warning Text" xfId="14" builtinId="11" customBuiltin="1"/>
    <cellStyle name="Warning Text 2" xfId="142"/>
    <cellStyle name="Warning Text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0"/>
  <sheetViews>
    <sheetView workbookViewId="0">
      <pane xSplit="3" ySplit="3" topLeftCell="AJ27" activePane="bottomRight" state="frozen"/>
      <selection pane="topRight" activeCell="D1" sqref="D1"/>
      <selection pane="bottomLeft" activeCell="A3" sqref="A3"/>
      <selection pane="bottomRight" activeCell="W46" sqref="W46"/>
    </sheetView>
  </sheetViews>
  <sheetFormatPr baseColWidth="10" defaultColWidth="8.83203125" defaultRowHeight="14" x14ac:dyDescent="0"/>
  <cols>
    <col min="1" max="1" width="10.1640625" style="39" bestFit="1" customWidth="1"/>
    <col min="2" max="2" width="4.6640625" style="2" customWidth="1"/>
    <col min="3" max="3" width="19" style="12" customWidth="1"/>
    <col min="4" max="4" width="3.83203125" style="2" customWidth="1"/>
    <col min="5" max="6" width="9" style="2" bestFit="1" customWidth="1"/>
    <col min="7" max="8" width="9.5" style="2" bestFit="1" customWidth="1"/>
    <col min="9" max="9" width="9.5" style="2" customWidth="1"/>
    <col min="10" max="15" width="9.5" style="2" bestFit="1" customWidth="1"/>
    <col min="16" max="16" width="9" style="46" bestFit="1" customWidth="1"/>
    <col min="17" max="17" width="12.1640625" style="2" customWidth="1"/>
    <col min="18" max="18" width="12.33203125" style="25" bestFit="1" customWidth="1"/>
    <col min="19" max="19" width="9" style="2" bestFit="1" customWidth="1"/>
    <col min="20" max="20" width="9.5" style="2" bestFit="1" customWidth="1"/>
    <col min="21" max="21" width="11.83203125" style="2" bestFit="1" customWidth="1"/>
    <col min="22" max="22" width="11.83203125" style="2" customWidth="1"/>
    <col min="23" max="25" width="9" style="2" bestFit="1" customWidth="1"/>
    <col min="26" max="27" width="9.5" style="2" bestFit="1" customWidth="1"/>
    <col min="28" max="29" width="9" style="2" bestFit="1" customWidth="1"/>
    <col min="30" max="30" width="9" style="2" customWidth="1"/>
    <col min="31" max="31" width="8.83203125" style="2"/>
    <col min="32" max="32" width="9.5" style="25" bestFit="1" customWidth="1"/>
    <col min="33" max="34" width="9.5" style="2" bestFit="1" customWidth="1"/>
    <col min="35" max="35" width="12.83203125" style="2" bestFit="1" customWidth="1"/>
    <col min="36" max="36" width="12.83203125" style="2" customWidth="1"/>
    <col min="37" max="38" width="9.5" style="2" bestFit="1" customWidth="1"/>
    <col min="39" max="39" width="10.33203125" style="2" bestFit="1" customWidth="1"/>
    <col min="40" max="40" width="9" style="2" bestFit="1" customWidth="1"/>
    <col min="41" max="41" width="9.5" style="2" bestFit="1" customWidth="1"/>
    <col min="42" max="43" width="9" style="2" bestFit="1" customWidth="1"/>
    <col min="44" max="44" width="9.5" style="2" bestFit="1" customWidth="1"/>
    <col min="45" max="45" width="9.33203125" style="2" bestFit="1" customWidth="1"/>
    <col min="46" max="46" width="9.5" style="2" bestFit="1" customWidth="1"/>
    <col min="47" max="47" width="9.5" style="2" customWidth="1"/>
    <col min="48" max="48" width="9.5" style="12" bestFit="1" customWidth="1"/>
    <col min="49" max="49" width="9.5" style="12" customWidth="1"/>
    <col min="50" max="50" width="9.5" style="12" bestFit="1" customWidth="1"/>
    <col min="51" max="51" width="9.33203125" style="12" customWidth="1"/>
    <col min="52" max="69" width="9.33203125" style="2" bestFit="1" customWidth="1"/>
    <col min="70" max="16384" width="8.83203125" style="2"/>
  </cols>
  <sheetData>
    <row r="1" spans="1:75">
      <c r="P1" s="46" t="s">
        <v>106</v>
      </c>
    </row>
    <row r="2" spans="1:75">
      <c r="A2" s="38"/>
      <c r="B2" s="1"/>
      <c r="C2" s="19"/>
      <c r="D2" s="1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7"/>
      <c r="Q2" s="5" t="s">
        <v>24</v>
      </c>
      <c r="R2" s="26">
        <v>60.09</v>
      </c>
      <c r="S2" s="6">
        <v>79.866</v>
      </c>
      <c r="T2" s="6">
        <v>101.961</v>
      </c>
      <c r="U2" s="6">
        <v>151.99</v>
      </c>
      <c r="V2" s="6">
        <v>159.69</v>
      </c>
      <c r="W2" s="6">
        <v>71.843999999999994</v>
      </c>
      <c r="X2" s="6">
        <v>70.937399999999997</v>
      </c>
      <c r="Y2" s="6">
        <v>40.304400000000001</v>
      </c>
      <c r="Z2" s="6">
        <v>56.08</v>
      </c>
      <c r="AA2" s="6">
        <v>61.98</v>
      </c>
      <c r="AB2" s="6">
        <v>74.692800000000005</v>
      </c>
      <c r="AC2" s="5"/>
      <c r="AD2" s="5"/>
      <c r="AE2" s="5"/>
      <c r="AF2" s="22" t="s">
        <v>25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1"/>
      <c r="AU2" s="1"/>
      <c r="AV2" s="19"/>
      <c r="AW2" s="19"/>
      <c r="AX2" s="19"/>
      <c r="AY2" s="19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75" s="18" customFormat="1" ht="15" thickBot="1">
      <c r="A3" s="40" t="s">
        <v>30</v>
      </c>
      <c r="B3" s="34"/>
      <c r="C3" s="49" t="s">
        <v>10</v>
      </c>
      <c r="D3" s="34"/>
      <c r="E3" s="50" t="s">
        <v>0</v>
      </c>
      <c r="F3" s="50" t="s">
        <v>5</v>
      </c>
      <c r="G3" s="50" t="s">
        <v>9</v>
      </c>
      <c r="H3" s="50" t="s">
        <v>8</v>
      </c>
      <c r="I3" s="50" t="s">
        <v>87</v>
      </c>
      <c r="J3" s="50" t="s">
        <v>6</v>
      </c>
      <c r="K3" s="50" t="s">
        <v>4</v>
      </c>
      <c r="L3" s="50" t="s">
        <v>3</v>
      </c>
      <c r="M3" s="50" t="s">
        <v>2</v>
      </c>
      <c r="N3" s="50" t="s">
        <v>1</v>
      </c>
      <c r="O3" s="50" t="s">
        <v>11</v>
      </c>
      <c r="P3" s="15" t="s">
        <v>7</v>
      </c>
      <c r="Q3" s="14"/>
      <c r="R3" s="23" t="s">
        <v>12</v>
      </c>
      <c r="S3" s="14" t="s">
        <v>16</v>
      </c>
      <c r="T3" s="14" t="s">
        <v>13</v>
      </c>
      <c r="U3" s="14" t="s">
        <v>17</v>
      </c>
      <c r="V3" s="14" t="s">
        <v>26</v>
      </c>
      <c r="W3" s="14" t="s">
        <v>27</v>
      </c>
      <c r="X3" s="14" t="s">
        <v>18</v>
      </c>
      <c r="Y3" s="14" t="s">
        <v>14</v>
      </c>
      <c r="Z3" s="14" t="s">
        <v>19</v>
      </c>
      <c r="AA3" s="14" t="s">
        <v>20</v>
      </c>
      <c r="AB3" s="14" t="s">
        <v>15</v>
      </c>
      <c r="AC3" s="14" t="s">
        <v>7</v>
      </c>
      <c r="AD3" s="14" t="s">
        <v>100</v>
      </c>
      <c r="AE3" s="14"/>
      <c r="AF3" s="23" t="s">
        <v>12</v>
      </c>
      <c r="AG3" s="14" t="s">
        <v>16</v>
      </c>
      <c r="AH3" s="14" t="s">
        <v>13</v>
      </c>
      <c r="AI3" s="14" t="s">
        <v>17</v>
      </c>
      <c r="AJ3" s="14" t="s">
        <v>26</v>
      </c>
      <c r="AK3" s="14" t="s">
        <v>27</v>
      </c>
      <c r="AL3" s="14" t="s">
        <v>18</v>
      </c>
      <c r="AM3" s="14" t="s">
        <v>14</v>
      </c>
      <c r="AN3" s="14" t="s">
        <v>19</v>
      </c>
      <c r="AO3" s="14" t="s">
        <v>20</v>
      </c>
      <c r="AP3" s="14" t="s">
        <v>15</v>
      </c>
      <c r="AQ3" s="14" t="s">
        <v>7</v>
      </c>
      <c r="AR3" s="14" t="s">
        <v>22</v>
      </c>
      <c r="AS3" s="14"/>
      <c r="AT3" s="16" t="s">
        <v>23</v>
      </c>
      <c r="AU3" s="16" t="s">
        <v>97</v>
      </c>
      <c r="AV3" s="16" t="s">
        <v>28</v>
      </c>
      <c r="AW3" s="16" t="s">
        <v>97</v>
      </c>
      <c r="AX3" s="16" t="s">
        <v>99</v>
      </c>
      <c r="AY3" s="16" t="s">
        <v>97</v>
      </c>
      <c r="AZ3" s="17" t="s">
        <v>103</v>
      </c>
      <c r="BA3" s="17" t="s">
        <v>104</v>
      </c>
      <c r="BB3" s="17" t="s">
        <v>105</v>
      </c>
      <c r="BC3" s="17"/>
      <c r="BD3" s="17" t="s">
        <v>101</v>
      </c>
      <c r="BE3" s="17"/>
      <c r="BF3" s="17" t="s">
        <v>102</v>
      </c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spans="1:75">
      <c r="A4" s="42"/>
      <c r="B4" s="43"/>
      <c r="C4" s="70"/>
      <c r="D4" s="8"/>
      <c r="E4" s="67">
        <v>6.6401111111111105E-3</v>
      </c>
      <c r="F4" s="67">
        <v>6.4313333333333333E-2</v>
      </c>
      <c r="G4" s="44">
        <v>50.603477777777783</v>
      </c>
      <c r="H4" s="44">
        <v>17.013966666666665</v>
      </c>
      <c r="I4" s="60">
        <v>1.9814856865571953</v>
      </c>
      <c r="J4" s="60">
        <v>10.701132081026692</v>
      </c>
      <c r="K4" s="67">
        <v>0.11734222222222221</v>
      </c>
      <c r="L4" s="67">
        <v>18.672133333333331</v>
      </c>
      <c r="M4" s="67">
        <v>3.5715555555555561E-3</v>
      </c>
      <c r="N4" s="44"/>
      <c r="O4" s="44">
        <v>0.30945600000000001</v>
      </c>
      <c r="P4" s="10">
        <f>SUM(E4:O4)</f>
        <v>99.473518767583869</v>
      </c>
      <c r="Q4" s="3"/>
      <c r="R4" s="24">
        <f>E4/$R$2</f>
        <v>1.1050276437196056E-4</v>
      </c>
      <c r="S4" s="8">
        <f>F4/$S$2</f>
        <v>8.0526548635631351E-4</v>
      </c>
      <c r="T4" s="8">
        <f>2*G4/$T$2</f>
        <v>0.99260457974672245</v>
      </c>
      <c r="U4" s="8">
        <f>2*H4/$U$2</f>
        <v>0.22388271158190229</v>
      </c>
      <c r="V4" s="8">
        <f>2*I4/$V$2</f>
        <v>2.4816653347826356E-2</v>
      </c>
      <c r="W4" s="8">
        <f>J4/$W$2</f>
        <v>0.14894955850212535</v>
      </c>
      <c r="X4" s="8">
        <f>K4/$X$2</f>
        <v>1.6541658169346807E-3</v>
      </c>
      <c r="Y4" s="8">
        <f>L4/$Y$2</f>
        <v>0.46327778935633157</v>
      </c>
      <c r="Z4" s="8">
        <f>M4/$Z$2</f>
        <v>6.3686796639721041E-5</v>
      </c>
      <c r="AA4" s="8">
        <f>2*N4/$AA$2</f>
        <v>0</v>
      </c>
      <c r="AB4" s="8">
        <f>O4/$AB$2</f>
        <v>4.1430499325236167E-3</v>
      </c>
      <c r="AC4" s="8">
        <f>SUM(R4:AB4)</f>
        <v>1.8603079633317345</v>
      </c>
      <c r="AD4" s="8">
        <f>IFERROR(2*R4+2*S4+(3/2)*T4+(3/2)*U4+(3/2)*V4+W4+X4+Y4+Z4+AB4+0.5*AA4,"NaN")</f>
        <v>2.481875703920688</v>
      </c>
      <c r="AE4" s="8"/>
      <c r="AF4" s="24">
        <f>IFERROR(4*R4/$AD4,"NaN")</f>
        <v>1.7809556570040356E-4</v>
      </c>
      <c r="AG4" s="41">
        <f>IFERROR(4*S4/$AD4,"NaN")</f>
        <v>1.297833707117908E-3</v>
      </c>
      <c r="AH4" s="41">
        <f t="shared" ref="AH4:AP4" si="0">IFERROR(4*T4/$AD4,"NaN")</f>
        <v>1.5997651746679777</v>
      </c>
      <c r="AI4" s="41">
        <f t="shared" si="0"/>
        <v>0.36082824168547772</v>
      </c>
      <c r="AJ4" s="41">
        <f t="shared" si="0"/>
        <v>3.9996609513720284E-2</v>
      </c>
      <c r="AK4" s="41">
        <f t="shared" si="0"/>
        <v>0.24005965853459235</v>
      </c>
      <c r="AL4" s="41">
        <f t="shared" si="0"/>
        <v>2.6659930057279643E-3</v>
      </c>
      <c r="AM4" s="41">
        <f t="shared" si="0"/>
        <v>0.74665751975327177</v>
      </c>
      <c r="AN4" s="41">
        <f t="shared" si="0"/>
        <v>1.0264300752711062E-4</v>
      </c>
      <c r="AO4" s="41">
        <f t="shared" si="0"/>
        <v>0</v>
      </c>
      <c r="AP4" s="41">
        <f t="shared" si="0"/>
        <v>6.6772883524807078E-3</v>
      </c>
      <c r="AQ4" s="8">
        <f>IFERROR(SUM(AF4:AP4),"NaN")</f>
        <v>2.9982290577935942</v>
      </c>
      <c r="AR4" s="8">
        <f>IFERROR(2*AF4+2*AG4+(3/2)*AH4+(3/2)*AI4+(3/2)*AJ4+AK4+AL4+AM4+AN4+AP4+0.5*AO4,"NaN")</f>
        <v>4</v>
      </c>
      <c r="AS4" s="8"/>
      <c r="AT4" s="7">
        <f>IFERROR(AI4*100/(AI4+AH4),"NaN")</f>
        <v>18.404032099454305</v>
      </c>
      <c r="AU4" s="7"/>
      <c r="AV4" s="7">
        <f>IFERROR(AM4*100/(AM4+AK4),"NaN")</f>
        <v>75.670874712940545</v>
      </c>
      <c r="AW4" s="7"/>
      <c r="AX4" s="7">
        <f>AJ4/(AJ4+AK4)</f>
        <v>0.14281633399049812</v>
      </c>
      <c r="AY4" s="7"/>
      <c r="AZ4" s="11"/>
      <c r="BA4" s="11">
        <f>F4</f>
        <v>6.4313333333333333E-2</v>
      </c>
      <c r="BB4" s="11">
        <f>O4</f>
        <v>0.30945600000000001</v>
      </c>
      <c r="BC4" s="11"/>
      <c r="BD4" s="11">
        <f t="shared" ref="BD4:BD10" si="1">(AJ4+AK4)*3/AQ4</f>
        <v>0.28022168685244503</v>
      </c>
      <c r="BE4" s="11"/>
      <c r="BF4" s="11">
        <f>0.006/BD4</f>
        <v>2.141161901990616E-2</v>
      </c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</row>
    <row r="5" spans="1:75">
      <c r="A5" s="42"/>
      <c r="B5" s="43"/>
      <c r="C5" s="70"/>
      <c r="D5" s="8"/>
      <c r="E5" s="67">
        <v>6.6401111111111105E-3</v>
      </c>
      <c r="F5" s="67">
        <v>6.4313333333333333E-2</v>
      </c>
      <c r="G5" s="44">
        <v>50.603477777777783</v>
      </c>
      <c r="H5" s="44">
        <v>17.013966666666665</v>
      </c>
      <c r="I5" s="60">
        <v>1.9814856865571953</v>
      </c>
      <c r="J5" s="60">
        <v>10.701132081026692</v>
      </c>
      <c r="K5" s="67">
        <v>0.11734222222222221</v>
      </c>
      <c r="L5" s="67">
        <v>18.672133333333331</v>
      </c>
      <c r="M5" s="67">
        <v>3.5715555555555561E-3</v>
      </c>
      <c r="N5" s="44"/>
      <c r="O5" s="44">
        <v>0.30945600000000001</v>
      </c>
      <c r="P5" s="10">
        <f t="shared" ref="P5:P10" si="2">SUM(E5:O5)</f>
        <v>99.473518767583869</v>
      </c>
      <c r="Q5" s="3"/>
      <c r="R5" s="24">
        <f t="shared" ref="R5:R10" si="3">E5/$R$2</f>
        <v>1.1050276437196056E-4</v>
      </c>
      <c r="S5" s="8">
        <f t="shared" ref="S5:S10" si="4">F5/$S$2</f>
        <v>8.0526548635631351E-4</v>
      </c>
      <c r="T5" s="8">
        <f t="shared" ref="T5:T10" si="5">2*G5/$T$2</f>
        <v>0.99260457974672245</v>
      </c>
      <c r="U5" s="8">
        <f t="shared" ref="U5:U10" si="6">2*H5/$U$2</f>
        <v>0.22388271158190229</v>
      </c>
      <c r="V5" s="8">
        <f t="shared" ref="V5:V10" si="7">2*I5/$V$2</f>
        <v>2.4816653347826356E-2</v>
      </c>
      <c r="W5" s="8">
        <f t="shared" ref="W5:W10" si="8">J5/$W$2</f>
        <v>0.14894955850212535</v>
      </c>
      <c r="X5" s="8">
        <f t="shared" ref="X5:X10" si="9">K5/$X$2</f>
        <v>1.6541658169346807E-3</v>
      </c>
      <c r="Y5" s="8">
        <f t="shared" ref="Y5:Y10" si="10">L5/$Y$2</f>
        <v>0.46327778935633157</v>
      </c>
      <c r="Z5" s="8">
        <f t="shared" ref="Z5:Z10" si="11">M5/$Z$2</f>
        <v>6.3686796639721041E-5</v>
      </c>
      <c r="AA5" s="8">
        <f t="shared" ref="AA5:AA10" si="12">2*N5/$AA$2</f>
        <v>0</v>
      </c>
      <c r="AB5" s="8">
        <f t="shared" ref="AB5:AB10" si="13">O5/$AB$2</f>
        <v>4.1430499325236167E-3</v>
      </c>
      <c r="AC5" s="8">
        <f t="shared" ref="AC5:AC10" si="14">SUM(R5:AB5)</f>
        <v>1.8603079633317345</v>
      </c>
      <c r="AD5" s="8">
        <f t="shared" ref="AD5:AD10" si="15">IFERROR(2*R5+2*S5+(3/2)*T5+(3/2)*U5+(3/2)*V5+W5+X5+Y5+Z5+AB5+0.5*AA5,"NaN")</f>
        <v>2.481875703920688</v>
      </c>
      <c r="AE5" s="8"/>
      <c r="AF5" s="24">
        <f t="shared" ref="AF5:AF10" si="16">IFERROR(4*R5/$AD5,"NaN")</f>
        <v>1.7809556570040356E-4</v>
      </c>
      <c r="AG5" s="41">
        <f t="shared" ref="AG5:AG10" si="17">IFERROR(4*S5/$AD5,"NaN")</f>
        <v>1.297833707117908E-3</v>
      </c>
      <c r="AH5" s="41">
        <f t="shared" ref="AH5:AH11" si="18">IFERROR(4*T5/$AD5,"NaN")</f>
        <v>1.5997651746679777</v>
      </c>
      <c r="AI5" s="41">
        <f t="shared" ref="AI5:AI11" si="19">IFERROR(4*U5/$AD5,"NaN")</f>
        <v>0.36082824168547772</v>
      </c>
      <c r="AJ5" s="41">
        <f t="shared" ref="AJ5:AJ11" si="20">IFERROR(4*V5/$AD5,"NaN")</f>
        <v>3.9996609513720284E-2</v>
      </c>
      <c r="AK5" s="41">
        <f t="shared" ref="AK5:AK11" si="21">IFERROR(4*W5/$AD5,"NaN")</f>
        <v>0.24005965853459235</v>
      </c>
      <c r="AL5" s="41">
        <f t="shared" ref="AL5:AL11" si="22">IFERROR(4*X5/$AD5,"NaN")</f>
        <v>2.6659930057279643E-3</v>
      </c>
      <c r="AM5" s="41">
        <f t="shared" ref="AM5:AM11" si="23">IFERROR(4*Y5/$AD5,"NaN")</f>
        <v>0.74665751975327177</v>
      </c>
      <c r="AN5" s="41">
        <f t="shared" ref="AN5:AN11" si="24">IFERROR(4*Z5/$AD5,"NaN")</f>
        <v>1.0264300752711062E-4</v>
      </c>
      <c r="AO5" s="41">
        <f t="shared" ref="AO5:AO11" si="25">IFERROR(4*AA5/$AD5,"NaN")</f>
        <v>0</v>
      </c>
      <c r="AP5" s="41">
        <f t="shared" ref="AP5:AP11" si="26">IFERROR(4*AB5/$AD5,"NaN")</f>
        <v>6.6772883524807078E-3</v>
      </c>
      <c r="AQ5" s="8">
        <f t="shared" ref="AQ5:AQ10" si="27">IFERROR(SUM(AF5:AP5),"NaN")</f>
        <v>2.9982290577935942</v>
      </c>
      <c r="AR5" s="8">
        <f t="shared" ref="AR5:AR10" si="28">IFERROR(2*AF5+2*AG5+(3/2)*AH5+(3/2)*AI5+(3/2)*AJ5+AK5+AL5+AM5+AN5+AP5+0.5*AO5,"NaN")</f>
        <v>4</v>
      </c>
      <c r="AS5" s="8"/>
      <c r="AT5" s="7">
        <f t="shared" ref="AT5:AT10" si="29">IFERROR(AI5*100/(AI5+AH5),"NaN")</f>
        <v>18.404032099454305</v>
      </c>
      <c r="AU5" s="7"/>
      <c r="AV5" s="7">
        <f t="shared" ref="AV5:AV10" si="30">IFERROR(AM5*100/(AM5+AK5),"NaN")</f>
        <v>75.670874712940545</v>
      </c>
      <c r="AW5" s="7"/>
      <c r="AX5" s="7">
        <f t="shared" ref="AX5:AX10" si="31">AJ5/(AJ5+AK5)</f>
        <v>0.14281633399049812</v>
      </c>
      <c r="AY5" s="7"/>
      <c r="AZ5" s="11"/>
      <c r="BA5" s="11">
        <f t="shared" ref="BA5:BA11" si="32">F5</f>
        <v>6.4313333333333333E-2</v>
      </c>
      <c r="BB5" s="11">
        <f t="shared" ref="BB5:BB11" si="33">O5</f>
        <v>0.30945600000000001</v>
      </c>
      <c r="BC5" s="11"/>
      <c r="BD5" s="11">
        <f t="shared" si="1"/>
        <v>0.28022168685244503</v>
      </c>
      <c r="BE5" s="11"/>
      <c r="BF5" s="11">
        <f t="shared" ref="BF5:BF10" si="34">0.006/BD5</f>
        <v>2.141161901990616E-2</v>
      </c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</row>
    <row r="6" spans="1:75">
      <c r="A6" s="42"/>
      <c r="B6" s="43"/>
      <c r="C6" s="70"/>
      <c r="D6" s="8"/>
      <c r="E6" s="67">
        <v>6.6401111111111105E-3</v>
      </c>
      <c r="F6" s="67">
        <v>6.4313333333333333E-2</v>
      </c>
      <c r="G6" s="44">
        <v>50.603477777777783</v>
      </c>
      <c r="H6" s="44">
        <v>17.013966666666665</v>
      </c>
      <c r="I6" s="60">
        <v>1.9814856865571953</v>
      </c>
      <c r="J6" s="60">
        <v>10.701132081026692</v>
      </c>
      <c r="K6" s="67">
        <v>0.11734222222222221</v>
      </c>
      <c r="L6" s="67">
        <v>18.672133333333331</v>
      </c>
      <c r="M6" s="67">
        <v>3.5715555555555561E-3</v>
      </c>
      <c r="N6" s="44"/>
      <c r="O6" s="44">
        <v>0.30945600000000001</v>
      </c>
      <c r="P6" s="10">
        <f t="shared" si="2"/>
        <v>99.473518767583869</v>
      </c>
      <c r="Q6" s="3"/>
      <c r="R6" s="24">
        <f t="shared" si="3"/>
        <v>1.1050276437196056E-4</v>
      </c>
      <c r="S6" s="8">
        <f t="shared" si="4"/>
        <v>8.0526548635631351E-4</v>
      </c>
      <c r="T6" s="8">
        <f t="shared" si="5"/>
        <v>0.99260457974672245</v>
      </c>
      <c r="U6" s="8">
        <f t="shared" si="6"/>
        <v>0.22388271158190229</v>
      </c>
      <c r="V6" s="8">
        <f t="shared" si="7"/>
        <v>2.4816653347826356E-2</v>
      </c>
      <c r="W6" s="8">
        <f t="shared" si="8"/>
        <v>0.14894955850212535</v>
      </c>
      <c r="X6" s="8">
        <f t="shared" si="9"/>
        <v>1.6541658169346807E-3</v>
      </c>
      <c r="Y6" s="8">
        <f t="shared" si="10"/>
        <v>0.46327778935633157</v>
      </c>
      <c r="Z6" s="8">
        <f t="shared" si="11"/>
        <v>6.3686796639721041E-5</v>
      </c>
      <c r="AA6" s="8">
        <f t="shared" si="12"/>
        <v>0</v>
      </c>
      <c r="AB6" s="8">
        <f t="shared" si="13"/>
        <v>4.1430499325236167E-3</v>
      </c>
      <c r="AC6" s="8">
        <f t="shared" si="14"/>
        <v>1.8603079633317345</v>
      </c>
      <c r="AD6" s="8">
        <f t="shared" si="15"/>
        <v>2.481875703920688</v>
      </c>
      <c r="AE6" s="8"/>
      <c r="AF6" s="24">
        <f t="shared" si="16"/>
        <v>1.7809556570040356E-4</v>
      </c>
      <c r="AG6" s="41">
        <f t="shared" si="17"/>
        <v>1.297833707117908E-3</v>
      </c>
      <c r="AH6" s="41">
        <f t="shared" si="18"/>
        <v>1.5997651746679777</v>
      </c>
      <c r="AI6" s="41">
        <f t="shared" si="19"/>
        <v>0.36082824168547772</v>
      </c>
      <c r="AJ6" s="41">
        <f t="shared" si="20"/>
        <v>3.9996609513720284E-2</v>
      </c>
      <c r="AK6" s="41">
        <f t="shared" si="21"/>
        <v>0.24005965853459235</v>
      </c>
      <c r="AL6" s="41">
        <f t="shared" si="22"/>
        <v>2.6659930057279643E-3</v>
      </c>
      <c r="AM6" s="41">
        <f t="shared" si="23"/>
        <v>0.74665751975327177</v>
      </c>
      <c r="AN6" s="41">
        <f t="shared" si="24"/>
        <v>1.0264300752711062E-4</v>
      </c>
      <c r="AO6" s="41">
        <f t="shared" si="25"/>
        <v>0</v>
      </c>
      <c r="AP6" s="41">
        <f t="shared" si="26"/>
        <v>6.6772883524807078E-3</v>
      </c>
      <c r="AQ6" s="8">
        <f t="shared" si="27"/>
        <v>2.9982290577935942</v>
      </c>
      <c r="AR6" s="8">
        <f t="shared" si="28"/>
        <v>4</v>
      </c>
      <c r="AS6" s="8"/>
      <c r="AT6" s="7">
        <f t="shared" si="29"/>
        <v>18.404032099454305</v>
      </c>
      <c r="AU6" s="7"/>
      <c r="AV6" s="7">
        <f t="shared" si="30"/>
        <v>75.670874712940545</v>
      </c>
      <c r="AW6" s="7"/>
      <c r="AX6" s="7">
        <f t="shared" si="31"/>
        <v>0.14281633399049812</v>
      </c>
      <c r="AY6" s="7"/>
      <c r="AZ6" s="11"/>
      <c r="BA6" s="11">
        <f t="shared" si="32"/>
        <v>6.4313333333333333E-2</v>
      </c>
      <c r="BB6" s="11">
        <f t="shared" si="33"/>
        <v>0.30945600000000001</v>
      </c>
      <c r="BC6" s="11"/>
      <c r="BD6" s="11">
        <f t="shared" si="1"/>
        <v>0.28022168685244503</v>
      </c>
      <c r="BE6" s="11"/>
      <c r="BF6" s="11">
        <f t="shared" si="34"/>
        <v>2.141161901990616E-2</v>
      </c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</row>
    <row r="7" spans="1:75">
      <c r="A7" s="42"/>
      <c r="B7" s="43"/>
      <c r="C7" s="70"/>
      <c r="D7" s="8"/>
      <c r="E7" s="67">
        <v>6.6401111111111105E-3</v>
      </c>
      <c r="F7" s="67">
        <v>6.4313333333333333E-2</v>
      </c>
      <c r="G7" s="44">
        <v>50.603477777777783</v>
      </c>
      <c r="H7" s="44">
        <v>17.013966666666665</v>
      </c>
      <c r="I7" s="60">
        <v>1.9814856865571953</v>
      </c>
      <c r="J7" s="60">
        <v>10.701132081026692</v>
      </c>
      <c r="K7" s="67">
        <v>0.11734222222222221</v>
      </c>
      <c r="L7" s="67">
        <v>18.672133333333331</v>
      </c>
      <c r="M7" s="67">
        <v>3.5715555555555561E-3</v>
      </c>
      <c r="N7" s="44"/>
      <c r="O7" s="44">
        <v>0.30945600000000001</v>
      </c>
      <c r="P7" s="10">
        <f t="shared" si="2"/>
        <v>99.473518767583869</v>
      </c>
      <c r="Q7" s="3"/>
      <c r="R7" s="24">
        <f t="shared" si="3"/>
        <v>1.1050276437196056E-4</v>
      </c>
      <c r="S7" s="8">
        <f t="shared" si="4"/>
        <v>8.0526548635631351E-4</v>
      </c>
      <c r="T7" s="8">
        <f t="shared" si="5"/>
        <v>0.99260457974672245</v>
      </c>
      <c r="U7" s="8">
        <f t="shared" si="6"/>
        <v>0.22388271158190229</v>
      </c>
      <c r="V7" s="8">
        <f t="shared" si="7"/>
        <v>2.4816653347826356E-2</v>
      </c>
      <c r="W7" s="8">
        <f t="shared" si="8"/>
        <v>0.14894955850212535</v>
      </c>
      <c r="X7" s="8">
        <f t="shared" si="9"/>
        <v>1.6541658169346807E-3</v>
      </c>
      <c r="Y7" s="8">
        <f t="shared" si="10"/>
        <v>0.46327778935633157</v>
      </c>
      <c r="Z7" s="8">
        <f t="shared" si="11"/>
        <v>6.3686796639721041E-5</v>
      </c>
      <c r="AA7" s="8">
        <f t="shared" si="12"/>
        <v>0</v>
      </c>
      <c r="AB7" s="8">
        <f t="shared" si="13"/>
        <v>4.1430499325236167E-3</v>
      </c>
      <c r="AC7" s="8">
        <f t="shared" si="14"/>
        <v>1.8603079633317345</v>
      </c>
      <c r="AD7" s="8">
        <f t="shared" si="15"/>
        <v>2.481875703920688</v>
      </c>
      <c r="AE7" s="8"/>
      <c r="AF7" s="24">
        <f t="shared" si="16"/>
        <v>1.7809556570040356E-4</v>
      </c>
      <c r="AG7" s="41">
        <f t="shared" si="17"/>
        <v>1.297833707117908E-3</v>
      </c>
      <c r="AH7" s="41">
        <f t="shared" si="18"/>
        <v>1.5997651746679777</v>
      </c>
      <c r="AI7" s="41">
        <f t="shared" si="19"/>
        <v>0.36082824168547772</v>
      </c>
      <c r="AJ7" s="41">
        <f t="shared" si="20"/>
        <v>3.9996609513720284E-2</v>
      </c>
      <c r="AK7" s="41">
        <f t="shared" si="21"/>
        <v>0.24005965853459235</v>
      </c>
      <c r="AL7" s="41">
        <f t="shared" si="22"/>
        <v>2.6659930057279643E-3</v>
      </c>
      <c r="AM7" s="41">
        <f t="shared" si="23"/>
        <v>0.74665751975327177</v>
      </c>
      <c r="AN7" s="41">
        <f t="shared" si="24"/>
        <v>1.0264300752711062E-4</v>
      </c>
      <c r="AO7" s="41">
        <f t="shared" si="25"/>
        <v>0</v>
      </c>
      <c r="AP7" s="41">
        <f t="shared" si="26"/>
        <v>6.6772883524807078E-3</v>
      </c>
      <c r="AQ7" s="8">
        <f t="shared" si="27"/>
        <v>2.9982290577935942</v>
      </c>
      <c r="AR7" s="8">
        <f t="shared" si="28"/>
        <v>4</v>
      </c>
      <c r="AS7" s="8"/>
      <c r="AT7" s="7">
        <f t="shared" si="29"/>
        <v>18.404032099454305</v>
      </c>
      <c r="AU7" s="7"/>
      <c r="AV7" s="7">
        <f t="shared" si="30"/>
        <v>75.670874712940545</v>
      </c>
      <c r="AW7" s="7"/>
      <c r="AX7" s="7">
        <f t="shared" si="31"/>
        <v>0.14281633399049812</v>
      </c>
      <c r="AY7" s="7"/>
      <c r="AZ7" s="11"/>
      <c r="BA7" s="11">
        <f t="shared" si="32"/>
        <v>6.4313333333333333E-2</v>
      </c>
      <c r="BB7" s="11">
        <f t="shared" si="33"/>
        <v>0.30945600000000001</v>
      </c>
      <c r="BC7" s="11"/>
      <c r="BD7" s="11">
        <f t="shared" si="1"/>
        <v>0.28022168685244503</v>
      </c>
      <c r="BE7" s="11"/>
      <c r="BF7" s="11">
        <f t="shared" si="34"/>
        <v>2.141161901990616E-2</v>
      </c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</row>
    <row r="8" spans="1:75">
      <c r="A8" s="42"/>
      <c r="B8" s="43"/>
      <c r="C8" s="70"/>
      <c r="D8" s="8"/>
      <c r="E8" s="67">
        <v>6.6401111111111105E-3</v>
      </c>
      <c r="F8" s="67">
        <v>6.4313333333333333E-2</v>
      </c>
      <c r="G8" s="44">
        <v>50.603477777777783</v>
      </c>
      <c r="H8" s="44">
        <v>17.013966666666665</v>
      </c>
      <c r="I8" s="60">
        <v>1.9814856865571953</v>
      </c>
      <c r="J8" s="60">
        <v>10.701132081026692</v>
      </c>
      <c r="K8" s="67">
        <v>0.11734222222222221</v>
      </c>
      <c r="L8" s="67">
        <v>18.672133333333331</v>
      </c>
      <c r="M8" s="67">
        <v>3.5715555555555561E-3</v>
      </c>
      <c r="N8" s="44"/>
      <c r="O8" s="44">
        <v>0.30945600000000001</v>
      </c>
      <c r="P8" s="10">
        <f t="shared" si="2"/>
        <v>99.473518767583869</v>
      </c>
      <c r="Q8" s="3"/>
      <c r="R8" s="24">
        <f t="shared" si="3"/>
        <v>1.1050276437196056E-4</v>
      </c>
      <c r="S8" s="8">
        <f t="shared" si="4"/>
        <v>8.0526548635631351E-4</v>
      </c>
      <c r="T8" s="8">
        <f t="shared" si="5"/>
        <v>0.99260457974672245</v>
      </c>
      <c r="U8" s="8">
        <f t="shared" si="6"/>
        <v>0.22388271158190229</v>
      </c>
      <c r="V8" s="8">
        <f t="shared" si="7"/>
        <v>2.4816653347826356E-2</v>
      </c>
      <c r="W8" s="8">
        <f t="shared" si="8"/>
        <v>0.14894955850212535</v>
      </c>
      <c r="X8" s="8">
        <f t="shared" si="9"/>
        <v>1.6541658169346807E-3</v>
      </c>
      <c r="Y8" s="8">
        <f t="shared" si="10"/>
        <v>0.46327778935633157</v>
      </c>
      <c r="Z8" s="8">
        <f t="shared" si="11"/>
        <v>6.3686796639721041E-5</v>
      </c>
      <c r="AA8" s="8">
        <f t="shared" si="12"/>
        <v>0</v>
      </c>
      <c r="AB8" s="8">
        <f t="shared" si="13"/>
        <v>4.1430499325236167E-3</v>
      </c>
      <c r="AC8" s="8">
        <f t="shared" si="14"/>
        <v>1.8603079633317345</v>
      </c>
      <c r="AD8" s="8">
        <f t="shared" si="15"/>
        <v>2.481875703920688</v>
      </c>
      <c r="AE8" s="8"/>
      <c r="AF8" s="24">
        <f t="shared" si="16"/>
        <v>1.7809556570040356E-4</v>
      </c>
      <c r="AG8" s="41">
        <f t="shared" si="17"/>
        <v>1.297833707117908E-3</v>
      </c>
      <c r="AH8" s="41">
        <f t="shared" si="18"/>
        <v>1.5997651746679777</v>
      </c>
      <c r="AI8" s="41">
        <f t="shared" si="19"/>
        <v>0.36082824168547772</v>
      </c>
      <c r="AJ8" s="41">
        <f t="shared" si="20"/>
        <v>3.9996609513720284E-2</v>
      </c>
      <c r="AK8" s="41">
        <f t="shared" si="21"/>
        <v>0.24005965853459235</v>
      </c>
      <c r="AL8" s="41">
        <f t="shared" si="22"/>
        <v>2.6659930057279643E-3</v>
      </c>
      <c r="AM8" s="41">
        <f t="shared" si="23"/>
        <v>0.74665751975327177</v>
      </c>
      <c r="AN8" s="41">
        <f t="shared" si="24"/>
        <v>1.0264300752711062E-4</v>
      </c>
      <c r="AO8" s="41">
        <f t="shared" si="25"/>
        <v>0</v>
      </c>
      <c r="AP8" s="41">
        <f t="shared" si="26"/>
        <v>6.6772883524807078E-3</v>
      </c>
      <c r="AQ8" s="8">
        <f t="shared" si="27"/>
        <v>2.9982290577935942</v>
      </c>
      <c r="AR8" s="8">
        <f t="shared" si="28"/>
        <v>4</v>
      </c>
      <c r="AS8" s="8"/>
      <c r="AT8" s="7">
        <f t="shared" si="29"/>
        <v>18.404032099454305</v>
      </c>
      <c r="AU8" s="7"/>
      <c r="AV8" s="7">
        <f t="shared" si="30"/>
        <v>75.670874712940545</v>
      </c>
      <c r="AW8" s="7"/>
      <c r="AX8" s="7">
        <f t="shared" si="31"/>
        <v>0.14281633399049812</v>
      </c>
      <c r="AY8" s="7"/>
      <c r="AZ8" s="11"/>
      <c r="BA8" s="11">
        <f t="shared" si="32"/>
        <v>6.4313333333333333E-2</v>
      </c>
      <c r="BB8" s="11">
        <f t="shared" si="33"/>
        <v>0.30945600000000001</v>
      </c>
      <c r="BC8" s="11"/>
      <c r="BD8" s="11">
        <f t="shared" si="1"/>
        <v>0.28022168685244503</v>
      </c>
      <c r="BE8" s="11"/>
      <c r="BF8" s="11">
        <f t="shared" si="34"/>
        <v>2.141161901990616E-2</v>
      </c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</row>
    <row r="9" spans="1:75">
      <c r="A9" s="42"/>
      <c r="B9" s="43"/>
      <c r="C9" s="70"/>
      <c r="D9" s="8"/>
      <c r="E9" s="67">
        <v>6.6401111111111105E-3</v>
      </c>
      <c r="F9" s="67">
        <v>6.4313333333333333E-2</v>
      </c>
      <c r="G9" s="44">
        <v>50.603477777777783</v>
      </c>
      <c r="H9" s="44">
        <v>17.013966666666665</v>
      </c>
      <c r="I9" s="60">
        <v>1.9814856865571953</v>
      </c>
      <c r="J9" s="60">
        <v>10.701132081026692</v>
      </c>
      <c r="K9" s="67">
        <v>0.11734222222222221</v>
      </c>
      <c r="L9" s="67">
        <v>18.672133333333331</v>
      </c>
      <c r="M9" s="67">
        <v>3.5715555555555561E-3</v>
      </c>
      <c r="N9" s="44"/>
      <c r="O9" s="44">
        <v>0.30945600000000001</v>
      </c>
      <c r="P9" s="10">
        <f t="shared" si="2"/>
        <v>99.473518767583869</v>
      </c>
      <c r="Q9" s="3"/>
      <c r="R9" s="24">
        <f t="shared" si="3"/>
        <v>1.1050276437196056E-4</v>
      </c>
      <c r="S9" s="8">
        <f t="shared" si="4"/>
        <v>8.0526548635631351E-4</v>
      </c>
      <c r="T9" s="8">
        <f t="shared" si="5"/>
        <v>0.99260457974672245</v>
      </c>
      <c r="U9" s="8">
        <f t="shared" si="6"/>
        <v>0.22388271158190229</v>
      </c>
      <c r="V9" s="8">
        <f t="shared" si="7"/>
        <v>2.4816653347826356E-2</v>
      </c>
      <c r="W9" s="8">
        <f t="shared" si="8"/>
        <v>0.14894955850212535</v>
      </c>
      <c r="X9" s="8">
        <f t="shared" si="9"/>
        <v>1.6541658169346807E-3</v>
      </c>
      <c r="Y9" s="8">
        <f t="shared" si="10"/>
        <v>0.46327778935633157</v>
      </c>
      <c r="Z9" s="8">
        <f t="shared" si="11"/>
        <v>6.3686796639721041E-5</v>
      </c>
      <c r="AA9" s="8">
        <f t="shared" si="12"/>
        <v>0</v>
      </c>
      <c r="AB9" s="8">
        <f t="shared" si="13"/>
        <v>4.1430499325236167E-3</v>
      </c>
      <c r="AC9" s="8">
        <f t="shared" si="14"/>
        <v>1.8603079633317345</v>
      </c>
      <c r="AD9" s="8">
        <f t="shared" si="15"/>
        <v>2.481875703920688</v>
      </c>
      <c r="AE9" s="8"/>
      <c r="AF9" s="24">
        <f t="shared" si="16"/>
        <v>1.7809556570040356E-4</v>
      </c>
      <c r="AG9" s="41">
        <f t="shared" si="17"/>
        <v>1.297833707117908E-3</v>
      </c>
      <c r="AH9" s="41">
        <f t="shared" si="18"/>
        <v>1.5997651746679777</v>
      </c>
      <c r="AI9" s="41">
        <f t="shared" si="19"/>
        <v>0.36082824168547772</v>
      </c>
      <c r="AJ9" s="41">
        <f t="shared" si="20"/>
        <v>3.9996609513720284E-2</v>
      </c>
      <c r="AK9" s="41">
        <f t="shared" si="21"/>
        <v>0.24005965853459235</v>
      </c>
      <c r="AL9" s="41">
        <f t="shared" si="22"/>
        <v>2.6659930057279643E-3</v>
      </c>
      <c r="AM9" s="41">
        <f t="shared" si="23"/>
        <v>0.74665751975327177</v>
      </c>
      <c r="AN9" s="41">
        <f t="shared" si="24"/>
        <v>1.0264300752711062E-4</v>
      </c>
      <c r="AO9" s="41">
        <f t="shared" si="25"/>
        <v>0</v>
      </c>
      <c r="AP9" s="41">
        <f t="shared" si="26"/>
        <v>6.6772883524807078E-3</v>
      </c>
      <c r="AQ9" s="8">
        <f t="shared" si="27"/>
        <v>2.9982290577935942</v>
      </c>
      <c r="AR9" s="8">
        <f t="shared" si="28"/>
        <v>4</v>
      </c>
      <c r="AS9" s="8"/>
      <c r="AT9" s="7">
        <f t="shared" si="29"/>
        <v>18.404032099454305</v>
      </c>
      <c r="AU9" s="7"/>
      <c r="AV9" s="7">
        <f t="shared" si="30"/>
        <v>75.670874712940545</v>
      </c>
      <c r="AW9" s="7"/>
      <c r="AX9" s="7">
        <f t="shared" si="31"/>
        <v>0.14281633399049812</v>
      </c>
      <c r="AY9" s="7"/>
      <c r="AZ9" s="11"/>
      <c r="BA9" s="11">
        <f t="shared" si="32"/>
        <v>6.4313333333333333E-2</v>
      </c>
      <c r="BB9" s="11">
        <f t="shared" si="33"/>
        <v>0.30945600000000001</v>
      </c>
      <c r="BC9" s="11"/>
      <c r="BD9" s="11">
        <f t="shared" si="1"/>
        <v>0.28022168685244503</v>
      </c>
      <c r="BE9" s="11"/>
      <c r="BF9" s="11">
        <f t="shared" si="34"/>
        <v>2.141161901990616E-2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</row>
    <row r="10" spans="1:75">
      <c r="A10" s="42"/>
      <c r="B10" s="43"/>
      <c r="C10" s="70"/>
      <c r="D10" s="8"/>
      <c r="E10" s="67">
        <v>6.6401111111111105E-3</v>
      </c>
      <c r="F10" s="67">
        <v>6.4313333333333333E-2</v>
      </c>
      <c r="G10" s="44">
        <v>50.603477777777783</v>
      </c>
      <c r="H10" s="44">
        <v>17.013966666666665</v>
      </c>
      <c r="I10" s="60">
        <v>1.9814856865571953</v>
      </c>
      <c r="J10" s="60">
        <v>10.701132081026692</v>
      </c>
      <c r="K10" s="67">
        <v>0.11734222222222221</v>
      </c>
      <c r="L10" s="67">
        <v>18.672133333333331</v>
      </c>
      <c r="M10" s="67">
        <v>3.5715555555555561E-3</v>
      </c>
      <c r="N10" s="44"/>
      <c r="O10" s="44">
        <v>0.30945600000000001</v>
      </c>
      <c r="P10" s="10">
        <f t="shared" si="2"/>
        <v>99.473518767583869</v>
      </c>
      <c r="Q10" s="3"/>
      <c r="R10" s="24">
        <f t="shared" si="3"/>
        <v>1.1050276437196056E-4</v>
      </c>
      <c r="S10" s="8">
        <f t="shared" si="4"/>
        <v>8.0526548635631351E-4</v>
      </c>
      <c r="T10" s="8">
        <f t="shared" si="5"/>
        <v>0.99260457974672245</v>
      </c>
      <c r="U10" s="8">
        <f t="shared" si="6"/>
        <v>0.22388271158190229</v>
      </c>
      <c r="V10" s="8">
        <f t="shared" si="7"/>
        <v>2.4816653347826356E-2</v>
      </c>
      <c r="W10" s="8">
        <f t="shared" si="8"/>
        <v>0.14894955850212535</v>
      </c>
      <c r="X10" s="8">
        <f t="shared" si="9"/>
        <v>1.6541658169346807E-3</v>
      </c>
      <c r="Y10" s="8">
        <f t="shared" si="10"/>
        <v>0.46327778935633157</v>
      </c>
      <c r="Z10" s="8">
        <f t="shared" si="11"/>
        <v>6.3686796639721041E-5</v>
      </c>
      <c r="AA10" s="8">
        <f t="shared" si="12"/>
        <v>0</v>
      </c>
      <c r="AB10" s="8">
        <f t="shared" si="13"/>
        <v>4.1430499325236167E-3</v>
      </c>
      <c r="AC10" s="8">
        <f t="shared" si="14"/>
        <v>1.8603079633317345</v>
      </c>
      <c r="AD10" s="8">
        <f t="shared" si="15"/>
        <v>2.481875703920688</v>
      </c>
      <c r="AE10" s="8"/>
      <c r="AF10" s="24">
        <f t="shared" si="16"/>
        <v>1.7809556570040356E-4</v>
      </c>
      <c r="AG10" s="41">
        <f t="shared" si="17"/>
        <v>1.297833707117908E-3</v>
      </c>
      <c r="AH10" s="41">
        <f t="shared" si="18"/>
        <v>1.5997651746679777</v>
      </c>
      <c r="AI10" s="41">
        <f t="shared" si="19"/>
        <v>0.36082824168547772</v>
      </c>
      <c r="AJ10" s="41">
        <f t="shared" si="20"/>
        <v>3.9996609513720284E-2</v>
      </c>
      <c r="AK10" s="41">
        <f t="shared" si="21"/>
        <v>0.24005965853459235</v>
      </c>
      <c r="AL10" s="41">
        <f t="shared" si="22"/>
        <v>2.6659930057279643E-3</v>
      </c>
      <c r="AM10" s="41">
        <f t="shared" si="23"/>
        <v>0.74665751975327177</v>
      </c>
      <c r="AN10" s="41">
        <f t="shared" si="24"/>
        <v>1.0264300752711062E-4</v>
      </c>
      <c r="AO10" s="41">
        <f t="shared" si="25"/>
        <v>0</v>
      </c>
      <c r="AP10" s="41">
        <f t="shared" si="26"/>
        <v>6.6772883524807078E-3</v>
      </c>
      <c r="AQ10" s="8">
        <f t="shared" si="27"/>
        <v>2.9982290577935942</v>
      </c>
      <c r="AR10" s="8">
        <f t="shared" si="28"/>
        <v>4</v>
      </c>
      <c r="AS10" s="8"/>
      <c r="AT10" s="7">
        <f t="shared" si="29"/>
        <v>18.404032099454305</v>
      </c>
      <c r="AU10" s="7"/>
      <c r="AV10" s="7">
        <f t="shared" si="30"/>
        <v>75.670874712940545</v>
      </c>
      <c r="AW10" s="7"/>
      <c r="AX10" s="7">
        <f t="shared" si="31"/>
        <v>0.14281633399049812</v>
      </c>
      <c r="AY10" s="7"/>
      <c r="AZ10" s="11"/>
      <c r="BA10" s="11">
        <f t="shared" si="32"/>
        <v>6.4313333333333333E-2</v>
      </c>
      <c r="BB10" s="11">
        <f t="shared" si="33"/>
        <v>0.30945600000000001</v>
      </c>
      <c r="BC10" s="11"/>
      <c r="BD10" s="11">
        <f t="shared" si="1"/>
        <v>0.28022168685244503</v>
      </c>
      <c r="BE10" s="11"/>
      <c r="BF10" s="11">
        <f t="shared" si="34"/>
        <v>2.141161901990616E-2</v>
      </c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</row>
    <row r="11" spans="1:75">
      <c r="A11" s="42"/>
      <c r="B11" s="43"/>
      <c r="C11" s="70"/>
      <c r="D11" s="8"/>
      <c r="E11" s="67">
        <v>6.6401111111111105E-3</v>
      </c>
      <c r="F11" s="67">
        <v>6.4313333333333333E-2</v>
      </c>
      <c r="G11" s="44">
        <v>50.603477777777783</v>
      </c>
      <c r="H11" s="44">
        <v>17.013966666666665</v>
      </c>
      <c r="I11" s="60">
        <v>1.9814856865571953</v>
      </c>
      <c r="J11" s="60">
        <v>10.701132081026692</v>
      </c>
      <c r="K11" s="67">
        <v>0.11734222222222221</v>
      </c>
      <c r="L11" s="67">
        <v>18.672133333333331</v>
      </c>
      <c r="M11" s="67">
        <v>3.5715555555555561E-3</v>
      </c>
      <c r="N11" s="44"/>
      <c r="O11" s="44">
        <v>0.30945600000000001</v>
      </c>
      <c r="P11" s="10">
        <f>SUM(E11:O11)</f>
        <v>99.473518767583869</v>
      </c>
      <c r="Q11" s="3"/>
      <c r="R11" s="24">
        <f>E11/$R$2</f>
        <v>1.1050276437196056E-4</v>
      </c>
      <c r="S11" s="8">
        <f>F11/$S$2</f>
        <v>8.0526548635631351E-4</v>
      </c>
      <c r="T11" s="8">
        <f>2*G11/$T$2</f>
        <v>0.99260457974672245</v>
      </c>
      <c r="U11" s="8">
        <f>2*H11/$U$2</f>
        <v>0.22388271158190229</v>
      </c>
      <c r="V11" s="8">
        <f>2*I11/$V$2</f>
        <v>2.4816653347826356E-2</v>
      </c>
      <c r="W11" s="8">
        <f>J11/$W$2</f>
        <v>0.14894955850212535</v>
      </c>
      <c r="X11" s="8">
        <f>K11/$X$2</f>
        <v>1.6541658169346807E-3</v>
      </c>
      <c r="Y11" s="8">
        <f>L11/$Y$2</f>
        <v>0.46327778935633157</v>
      </c>
      <c r="Z11" s="8">
        <f>M11/$Z$2</f>
        <v>6.3686796639721041E-5</v>
      </c>
      <c r="AA11" s="8">
        <f>2*N11/$AA$2</f>
        <v>0</v>
      </c>
      <c r="AB11" s="8">
        <f>O11/$AB$2</f>
        <v>4.1430499325236167E-3</v>
      </c>
      <c r="AC11" s="8">
        <f>SUM(R11:AB11)</f>
        <v>1.8603079633317345</v>
      </c>
      <c r="AD11" s="8">
        <f>IFERROR(2*R11+2*S11+(3/2)*T11+(3/2)*U11+(3/2)*V11+W11+X11+Y11+Z11+AB11+0.5*AA11,"NaN")</f>
        <v>2.481875703920688</v>
      </c>
      <c r="AE11" s="8"/>
      <c r="AF11" s="24">
        <f>IFERROR(4*R11/$AD11,"NaN")</f>
        <v>1.7809556570040356E-4</v>
      </c>
      <c r="AG11" s="41">
        <f>IFERROR(4*S11/$AD11,"NaN")</f>
        <v>1.297833707117908E-3</v>
      </c>
      <c r="AH11" s="41">
        <f t="shared" si="18"/>
        <v>1.5997651746679777</v>
      </c>
      <c r="AI11" s="41">
        <f t="shared" si="19"/>
        <v>0.36082824168547772</v>
      </c>
      <c r="AJ11" s="41">
        <f t="shared" si="20"/>
        <v>3.9996609513720284E-2</v>
      </c>
      <c r="AK11" s="41">
        <f t="shared" si="21"/>
        <v>0.24005965853459235</v>
      </c>
      <c r="AL11" s="41">
        <f t="shared" si="22"/>
        <v>2.6659930057279643E-3</v>
      </c>
      <c r="AM11" s="41">
        <f t="shared" si="23"/>
        <v>0.74665751975327177</v>
      </c>
      <c r="AN11" s="41">
        <f t="shared" si="24"/>
        <v>1.0264300752711062E-4</v>
      </c>
      <c r="AO11" s="41">
        <f t="shared" si="25"/>
        <v>0</v>
      </c>
      <c r="AP11" s="41">
        <f t="shared" si="26"/>
        <v>6.6772883524807078E-3</v>
      </c>
      <c r="AQ11" s="8">
        <f>IFERROR(SUM(AF11:AP11),"NaN")</f>
        <v>2.9982290577935942</v>
      </c>
      <c r="AR11" s="8">
        <f>IFERROR(2*AF11+2*AG11+(3/2)*AH11+(3/2)*AI11+(3/2)*AJ11+AK11+AL11+AM11+AN11+AP11+0.5*AO11,"NaN")</f>
        <v>4</v>
      </c>
      <c r="AS11" s="8"/>
      <c r="AT11" s="7">
        <f>IFERROR(AI11*100/(AI11+AH11),"NaN")</f>
        <v>18.404032099454305</v>
      </c>
      <c r="AU11" s="7"/>
      <c r="AV11" s="7">
        <f>IFERROR(AM11*100/(AM11+AK11),"NaN")</f>
        <v>75.670874712940545</v>
      </c>
      <c r="AW11" s="7"/>
      <c r="AX11" s="7">
        <f>AJ11/(AJ11+AK11)</f>
        <v>0.14281633399049812</v>
      </c>
      <c r="AY11" s="7"/>
      <c r="AZ11" s="11"/>
      <c r="BA11" s="11">
        <f t="shared" si="32"/>
        <v>6.4313333333333333E-2</v>
      </c>
      <c r="BB11" s="11">
        <f t="shared" si="33"/>
        <v>0.30945600000000001</v>
      </c>
      <c r="BC11" s="11"/>
      <c r="BD11" s="11">
        <f t="shared" ref="BD11:BD12" si="35">(AJ11+AK11)*3/AQ11</f>
        <v>0.28022168685244503</v>
      </c>
      <c r="BE11" s="11"/>
      <c r="BF11" s="11">
        <f>0.006/BD11</f>
        <v>2.141161901990616E-2</v>
      </c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</row>
    <row r="12" spans="1:75">
      <c r="A12" s="42"/>
      <c r="B12" s="43"/>
      <c r="C12" s="70"/>
      <c r="D12" s="8"/>
      <c r="E12" s="67">
        <v>6.6401111111111105E-3</v>
      </c>
      <c r="F12" s="67">
        <v>6.4313333333333333E-2</v>
      </c>
      <c r="G12" s="44">
        <v>50.603477777777783</v>
      </c>
      <c r="H12" s="44">
        <v>17.013966666666665</v>
      </c>
      <c r="I12" s="60">
        <v>1.9814856865571953</v>
      </c>
      <c r="J12" s="60">
        <v>10.701132081026692</v>
      </c>
      <c r="K12" s="67">
        <v>0.11734222222222221</v>
      </c>
      <c r="L12" s="67">
        <v>18.672133333333331</v>
      </c>
      <c r="M12" s="67">
        <v>3.5715555555555561E-3</v>
      </c>
      <c r="N12" s="44"/>
      <c r="O12" s="44">
        <v>0.30945600000000001</v>
      </c>
      <c r="P12" s="10">
        <f t="shared" ref="P12:P50" si="36">SUM(E12:O12)</f>
        <v>99.473518767583869</v>
      </c>
      <c r="Q12" s="3"/>
      <c r="R12" s="24">
        <f t="shared" ref="R12:R50" si="37">E12/$R$2</f>
        <v>1.1050276437196056E-4</v>
      </c>
      <c r="S12" s="8">
        <f t="shared" ref="S12:S50" si="38">F12/$S$2</f>
        <v>8.0526548635631351E-4</v>
      </c>
      <c r="T12" s="8">
        <f t="shared" ref="T12:T50" si="39">2*G12/$T$2</f>
        <v>0.99260457974672245</v>
      </c>
      <c r="U12" s="8">
        <f t="shared" ref="U12:U50" si="40">2*H12/$U$2</f>
        <v>0.22388271158190229</v>
      </c>
      <c r="V12" s="8">
        <f t="shared" ref="V12:V50" si="41">2*I12/$V$2</f>
        <v>2.4816653347826356E-2</v>
      </c>
      <c r="W12" s="8">
        <f t="shared" ref="W12:W50" si="42">J12/$W$2</f>
        <v>0.14894955850212535</v>
      </c>
      <c r="X12" s="8">
        <f t="shared" ref="X12:X50" si="43">K12/$X$2</f>
        <v>1.6541658169346807E-3</v>
      </c>
      <c r="Y12" s="8">
        <f t="shared" ref="Y12:Y50" si="44">L12/$Y$2</f>
        <v>0.46327778935633157</v>
      </c>
      <c r="Z12" s="8">
        <f t="shared" ref="Z12:Z50" si="45">M12/$Z$2</f>
        <v>6.3686796639721041E-5</v>
      </c>
      <c r="AA12" s="8">
        <f t="shared" ref="AA12:AA50" si="46">2*N12/$AA$2</f>
        <v>0</v>
      </c>
      <c r="AB12" s="8">
        <f t="shared" ref="AB12:AB50" si="47">O12/$AB$2</f>
        <v>4.1430499325236167E-3</v>
      </c>
      <c r="AC12" s="8">
        <f t="shared" ref="AC12:AC50" si="48">SUM(R12:AB12)</f>
        <v>1.8603079633317345</v>
      </c>
      <c r="AD12" s="8">
        <f t="shared" ref="AD12:AD50" si="49">IFERROR(2*R12+2*S12+(3/2)*T12+(3/2)*U12+(3/2)*V12+W12+X12+Y12+Z12+AB12+0.5*AA12,"NaN")</f>
        <v>2.481875703920688</v>
      </c>
      <c r="AE12" s="8"/>
      <c r="AF12" s="24">
        <f t="shared" ref="AF12:AF50" si="50">IFERROR(4*R12/$AD12,"NaN")</f>
        <v>1.7809556570040356E-4</v>
      </c>
      <c r="AG12" s="41">
        <f t="shared" ref="AG12:AG50" si="51">IFERROR(4*S12/$AD12,"NaN")</f>
        <v>1.297833707117908E-3</v>
      </c>
      <c r="AH12" s="41">
        <f t="shared" ref="AH12:AH50" si="52">IFERROR(4*T12/$AD12,"NaN")</f>
        <v>1.5997651746679777</v>
      </c>
      <c r="AI12" s="41">
        <f t="shared" ref="AI12:AI50" si="53">IFERROR(4*U12/$AD12,"NaN")</f>
        <v>0.36082824168547772</v>
      </c>
      <c r="AJ12" s="41">
        <f t="shared" ref="AJ12:AJ50" si="54">IFERROR(4*V12/$AD12,"NaN")</f>
        <v>3.9996609513720284E-2</v>
      </c>
      <c r="AK12" s="41">
        <f t="shared" ref="AK12:AK50" si="55">IFERROR(4*W12/$AD12,"NaN")</f>
        <v>0.24005965853459235</v>
      </c>
      <c r="AL12" s="41">
        <f t="shared" ref="AL12:AL50" si="56">IFERROR(4*X12/$AD12,"NaN")</f>
        <v>2.6659930057279643E-3</v>
      </c>
      <c r="AM12" s="41">
        <f t="shared" ref="AM12:AM50" si="57">IFERROR(4*Y12/$AD12,"NaN")</f>
        <v>0.74665751975327177</v>
      </c>
      <c r="AN12" s="41">
        <f t="shared" ref="AN12:AN50" si="58">IFERROR(4*Z12/$AD12,"NaN")</f>
        <v>1.0264300752711062E-4</v>
      </c>
      <c r="AO12" s="41">
        <f t="shared" ref="AO12:AO50" si="59">IFERROR(4*AA12/$AD12,"NaN")</f>
        <v>0</v>
      </c>
      <c r="AP12" s="41">
        <f t="shared" ref="AP12:AP50" si="60">IFERROR(4*AB12/$AD12,"NaN")</f>
        <v>6.6772883524807078E-3</v>
      </c>
      <c r="AQ12" s="8">
        <f t="shared" ref="AQ12:AQ50" si="61">IFERROR(SUM(AF12:AP12),"NaN")</f>
        <v>2.9982290577935942</v>
      </c>
      <c r="AR12" s="8">
        <f t="shared" ref="AR12:AR50" si="62">IFERROR(2*AF12+2*AG12+(3/2)*AH12+(3/2)*AI12+(3/2)*AJ12+AK12+AL12+AM12+AN12+AP12+0.5*AO12,"NaN")</f>
        <v>4</v>
      </c>
      <c r="AS12" s="8"/>
      <c r="AT12" s="7">
        <f t="shared" ref="AT12:AT50" si="63">IFERROR(AI12*100/(AI12+AH12),"NaN")</f>
        <v>18.404032099454305</v>
      </c>
      <c r="AU12" s="7"/>
      <c r="AV12" s="7">
        <f t="shared" ref="AV12:AV50" si="64">IFERROR(AM12*100/(AM12+AK12),"NaN")</f>
        <v>75.670874712940545</v>
      </c>
      <c r="AW12" s="7"/>
      <c r="AX12" s="7">
        <f t="shared" ref="AX12:AX50" si="65">AJ12/(AJ12+AK12)</f>
        <v>0.14281633399049812</v>
      </c>
      <c r="AY12" s="7"/>
      <c r="AZ12" s="11"/>
      <c r="BA12" s="11">
        <f t="shared" ref="BA12:BA50" si="66">F12</f>
        <v>6.4313333333333333E-2</v>
      </c>
      <c r="BB12" s="11">
        <f t="shared" ref="BB12:BB50" si="67">O12</f>
        <v>0.30945600000000001</v>
      </c>
      <c r="BC12" s="11"/>
      <c r="BD12" s="11">
        <f t="shared" si="35"/>
        <v>0.28022168685244503</v>
      </c>
      <c r="BE12" s="11"/>
      <c r="BF12" s="11">
        <f t="shared" ref="BF12:BF50" si="68">0.006/BD12</f>
        <v>2.141161901990616E-2</v>
      </c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</row>
    <row r="13" spans="1:75">
      <c r="A13" s="42"/>
      <c r="B13" s="43"/>
      <c r="C13" s="70"/>
      <c r="D13" s="8"/>
      <c r="E13" s="67">
        <v>6.6401111111111105E-3</v>
      </c>
      <c r="F13" s="67">
        <v>6.4313333333333333E-2</v>
      </c>
      <c r="G13" s="44">
        <v>50.603477777777783</v>
      </c>
      <c r="H13" s="44">
        <v>17.013966666666665</v>
      </c>
      <c r="I13" s="60">
        <v>1.9814856865571953</v>
      </c>
      <c r="J13" s="60">
        <v>10.701132081026692</v>
      </c>
      <c r="K13" s="67">
        <v>0.11734222222222221</v>
      </c>
      <c r="L13" s="67">
        <v>18.672133333333331</v>
      </c>
      <c r="M13" s="67">
        <v>3.5715555555555561E-3</v>
      </c>
      <c r="N13" s="44"/>
      <c r="O13" s="44">
        <v>0.30945600000000001</v>
      </c>
      <c r="P13" s="10">
        <f t="shared" si="36"/>
        <v>99.473518767583869</v>
      </c>
      <c r="Q13" s="3"/>
      <c r="R13" s="24">
        <f t="shared" si="37"/>
        <v>1.1050276437196056E-4</v>
      </c>
      <c r="S13" s="8">
        <f t="shared" si="38"/>
        <v>8.0526548635631351E-4</v>
      </c>
      <c r="T13" s="8">
        <f t="shared" si="39"/>
        <v>0.99260457974672245</v>
      </c>
      <c r="U13" s="8">
        <f t="shared" si="40"/>
        <v>0.22388271158190229</v>
      </c>
      <c r="V13" s="8">
        <f t="shared" si="41"/>
        <v>2.4816653347826356E-2</v>
      </c>
      <c r="W13" s="8">
        <f t="shared" si="42"/>
        <v>0.14894955850212535</v>
      </c>
      <c r="X13" s="8">
        <f t="shared" si="43"/>
        <v>1.6541658169346807E-3</v>
      </c>
      <c r="Y13" s="8">
        <f t="shared" si="44"/>
        <v>0.46327778935633157</v>
      </c>
      <c r="Z13" s="8">
        <f t="shared" si="45"/>
        <v>6.3686796639721041E-5</v>
      </c>
      <c r="AA13" s="8">
        <f t="shared" si="46"/>
        <v>0</v>
      </c>
      <c r="AB13" s="8">
        <f t="shared" si="47"/>
        <v>4.1430499325236167E-3</v>
      </c>
      <c r="AC13" s="8">
        <f t="shared" si="48"/>
        <v>1.8603079633317345</v>
      </c>
      <c r="AD13" s="8">
        <f t="shared" si="49"/>
        <v>2.481875703920688</v>
      </c>
      <c r="AE13" s="8"/>
      <c r="AF13" s="24">
        <f t="shared" si="50"/>
        <v>1.7809556570040356E-4</v>
      </c>
      <c r="AG13" s="41">
        <f t="shared" si="51"/>
        <v>1.297833707117908E-3</v>
      </c>
      <c r="AH13" s="41">
        <f t="shared" si="52"/>
        <v>1.5997651746679777</v>
      </c>
      <c r="AI13" s="41">
        <f t="shared" si="53"/>
        <v>0.36082824168547772</v>
      </c>
      <c r="AJ13" s="41">
        <f t="shared" si="54"/>
        <v>3.9996609513720284E-2</v>
      </c>
      <c r="AK13" s="41">
        <f t="shared" si="55"/>
        <v>0.24005965853459235</v>
      </c>
      <c r="AL13" s="41">
        <f t="shared" si="56"/>
        <v>2.6659930057279643E-3</v>
      </c>
      <c r="AM13" s="41">
        <f t="shared" si="57"/>
        <v>0.74665751975327177</v>
      </c>
      <c r="AN13" s="41">
        <f t="shared" si="58"/>
        <v>1.0264300752711062E-4</v>
      </c>
      <c r="AO13" s="41">
        <f t="shared" si="59"/>
        <v>0</v>
      </c>
      <c r="AP13" s="41">
        <f t="shared" si="60"/>
        <v>6.6772883524807078E-3</v>
      </c>
      <c r="AQ13" s="8">
        <f t="shared" si="61"/>
        <v>2.9982290577935942</v>
      </c>
      <c r="AR13" s="8">
        <f t="shared" si="62"/>
        <v>4</v>
      </c>
      <c r="AS13" s="8"/>
      <c r="AT13" s="7">
        <f t="shared" si="63"/>
        <v>18.404032099454305</v>
      </c>
      <c r="AU13" s="7"/>
      <c r="AV13" s="7">
        <f t="shared" si="64"/>
        <v>75.670874712940545</v>
      </c>
      <c r="AW13" s="7"/>
      <c r="AX13" s="7">
        <f t="shared" si="65"/>
        <v>0.14281633399049812</v>
      </c>
      <c r="AY13" s="7"/>
      <c r="AZ13" s="11"/>
      <c r="BA13" s="11">
        <f t="shared" si="66"/>
        <v>6.4313333333333333E-2</v>
      </c>
      <c r="BB13" s="11">
        <f t="shared" si="67"/>
        <v>0.30945600000000001</v>
      </c>
      <c r="BC13" s="11"/>
      <c r="BD13" s="11">
        <f t="shared" ref="BD13:BD50" si="69">(AJ13+AK13)*3/AQ13</f>
        <v>0.28022168685244503</v>
      </c>
      <c r="BE13" s="11"/>
      <c r="BF13" s="11">
        <f t="shared" si="68"/>
        <v>2.141161901990616E-2</v>
      </c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</row>
    <row r="14" spans="1:75">
      <c r="A14" s="42"/>
      <c r="B14" s="43"/>
      <c r="C14" s="70"/>
      <c r="D14" s="8"/>
      <c r="E14" s="67">
        <v>6.6401111111111105E-3</v>
      </c>
      <c r="F14" s="67">
        <v>6.4313333333333333E-2</v>
      </c>
      <c r="G14" s="44">
        <v>50.603477777777783</v>
      </c>
      <c r="H14" s="44">
        <v>17.013966666666665</v>
      </c>
      <c r="I14" s="60">
        <v>1.9814856865571953</v>
      </c>
      <c r="J14" s="60">
        <v>10.701132081026692</v>
      </c>
      <c r="K14" s="67">
        <v>0.11734222222222221</v>
      </c>
      <c r="L14" s="67">
        <v>18.672133333333331</v>
      </c>
      <c r="M14" s="67">
        <v>3.5715555555555561E-3</v>
      </c>
      <c r="N14" s="44"/>
      <c r="O14" s="44">
        <v>0.30945600000000001</v>
      </c>
      <c r="P14" s="10">
        <f t="shared" si="36"/>
        <v>99.473518767583869</v>
      </c>
      <c r="Q14" s="3"/>
      <c r="R14" s="24">
        <f t="shared" si="37"/>
        <v>1.1050276437196056E-4</v>
      </c>
      <c r="S14" s="8">
        <f t="shared" si="38"/>
        <v>8.0526548635631351E-4</v>
      </c>
      <c r="T14" s="8">
        <f t="shared" si="39"/>
        <v>0.99260457974672245</v>
      </c>
      <c r="U14" s="8">
        <f t="shared" si="40"/>
        <v>0.22388271158190229</v>
      </c>
      <c r="V14" s="8">
        <f t="shared" si="41"/>
        <v>2.4816653347826356E-2</v>
      </c>
      <c r="W14" s="8">
        <f t="shared" si="42"/>
        <v>0.14894955850212535</v>
      </c>
      <c r="X14" s="8">
        <f t="shared" si="43"/>
        <v>1.6541658169346807E-3</v>
      </c>
      <c r="Y14" s="8">
        <f t="shared" si="44"/>
        <v>0.46327778935633157</v>
      </c>
      <c r="Z14" s="8">
        <f t="shared" si="45"/>
        <v>6.3686796639721041E-5</v>
      </c>
      <c r="AA14" s="8">
        <f t="shared" si="46"/>
        <v>0</v>
      </c>
      <c r="AB14" s="8">
        <f t="shared" si="47"/>
        <v>4.1430499325236167E-3</v>
      </c>
      <c r="AC14" s="8">
        <f t="shared" si="48"/>
        <v>1.8603079633317345</v>
      </c>
      <c r="AD14" s="8">
        <f t="shared" si="49"/>
        <v>2.481875703920688</v>
      </c>
      <c r="AE14" s="8"/>
      <c r="AF14" s="24">
        <f t="shared" si="50"/>
        <v>1.7809556570040356E-4</v>
      </c>
      <c r="AG14" s="41">
        <f t="shared" si="51"/>
        <v>1.297833707117908E-3</v>
      </c>
      <c r="AH14" s="41">
        <f t="shared" si="52"/>
        <v>1.5997651746679777</v>
      </c>
      <c r="AI14" s="41">
        <f t="shared" si="53"/>
        <v>0.36082824168547772</v>
      </c>
      <c r="AJ14" s="41">
        <f t="shared" si="54"/>
        <v>3.9996609513720284E-2</v>
      </c>
      <c r="AK14" s="41">
        <f t="shared" si="55"/>
        <v>0.24005965853459235</v>
      </c>
      <c r="AL14" s="41">
        <f t="shared" si="56"/>
        <v>2.6659930057279643E-3</v>
      </c>
      <c r="AM14" s="41">
        <f t="shared" si="57"/>
        <v>0.74665751975327177</v>
      </c>
      <c r="AN14" s="41">
        <f t="shared" si="58"/>
        <v>1.0264300752711062E-4</v>
      </c>
      <c r="AO14" s="41">
        <f t="shared" si="59"/>
        <v>0</v>
      </c>
      <c r="AP14" s="41">
        <f t="shared" si="60"/>
        <v>6.6772883524807078E-3</v>
      </c>
      <c r="AQ14" s="8">
        <f t="shared" si="61"/>
        <v>2.9982290577935942</v>
      </c>
      <c r="AR14" s="8">
        <f t="shared" si="62"/>
        <v>4</v>
      </c>
      <c r="AS14" s="8"/>
      <c r="AT14" s="7">
        <f t="shared" si="63"/>
        <v>18.404032099454305</v>
      </c>
      <c r="AU14" s="7"/>
      <c r="AV14" s="7">
        <f t="shared" si="64"/>
        <v>75.670874712940545</v>
      </c>
      <c r="AW14" s="7"/>
      <c r="AX14" s="7">
        <f t="shared" si="65"/>
        <v>0.14281633399049812</v>
      </c>
      <c r="AY14" s="7"/>
      <c r="AZ14" s="11"/>
      <c r="BA14" s="11">
        <f t="shared" si="66"/>
        <v>6.4313333333333333E-2</v>
      </c>
      <c r="BB14" s="11">
        <f t="shared" si="67"/>
        <v>0.30945600000000001</v>
      </c>
      <c r="BC14" s="11"/>
      <c r="BD14" s="11">
        <f t="shared" si="69"/>
        <v>0.28022168685244503</v>
      </c>
      <c r="BE14" s="11"/>
      <c r="BF14" s="11">
        <f t="shared" si="68"/>
        <v>2.141161901990616E-2</v>
      </c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</row>
    <row r="15" spans="1:75">
      <c r="A15" s="42"/>
      <c r="B15" s="43"/>
      <c r="C15" s="70"/>
      <c r="D15" s="8"/>
      <c r="E15" s="67">
        <v>6.6401111111111105E-3</v>
      </c>
      <c r="F15" s="67">
        <v>6.4313333333333333E-2</v>
      </c>
      <c r="G15" s="44">
        <v>50.603477777777783</v>
      </c>
      <c r="H15" s="44">
        <v>17.013966666666665</v>
      </c>
      <c r="I15" s="60">
        <v>1.9814856865571953</v>
      </c>
      <c r="J15" s="60">
        <v>10.701132081026692</v>
      </c>
      <c r="K15" s="67">
        <v>0.11734222222222221</v>
      </c>
      <c r="L15" s="67">
        <v>18.672133333333331</v>
      </c>
      <c r="M15" s="67">
        <v>3.5715555555555561E-3</v>
      </c>
      <c r="N15" s="44"/>
      <c r="O15" s="44">
        <v>0.30945600000000001</v>
      </c>
      <c r="P15" s="10">
        <f t="shared" si="36"/>
        <v>99.473518767583869</v>
      </c>
      <c r="Q15" s="3"/>
      <c r="R15" s="24">
        <f t="shared" si="37"/>
        <v>1.1050276437196056E-4</v>
      </c>
      <c r="S15" s="8">
        <f t="shared" si="38"/>
        <v>8.0526548635631351E-4</v>
      </c>
      <c r="T15" s="8">
        <f t="shared" si="39"/>
        <v>0.99260457974672245</v>
      </c>
      <c r="U15" s="8">
        <f t="shared" si="40"/>
        <v>0.22388271158190229</v>
      </c>
      <c r="V15" s="8">
        <f t="shared" si="41"/>
        <v>2.4816653347826356E-2</v>
      </c>
      <c r="W15" s="8">
        <f t="shared" si="42"/>
        <v>0.14894955850212535</v>
      </c>
      <c r="X15" s="8">
        <f t="shared" si="43"/>
        <v>1.6541658169346807E-3</v>
      </c>
      <c r="Y15" s="8">
        <f t="shared" si="44"/>
        <v>0.46327778935633157</v>
      </c>
      <c r="Z15" s="8">
        <f t="shared" si="45"/>
        <v>6.3686796639721041E-5</v>
      </c>
      <c r="AA15" s="8">
        <f t="shared" si="46"/>
        <v>0</v>
      </c>
      <c r="AB15" s="8">
        <f t="shared" si="47"/>
        <v>4.1430499325236167E-3</v>
      </c>
      <c r="AC15" s="8">
        <f t="shared" si="48"/>
        <v>1.8603079633317345</v>
      </c>
      <c r="AD15" s="8">
        <f t="shared" si="49"/>
        <v>2.481875703920688</v>
      </c>
      <c r="AE15" s="8"/>
      <c r="AF15" s="24">
        <f t="shared" si="50"/>
        <v>1.7809556570040356E-4</v>
      </c>
      <c r="AG15" s="41">
        <f t="shared" si="51"/>
        <v>1.297833707117908E-3</v>
      </c>
      <c r="AH15" s="41">
        <f t="shared" si="52"/>
        <v>1.5997651746679777</v>
      </c>
      <c r="AI15" s="41">
        <f t="shared" si="53"/>
        <v>0.36082824168547772</v>
      </c>
      <c r="AJ15" s="41">
        <f t="shared" si="54"/>
        <v>3.9996609513720284E-2</v>
      </c>
      <c r="AK15" s="41">
        <f t="shared" si="55"/>
        <v>0.24005965853459235</v>
      </c>
      <c r="AL15" s="41">
        <f t="shared" si="56"/>
        <v>2.6659930057279643E-3</v>
      </c>
      <c r="AM15" s="41">
        <f t="shared" si="57"/>
        <v>0.74665751975327177</v>
      </c>
      <c r="AN15" s="41">
        <f t="shared" si="58"/>
        <v>1.0264300752711062E-4</v>
      </c>
      <c r="AO15" s="41">
        <f t="shared" si="59"/>
        <v>0</v>
      </c>
      <c r="AP15" s="41">
        <f t="shared" si="60"/>
        <v>6.6772883524807078E-3</v>
      </c>
      <c r="AQ15" s="8">
        <f t="shared" si="61"/>
        <v>2.9982290577935942</v>
      </c>
      <c r="AR15" s="8">
        <f t="shared" si="62"/>
        <v>4</v>
      </c>
      <c r="AS15" s="8"/>
      <c r="AT15" s="7">
        <f t="shared" si="63"/>
        <v>18.404032099454305</v>
      </c>
      <c r="AU15" s="7"/>
      <c r="AV15" s="7">
        <f t="shared" si="64"/>
        <v>75.670874712940545</v>
      </c>
      <c r="AW15" s="7"/>
      <c r="AX15" s="7">
        <f t="shared" si="65"/>
        <v>0.14281633399049812</v>
      </c>
      <c r="AY15" s="7"/>
      <c r="AZ15" s="11"/>
      <c r="BA15" s="11">
        <f t="shared" si="66"/>
        <v>6.4313333333333333E-2</v>
      </c>
      <c r="BB15" s="11">
        <f t="shared" si="67"/>
        <v>0.30945600000000001</v>
      </c>
      <c r="BC15" s="11"/>
      <c r="BD15" s="11">
        <f t="shared" si="69"/>
        <v>0.28022168685244503</v>
      </c>
      <c r="BE15" s="11"/>
      <c r="BF15" s="11">
        <f t="shared" si="68"/>
        <v>2.141161901990616E-2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</row>
    <row r="16" spans="1:75" ht="15" thickBot="1">
      <c r="A16" s="42"/>
      <c r="B16" s="43"/>
      <c r="C16" s="70"/>
      <c r="D16" s="8"/>
      <c r="E16" s="67">
        <v>6.6401111111111105E-3</v>
      </c>
      <c r="F16" s="67">
        <v>6.4313333333333333E-2</v>
      </c>
      <c r="G16" s="44">
        <v>50.603477777777783</v>
      </c>
      <c r="H16" s="44">
        <v>17.013966666666665</v>
      </c>
      <c r="I16" s="60">
        <v>1.9814856865571953</v>
      </c>
      <c r="J16" s="60">
        <v>10.701132081026692</v>
      </c>
      <c r="K16" s="67">
        <v>0.11734222222222221</v>
      </c>
      <c r="L16" s="67">
        <v>18.672133333333331</v>
      </c>
      <c r="M16" s="67">
        <v>3.5715555555555561E-3</v>
      </c>
      <c r="N16" s="44"/>
      <c r="O16" s="44">
        <v>0.30945600000000001</v>
      </c>
      <c r="P16" s="10">
        <f t="shared" si="36"/>
        <v>99.473518767583869</v>
      </c>
      <c r="Q16" s="3"/>
      <c r="R16" s="24">
        <f t="shared" si="37"/>
        <v>1.1050276437196056E-4</v>
      </c>
      <c r="S16" s="8">
        <f t="shared" si="38"/>
        <v>8.0526548635631351E-4</v>
      </c>
      <c r="T16" s="8">
        <f t="shared" si="39"/>
        <v>0.99260457974672245</v>
      </c>
      <c r="U16" s="8">
        <f t="shared" si="40"/>
        <v>0.22388271158190229</v>
      </c>
      <c r="V16" s="8">
        <f t="shared" si="41"/>
        <v>2.4816653347826356E-2</v>
      </c>
      <c r="W16" s="8">
        <f t="shared" si="42"/>
        <v>0.14894955850212535</v>
      </c>
      <c r="X16" s="8">
        <f t="shared" si="43"/>
        <v>1.6541658169346807E-3</v>
      </c>
      <c r="Y16" s="8">
        <f t="shared" si="44"/>
        <v>0.46327778935633157</v>
      </c>
      <c r="Z16" s="8">
        <f t="shared" si="45"/>
        <v>6.3686796639721041E-5</v>
      </c>
      <c r="AA16" s="8">
        <f t="shared" si="46"/>
        <v>0</v>
      </c>
      <c r="AB16" s="8">
        <f t="shared" si="47"/>
        <v>4.1430499325236167E-3</v>
      </c>
      <c r="AC16" s="8">
        <f t="shared" si="48"/>
        <v>1.8603079633317345</v>
      </c>
      <c r="AD16" s="8">
        <f t="shared" si="49"/>
        <v>2.481875703920688</v>
      </c>
      <c r="AE16" s="8"/>
      <c r="AF16" s="24">
        <f t="shared" si="50"/>
        <v>1.7809556570040356E-4</v>
      </c>
      <c r="AG16" s="41">
        <f t="shared" si="51"/>
        <v>1.297833707117908E-3</v>
      </c>
      <c r="AH16" s="41">
        <f t="shared" si="52"/>
        <v>1.5997651746679777</v>
      </c>
      <c r="AI16" s="41">
        <f t="shared" si="53"/>
        <v>0.36082824168547772</v>
      </c>
      <c r="AJ16" s="41">
        <f t="shared" si="54"/>
        <v>3.9996609513720284E-2</v>
      </c>
      <c r="AK16" s="41">
        <f t="shared" si="55"/>
        <v>0.24005965853459235</v>
      </c>
      <c r="AL16" s="41">
        <f t="shared" si="56"/>
        <v>2.6659930057279643E-3</v>
      </c>
      <c r="AM16" s="41">
        <f t="shared" si="57"/>
        <v>0.74665751975327177</v>
      </c>
      <c r="AN16" s="41">
        <f t="shared" si="58"/>
        <v>1.0264300752711062E-4</v>
      </c>
      <c r="AO16" s="41">
        <f t="shared" si="59"/>
        <v>0</v>
      </c>
      <c r="AP16" s="41">
        <f t="shared" si="60"/>
        <v>6.6772883524807078E-3</v>
      </c>
      <c r="AQ16" s="8">
        <f t="shared" si="61"/>
        <v>2.9982290577935942</v>
      </c>
      <c r="AR16" s="8">
        <f t="shared" si="62"/>
        <v>4</v>
      </c>
      <c r="AS16" s="8"/>
      <c r="AT16" s="7">
        <f t="shared" si="63"/>
        <v>18.404032099454305</v>
      </c>
      <c r="AU16" s="7"/>
      <c r="AV16" s="7">
        <f t="shared" si="64"/>
        <v>75.670874712940545</v>
      </c>
      <c r="AW16" s="7"/>
      <c r="AX16" s="7">
        <f t="shared" si="65"/>
        <v>0.14281633399049812</v>
      </c>
      <c r="AY16" s="7"/>
      <c r="AZ16" s="11"/>
      <c r="BA16" s="11">
        <f t="shared" si="66"/>
        <v>6.4313333333333333E-2</v>
      </c>
      <c r="BB16" s="11">
        <f t="shared" si="67"/>
        <v>0.30945600000000001</v>
      </c>
      <c r="BC16" s="11"/>
      <c r="BD16" s="11">
        <f t="shared" si="69"/>
        <v>0.28022168685244503</v>
      </c>
      <c r="BE16" s="11"/>
      <c r="BF16" s="11">
        <f t="shared" si="68"/>
        <v>2.141161901990616E-2</v>
      </c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</row>
    <row r="17" spans="1:75" ht="15" thickBot="1">
      <c r="A17" s="42"/>
      <c r="B17" s="43"/>
      <c r="C17" s="70"/>
      <c r="D17" s="8"/>
      <c r="E17" s="67"/>
      <c r="F17" s="67"/>
      <c r="G17" s="44"/>
      <c r="H17" s="44"/>
      <c r="I17" s="60"/>
      <c r="J17" s="60"/>
      <c r="K17" s="67"/>
      <c r="L17" s="67"/>
      <c r="M17" s="67"/>
      <c r="N17" s="44"/>
      <c r="O17" s="44"/>
      <c r="P17" s="10"/>
      <c r="Q17" s="3"/>
      <c r="R17" s="24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24"/>
      <c r="AG17" s="41"/>
      <c r="AH17" s="41"/>
      <c r="AI17" s="41"/>
      <c r="AJ17" s="41"/>
      <c r="AK17" s="75">
        <v>-0.04</v>
      </c>
      <c r="AL17" s="85" t="s">
        <v>123</v>
      </c>
      <c r="AM17" s="41"/>
      <c r="AN17" s="41"/>
      <c r="AO17" s="41"/>
      <c r="AP17" s="41"/>
      <c r="AQ17" s="8"/>
      <c r="AR17" s="8"/>
      <c r="AS17" s="8"/>
      <c r="AT17" s="7"/>
      <c r="AU17" s="7"/>
      <c r="AV17" s="7"/>
      <c r="AW17" s="7"/>
      <c r="AX17" s="7"/>
      <c r="AY17" s="7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</row>
    <row r="18" spans="1:75">
      <c r="A18" s="42"/>
      <c r="B18" s="43"/>
      <c r="C18" s="70"/>
      <c r="D18" s="8"/>
      <c r="E18" s="67">
        <v>6.6401111111111105E-3</v>
      </c>
      <c r="F18" s="67">
        <v>6.4313333333333333E-2</v>
      </c>
      <c r="G18" s="44">
        <v>50.603477777777783</v>
      </c>
      <c r="H18" s="44">
        <v>17.013966666666665</v>
      </c>
      <c r="I18" s="60">
        <v>1.9814856865571953</v>
      </c>
      <c r="J18" s="60">
        <v>10.701132081026692</v>
      </c>
      <c r="K18" s="67">
        <v>0.11734222222222221</v>
      </c>
      <c r="L18" s="67">
        <v>18.672133333333331</v>
      </c>
      <c r="M18" s="67">
        <v>3.5715555555555561E-3</v>
      </c>
      <c r="N18" s="44"/>
      <c r="O18" s="44">
        <v>0.30945600000000001</v>
      </c>
      <c r="P18" s="10">
        <f t="shared" si="36"/>
        <v>99.473518767583869</v>
      </c>
      <c r="Q18" s="3"/>
      <c r="R18" s="24">
        <f t="shared" si="37"/>
        <v>1.1050276437196056E-4</v>
      </c>
      <c r="S18" s="8">
        <f t="shared" si="38"/>
        <v>8.0526548635631351E-4</v>
      </c>
      <c r="T18" s="8">
        <f t="shared" si="39"/>
        <v>0.99260457974672245</v>
      </c>
      <c r="U18" s="8">
        <f t="shared" si="40"/>
        <v>0.22388271158190229</v>
      </c>
      <c r="V18" s="8">
        <f t="shared" si="41"/>
        <v>2.4816653347826356E-2</v>
      </c>
      <c r="W18" s="8">
        <f t="shared" si="42"/>
        <v>0.14894955850212535</v>
      </c>
      <c r="X18" s="8">
        <f t="shared" si="43"/>
        <v>1.6541658169346807E-3</v>
      </c>
      <c r="Y18" s="8">
        <f t="shared" si="44"/>
        <v>0.46327778935633157</v>
      </c>
      <c r="Z18" s="8">
        <f t="shared" si="45"/>
        <v>6.3686796639721041E-5</v>
      </c>
      <c r="AA18" s="8">
        <f t="shared" si="46"/>
        <v>0</v>
      </c>
      <c r="AB18" s="8">
        <f t="shared" si="47"/>
        <v>4.1430499325236167E-3</v>
      </c>
      <c r="AC18" s="8">
        <f t="shared" si="48"/>
        <v>1.8603079633317345</v>
      </c>
      <c r="AD18" s="8">
        <f t="shared" si="49"/>
        <v>2.481875703920688</v>
      </c>
      <c r="AE18" s="8"/>
      <c r="AF18" s="24">
        <f t="shared" si="50"/>
        <v>1.7809556570040356E-4</v>
      </c>
      <c r="AG18" s="41">
        <f t="shared" si="51"/>
        <v>1.297833707117908E-3</v>
      </c>
      <c r="AH18" s="41">
        <f t="shared" si="52"/>
        <v>1.5997651746679777</v>
      </c>
      <c r="AI18" s="41">
        <f t="shared" si="53"/>
        <v>0.36082824168547772</v>
      </c>
      <c r="AJ18" s="41">
        <f t="shared" si="54"/>
        <v>3.9996609513720284E-2</v>
      </c>
      <c r="AK18" s="76">
        <f>IFERROR(4*W18/$AD18,"NaN")-AK17</f>
        <v>0.28005965853459236</v>
      </c>
      <c r="AL18" s="41">
        <f t="shared" si="56"/>
        <v>2.6659930057279643E-3</v>
      </c>
      <c r="AM18" s="76">
        <f>IFERROR(4*Y18/$AD18,"NaN")+AK17</f>
        <v>0.70665751975327173</v>
      </c>
      <c r="AN18" s="41">
        <f t="shared" si="58"/>
        <v>1.0264300752711062E-4</v>
      </c>
      <c r="AO18" s="41">
        <f t="shared" si="59"/>
        <v>0</v>
      </c>
      <c r="AP18" s="41">
        <f t="shared" si="60"/>
        <v>6.6772883524807078E-3</v>
      </c>
      <c r="AQ18" s="8">
        <f t="shared" si="61"/>
        <v>2.9982290577935942</v>
      </c>
      <c r="AR18" s="8">
        <f t="shared" si="62"/>
        <v>4</v>
      </c>
      <c r="AS18" s="8"/>
      <c r="AT18" s="7">
        <f t="shared" si="63"/>
        <v>18.404032099454305</v>
      </c>
      <c r="AU18" s="7"/>
      <c r="AV18" s="7">
        <f t="shared" si="64"/>
        <v>71.617028192359285</v>
      </c>
      <c r="AW18" s="7"/>
      <c r="AX18" s="7">
        <f t="shared" si="65"/>
        <v>0.12496743075090401</v>
      </c>
      <c r="AY18" s="7"/>
      <c r="AZ18" s="11"/>
      <c r="BA18" s="11">
        <f t="shared" si="66"/>
        <v>6.4313333333333333E-2</v>
      </c>
      <c r="BB18" s="11">
        <f t="shared" si="67"/>
        <v>0.30945600000000001</v>
      </c>
      <c r="BC18" s="11"/>
      <c r="BD18" s="11">
        <f t="shared" si="69"/>
        <v>0.32024531336225831</v>
      </c>
      <c r="BE18" s="11"/>
      <c r="BF18" s="11">
        <f t="shared" si="68"/>
        <v>1.8735637180778537E-2</v>
      </c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</row>
    <row r="19" spans="1:75">
      <c r="A19" s="42"/>
      <c r="B19" s="43"/>
      <c r="C19" s="70"/>
      <c r="D19" s="8"/>
      <c r="E19" s="67">
        <v>6.6401111111111105E-3</v>
      </c>
      <c r="F19" s="67">
        <v>6.4313333333333333E-2</v>
      </c>
      <c r="G19" s="44">
        <v>50.603477777777783</v>
      </c>
      <c r="H19" s="44">
        <v>17.013966666666665</v>
      </c>
      <c r="I19" s="60">
        <v>1.9814856865571953</v>
      </c>
      <c r="J19" s="60">
        <v>10.701132081026692</v>
      </c>
      <c r="K19" s="67">
        <v>0.11734222222222221</v>
      </c>
      <c r="L19" s="67">
        <v>18.672133333333331</v>
      </c>
      <c r="M19" s="67">
        <v>3.5715555555555561E-3</v>
      </c>
      <c r="N19" s="44"/>
      <c r="O19" s="44">
        <v>0.30945600000000001</v>
      </c>
      <c r="P19" s="10">
        <f t="shared" si="36"/>
        <v>99.473518767583869</v>
      </c>
      <c r="Q19" s="3"/>
      <c r="R19" s="24">
        <f t="shared" si="37"/>
        <v>1.1050276437196056E-4</v>
      </c>
      <c r="S19" s="8">
        <f t="shared" si="38"/>
        <v>8.0526548635631351E-4</v>
      </c>
      <c r="T19" s="8">
        <f t="shared" si="39"/>
        <v>0.99260457974672245</v>
      </c>
      <c r="U19" s="8">
        <f t="shared" si="40"/>
        <v>0.22388271158190229</v>
      </c>
      <c r="V19" s="8">
        <f t="shared" si="41"/>
        <v>2.4816653347826356E-2</v>
      </c>
      <c r="W19" s="8">
        <f t="shared" si="42"/>
        <v>0.14894955850212535</v>
      </c>
      <c r="X19" s="8">
        <f t="shared" si="43"/>
        <v>1.6541658169346807E-3</v>
      </c>
      <c r="Y19" s="8">
        <f t="shared" si="44"/>
        <v>0.46327778935633157</v>
      </c>
      <c r="Z19" s="8">
        <f t="shared" si="45"/>
        <v>6.3686796639721041E-5</v>
      </c>
      <c r="AA19" s="8">
        <f t="shared" si="46"/>
        <v>0</v>
      </c>
      <c r="AB19" s="8">
        <f t="shared" si="47"/>
        <v>4.1430499325236167E-3</v>
      </c>
      <c r="AC19" s="8">
        <f t="shared" si="48"/>
        <v>1.8603079633317345</v>
      </c>
      <c r="AD19" s="8">
        <f t="shared" si="49"/>
        <v>2.481875703920688</v>
      </c>
      <c r="AE19" s="8"/>
      <c r="AF19" s="24">
        <f t="shared" si="50"/>
        <v>1.7809556570040356E-4</v>
      </c>
      <c r="AG19" s="41">
        <f t="shared" si="51"/>
        <v>1.297833707117908E-3</v>
      </c>
      <c r="AH19" s="41">
        <f t="shared" si="52"/>
        <v>1.5997651746679777</v>
      </c>
      <c r="AI19" s="41">
        <f t="shared" si="53"/>
        <v>0.36082824168547772</v>
      </c>
      <c r="AJ19" s="41">
        <f t="shared" si="54"/>
        <v>3.9996609513720284E-2</v>
      </c>
      <c r="AK19" s="76">
        <f>AK18-(AK$31-AK$17)/12</f>
        <v>0.27005965853459235</v>
      </c>
      <c r="AL19" s="41">
        <f t="shared" si="56"/>
        <v>2.6659930057279643E-3</v>
      </c>
      <c r="AM19" s="76">
        <f>AM18+(AK$31-AK$17)/12</f>
        <v>0.71665751975327174</v>
      </c>
      <c r="AN19" s="41">
        <f t="shared" si="58"/>
        <v>1.0264300752711062E-4</v>
      </c>
      <c r="AO19" s="41">
        <f t="shared" si="59"/>
        <v>0</v>
      </c>
      <c r="AP19" s="41">
        <f t="shared" si="60"/>
        <v>6.6772883524807078E-3</v>
      </c>
      <c r="AQ19" s="8">
        <f t="shared" si="61"/>
        <v>2.9982290577935942</v>
      </c>
      <c r="AR19" s="8">
        <f t="shared" si="62"/>
        <v>4</v>
      </c>
      <c r="AS19" s="8"/>
      <c r="AT19" s="7">
        <f t="shared" si="63"/>
        <v>18.404032099454305</v>
      </c>
      <c r="AU19" s="7"/>
      <c r="AV19" s="7">
        <f t="shared" si="64"/>
        <v>72.6304898225046</v>
      </c>
      <c r="AW19" s="7"/>
      <c r="AX19" s="7">
        <f t="shared" si="65"/>
        <v>0.12899790662347793</v>
      </c>
      <c r="AY19" s="7"/>
      <c r="AZ19" s="11"/>
      <c r="BA19" s="11">
        <f t="shared" si="66"/>
        <v>6.4313333333333333E-2</v>
      </c>
      <c r="BB19" s="11">
        <f t="shared" si="67"/>
        <v>0.30945600000000001</v>
      </c>
      <c r="BC19" s="11"/>
      <c r="BD19" s="11">
        <f t="shared" si="69"/>
        <v>0.31023940673480499</v>
      </c>
      <c r="BE19" s="11"/>
      <c r="BF19" s="11">
        <f t="shared" si="68"/>
        <v>1.9339902893538104E-2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</row>
    <row r="20" spans="1:75" s="74" customFormat="1">
      <c r="A20" s="42"/>
      <c r="B20" s="43"/>
      <c r="C20" s="70"/>
      <c r="D20" s="44"/>
      <c r="E20" s="67">
        <v>6.6401111111111105E-3</v>
      </c>
      <c r="F20" s="67">
        <v>6.4313333333333333E-2</v>
      </c>
      <c r="G20" s="44">
        <v>50.603477777777783</v>
      </c>
      <c r="H20" s="44">
        <v>17.013966666666665</v>
      </c>
      <c r="I20" s="60">
        <v>1.9814856865571953</v>
      </c>
      <c r="J20" s="60">
        <v>10.701132081026692</v>
      </c>
      <c r="K20" s="67">
        <v>0.11734222222222221</v>
      </c>
      <c r="L20" s="67">
        <v>18.672133333333331</v>
      </c>
      <c r="M20" s="67">
        <v>3.5715555555555561E-3</v>
      </c>
      <c r="N20" s="44"/>
      <c r="O20" s="44">
        <v>0.30945600000000001</v>
      </c>
      <c r="P20" s="10">
        <f t="shared" si="36"/>
        <v>99.473518767583869</v>
      </c>
      <c r="Q20" s="3"/>
      <c r="R20" s="61">
        <f t="shared" si="37"/>
        <v>1.1050276437196056E-4</v>
      </c>
      <c r="S20" s="44">
        <f t="shared" si="38"/>
        <v>8.0526548635631351E-4</v>
      </c>
      <c r="T20" s="44">
        <f t="shared" si="39"/>
        <v>0.99260457974672245</v>
      </c>
      <c r="U20" s="44">
        <f t="shared" si="40"/>
        <v>0.22388271158190229</v>
      </c>
      <c r="V20" s="44">
        <f t="shared" si="41"/>
        <v>2.4816653347826356E-2</v>
      </c>
      <c r="W20" s="44">
        <f t="shared" si="42"/>
        <v>0.14894955850212535</v>
      </c>
      <c r="X20" s="44">
        <f t="shared" si="43"/>
        <v>1.6541658169346807E-3</v>
      </c>
      <c r="Y20" s="44">
        <f t="shared" si="44"/>
        <v>0.46327778935633157</v>
      </c>
      <c r="Z20" s="44">
        <f t="shared" si="45"/>
        <v>6.3686796639721041E-5</v>
      </c>
      <c r="AA20" s="44">
        <f t="shared" si="46"/>
        <v>0</v>
      </c>
      <c r="AB20" s="44">
        <f t="shared" si="47"/>
        <v>4.1430499325236167E-3</v>
      </c>
      <c r="AC20" s="44">
        <f t="shared" si="48"/>
        <v>1.8603079633317345</v>
      </c>
      <c r="AD20" s="44">
        <f t="shared" si="49"/>
        <v>2.481875703920688</v>
      </c>
      <c r="AE20" s="44"/>
      <c r="AF20" s="61">
        <f t="shared" si="50"/>
        <v>1.7809556570040356E-4</v>
      </c>
      <c r="AG20" s="67">
        <f t="shared" si="51"/>
        <v>1.297833707117908E-3</v>
      </c>
      <c r="AH20" s="67">
        <f t="shared" si="52"/>
        <v>1.5997651746679777</v>
      </c>
      <c r="AI20" s="67">
        <f t="shared" si="53"/>
        <v>0.36082824168547772</v>
      </c>
      <c r="AJ20" s="67">
        <f t="shared" si="54"/>
        <v>3.9996609513720284E-2</v>
      </c>
      <c r="AK20" s="76">
        <f t="shared" ref="AK20:AK29" si="70">AK19-(AK$31-AK$17)/12</f>
        <v>0.26005965853459234</v>
      </c>
      <c r="AL20" s="67">
        <f t="shared" si="56"/>
        <v>2.6659930057279643E-3</v>
      </c>
      <c r="AM20" s="76">
        <f t="shared" ref="AM20:AM29" si="71">AM19+(AK$31-AK$17)/12</f>
        <v>0.72665751975327175</v>
      </c>
      <c r="AN20" s="67">
        <f t="shared" si="58"/>
        <v>1.0264300752711062E-4</v>
      </c>
      <c r="AO20" s="67">
        <f t="shared" si="59"/>
        <v>0</v>
      </c>
      <c r="AP20" s="67">
        <f t="shared" si="60"/>
        <v>6.6772883524807078E-3</v>
      </c>
      <c r="AQ20" s="44">
        <f t="shared" si="61"/>
        <v>2.9982290577935942</v>
      </c>
      <c r="AR20" s="44">
        <f t="shared" si="62"/>
        <v>4</v>
      </c>
      <c r="AS20" s="44"/>
      <c r="AT20" s="7">
        <f t="shared" si="63"/>
        <v>18.404032099454305</v>
      </c>
      <c r="AU20" s="7"/>
      <c r="AV20" s="7">
        <f t="shared" si="64"/>
        <v>73.643951452649915</v>
      </c>
      <c r="AW20" s="7"/>
      <c r="AX20" s="7">
        <f t="shared" si="65"/>
        <v>0.13329703049989394</v>
      </c>
      <c r="AY20" s="7"/>
      <c r="AZ20" s="73"/>
      <c r="BA20" s="73">
        <f t="shared" si="66"/>
        <v>6.4313333333333333E-2</v>
      </c>
      <c r="BB20" s="73">
        <f t="shared" si="67"/>
        <v>0.30945600000000001</v>
      </c>
      <c r="BC20" s="73"/>
      <c r="BD20" s="73">
        <f t="shared" si="69"/>
        <v>0.30023350010735167</v>
      </c>
      <c r="BE20" s="73"/>
      <c r="BF20" s="73">
        <f t="shared" si="68"/>
        <v>1.9984445432820245E-2</v>
      </c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</row>
    <row r="21" spans="1:75">
      <c r="A21" s="42"/>
      <c r="B21" s="43"/>
      <c r="C21" s="70"/>
      <c r="D21" s="8"/>
      <c r="E21" s="67">
        <v>6.6401111111111105E-3</v>
      </c>
      <c r="F21" s="67">
        <v>6.4313333333333333E-2</v>
      </c>
      <c r="G21" s="44">
        <v>50.603477777777783</v>
      </c>
      <c r="H21" s="44">
        <v>17.013966666666665</v>
      </c>
      <c r="I21" s="60">
        <v>1.9814856865571953</v>
      </c>
      <c r="J21" s="60">
        <v>10.701132081026692</v>
      </c>
      <c r="K21" s="67">
        <v>0.11734222222222221</v>
      </c>
      <c r="L21" s="67">
        <v>18.672133333333331</v>
      </c>
      <c r="M21" s="67">
        <v>3.5715555555555561E-3</v>
      </c>
      <c r="N21" s="44"/>
      <c r="O21" s="44">
        <v>0.30945600000000001</v>
      </c>
      <c r="P21" s="10">
        <f t="shared" si="36"/>
        <v>99.473518767583869</v>
      </c>
      <c r="Q21" s="3"/>
      <c r="R21" s="24">
        <f t="shared" si="37"/>
        <v>1.1050276437196056E-4</v>
      </c>
      <c r="S21" s="8">
        <f t="shared" si="38"/>
        <v>8.0526548635631351E-4</v>
      </c>
      <c r="T21" s="8">
        <f t="shared" si="39"/>
        <v>0.99260457974672245</v>
      </c>
      <c r="U21" s="8">
        <f t="shared" si="40"/>
        <v>0.22388271158190229</v>
      </c>
      <c r="V21" s="8">
        <f t="shared" si="41"/>
        <v>2.4816653347826356E-2</v>
      </c>
      <c r="W21" s="8">
        <f t="shared" si="42"/>
        <v>0.14894955850212535</v>
      </c>
      <c r="X21" s="8">
        <f t="shared" si="43"/>
        <v>1.6541658169346807E-3</v>
      </c>
      <c r="Y21" s="8">
        <f t="shared" si="44"/>
        <v>0.46327778935633157</v>
      </c>
      <c r="Z21" s="8">
        <f t="shared" si="45"/>
        <v>6.3686796639721041E-5</v>
      </c>
      <c r="AA21" s="8">
        <f t="shared" si="46"/>
        <v>0</v>
      </c>
      <c r="AB21" s="8">
        <f t="shared" si="47"/>
        <v>4.1430499325236167E-3</v>
      </c>
      <c r="AC21" s="8">
        <f t="shared" si="48"/>
        <v>1.8603079633317345</v>
      </c>
      <c r="AD21" s="8">
        <f t="shared" si="49"/>
        <v>2.481875703920688</v>
      </c>
      <c r="AE21" s="8"/>
      <c r="AF21" s="24">
        <f t="shared" si="50"/>
        <v>1.7809556570040356E-4</v>
      </c>
      <c r="AG21" s="41">
        <f t="shared" si="51"/>
        <v>1.297833707117908E-3</v>
      </c>
      <c r="AH21" s="41">
        <f t="shared" si="52"/>
        <v>1.5997651746679777</v>
      </c>
      <c r="AI21" s="41">
        <f t="shared" si="53"/>
        <v>0.36082824168547772</v>
      </c>
      <c r="AJ21" s="41">
        <f t="shared" si="54"/>
        <v>3.9996609513720284E-2</v>
      </c>
      <c r="AK21" s="76">
        <f t="shared" si="70"/>
        <v>0.25005965853459233</v>
      </c>
      <c r="AL21" s="41">
        <f t="shared" si="56"/>
        <v>2.6659930057279643E-3</v>
      </c>
      <c r="AM21" s="76">
        <f t="shared" si="71"/>
        <v>0.73665751975327176</v>
      </c>
      <c r="AN21" s="41">
        <f t="shared" si="58"/>
        <v>1.0264300752711062E-4</v>
      </c>
      <c r="AO21" s="41">
        <f t="shared" si="59"/>
        <v>0</v>
      </c>
      <c r="AP21" s="41">
        <f t="shared" si="60"/>
        <v>6.6772883524807078E-3</v>
      </c>
      <c r="AQ21" s="8">
        <f t="shared" si="61"/>
        <v>2.9982290577935942</v>
      </c>
      <c r="AR21" s="8">
        <f t="shared" si="62"/>
        <v>4</v>
      </c>
      <c r="AS21" s="8"/>
      <c r="AT21" s="7">
        <f t="shared" si="63"/>
        <v>18.404032099454305</v>
      </c>
      <c r="AU21" s="7"/>
      <c r="AV21" s="7">
        <f t="shared" si="64"/>
        <v>74.65741308279523</v>
      </c>
      <c r="AW21" s="7"/>
      <c r="AX21" s="7">
        <f t="shared" si="65"/>
        <v>0.13789258816175048</v>
      </c>
      <c r="AY21" s="7"/>
      <c r="AZ21" s="11"/>
      <c r="BA21" s="11">
        <f t="shared" si="66"/>
        <v>6.4313333333333333E-2</v>
      </c>
      <c r="BB21" s="11">
        <f t="shared" si="67"/>
        <v>0.30945600000000001</v>
      </c>
      <c r="BC21" s="11"/>
      <c r="BD21" s="11">
        <f t="shared" si="69"/>
        <v>0.29022759347989835</v>
      </c>
      <c r="BE21" s="11"/>
      <c r="BF21" s="11">
        <f t="shared" si="68"/>
        <v>2.0673430558612857E-2</v>
      </c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</row>
    <row r="22" spans="1:75">
      <c r="A22" s="42"/>
      <c r="B22" s="43"/>
      <c r="C22" s="70"/>
      <c r="D22" s="8"/>
      <c r="E22" s="67">
        <v>6.6401111111111105E-3</v>
      </c>
      <c r="F22" s="67">
        <v>6.4313333333333333E-2</v>
      </c>
      <c r="G22" s="44">
        <v>50.603477777777783</v>
      </c>
      <c r="H22" s="44">
        <v>17.013966666666665</v>
      </c>
      <c r="I22" s="60">
        <v>1.9814856865571953</v>
      </c>
      <c r="J22" s="60">
        <v>10.701132081026692</v>
      </c>
      <c r="K22" s="67">
        <v>0.11734222222222221</v>
      </c>
      <c r="L22" s="67">
        <v>18.672133333333331</v>
      </c>
      <c r="M22" s="67">
        <v>3.5715555555555561E-3</v>
      </c>
      <c r="N22" s="44"/>
      <c r="O22" s="44">
        <v>0.30945600000000001</v>
      </c>
      <c r="P22" s="10">
        <f t="shared" si="36"/>
        <v>99.473518767583869</v>
      </c>
      <c r="Q22" s="3"/>
      <c r="R22" s="24">
        <f t="shared" si="37"/>
        <v>1.1050276437196056E-4</v>
      </c>
      <c r="S22" s="8">
        <f t="shared" si="38"/>
        <v>8.0526548635631351E-4</v>
      </c>
      <c r="T22" s="8">
        <f t="shared" si="39"/>
        <v>0.99260457974672245</v>
      </c>
      <c r="U22" s="8">
        <f t="shared" si="40"/>
        <v>0.22388271158190229</v>
      </c>
      <c r="V22" s="8">
        <f t="shared" si="41"/>
        <v>2.4816653347826356E-2</v>
      </c>
      <c r="W22" s="8">
        <f t="shared" si="42"/>
        <v>0.14894955850212535</v>
      </c>
      <c r="X22" s="8">
        <f t="shared" si="43"/>
        <v>1.6541658169346807E-3</v>
      </c>
      <c r="Y22" s="8">
        <f t="shared" si="44"/>
        <v>0.46327778935633157</v>
      </c>
      <c r="Z22" s="8">
        <f t="shared" si="45"/>
        <v>6.3686796639721041E-5</v>
      </c>
      <c r="AA22" s="8">
        <f t="shared" si="46"/>
        <v>0</v>
      </c>
      <c r="AB22" s="8">
        <f t="shared" si="47"/>
        <v>4.1430499325236167E-3</v>
      </c>
      <c r="AC22" s="8">
        <f t="shared" si="48"/>
        <v>1.8603079633317345</v>
      </c>
      <c r="AD22" s="8">
        <f t="shared" si="49"/>
        <v>2.481875703920688</v>
      </c>
      <c r="AE22" s="8"/>
      <c r="AF22" s="24">
        <f t="shared" si="50"/>
        <v>1.7809556570040356E-4</v>
      </c>
      <c r="AG22" s="41">
        <f t="shared" si="51"/>
        <v>1.297833707117908E-3</v>
      </c>
      <c r="AH22" s="41">
        <f t="shared" si="52"/>
        <v>1.5997651746679777</v>
      </c>
      <c r="AI22" s="41">
        <f t="shared" si="53"/>
        <v>0.36082824168547772</v>
      </c>
      <c r="AJ22" s="41">
        <f t="shared" si="54"/>
        <v>3.9996609513720284E-2</v>
      </c>
      <c r="AK22" s="76">
        <f t="shared" si="70"/>
        <v>0.24005965853459232</v>
      </c>
      <c r="AL22" s="41">
        <f t="shared" si="56"/>
        <v>2.6659930057279643E-3</v>
      </c>
      <c r="AM22" s="76">
        <f t="shared" si="71"/>
        <v>0.74665751975327177</v>
      </c>
      <c r="AN22" s="41">
        <f t="shared" si="58"/>
        <v>1.0264300752711062E-4</v>
      </c>
      <c r="AO22" s="41">
        <f t="shared" si="59"/>
        <v>0</v>
      </c>
      <c r="AP22" s="41">
        <f t="shared" si="60"/>
        <v>6.6772883524807078E-3</v>
      </c>
      <c r="AQ22" s="8">
        <f t="shared" si="61"/>
        <v>2.9982290577935942</v>
      </c>
      <c r="AR22" s="8">
        <f t="shared" si="62"/>
        <v>4</v>
      </c>
      <c r="AS22" s="8"/>
      <c r="AT22" s="7">
        <f t="shared" si="63"/>
        <v>18.404032099454305</v>
      </c>
      <c r="AU22" s="7"/>
      <c r="AV22" s="7">
        <f t="shared" si="64"/>
        <v>75.670874712940545</v>
      </c>
      <c r="AW22" s="7"/>
      <c r="AX22" s="7">
        <f t="shared" si="65"/>
        <v>0.14281633399049812</v>
      </c>
      <c r="AY22" s="7"/>
      <c r="AZ22" s="11"/>
      <c r="BA22" s="11">
        <f t="shared" si="66"/>
        <v>6.4313333333333333E-2</v>
      </c>
      <c r="BB22" s="11">
        <f t="shared" si="67"/>
        <v>0.30945600000000001</v>
      </c>
      <c r="BC22" s="11"/>
      <c r="BD22" s="11">
        <f t="shared" si="69"/>
        <v>0.28022168685244503</v>
      </c>
      <c r="BE22" s="11"/>
      <c r="BF22" s="11">
        <f t="shared" si="68"/>
        <v>2.141161901990616E-2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</row>
    <row r="23" spans="1:75">
      <c r="A23" s="42"/>
      <c r="B23" s="43"/>
      <c r="C23" s="70"/>
      <c r="D23" s="8"/>
      <c r="E23" s="67">
        <v>6.6401111111111105E-3</v>
      </c>
      <c r="F23" s="67">
        <v>6.4313333333333333E-2</v>
      </c>
      <c r="G23" s="44">
        <v>50.603477777777783</v>
      </c>
      <c r="H23" s="44">
        <v>17.013966666666665</v>
      </c>
      <c r="I23" s="60">
        <v>1.9814856865571953</v>
      </c>
      <c r="J23" s="60">
        <v>10.701132081026692</v>
      </c>
      <c r="K23" s="67">
        <v>0.11734222222222221</v>
      </c>
      <c r="L23" s="67">
        <v>18.672133333333331</v>
      </c>
      <c r="M23" s="67">
        <v>3.5715555555555561E-3</v>
      </c>
      <c r="N23" s="44"/>
      <c r="O23" s="44">
        <v>0.30945600000000001</v>
      </c>
      <c r="P23" s="10">
        <f t="shared" si="36"/>
        <v>99.473518767583869</v>
      </c>
      <c r="Q23" s="3"/>
      <c r="R23" s="24">
        <f t="shared" si="37"/>
        <v>1.1050276437196056E-4</v>
      </c>
      <c r="S23" s="8">
        <f t="shared" si="38"/>
        <v>8.0526548635631351E-4</v>
      </c>
      <c r="T23" s="8">
        <f t="shared" si="39"/>
        <v>0.99260457974672245</v>
      </c>
      <c r="U23" s="8">
        <f t="shared" si="40"/>
        <v>0.22388271158190229</v>
      </c>
      <c r="V23" s="8">
        <f t="shared" si="41"/>
        <v>2.4816653347826356E-2</v>
      </c>
      <c r="W23" s="8">
        <f t="shared" si="42"/>
        <v>0.14894955850212535</v>
      </c>
      <c r="X23" s="8">
        <f t="shared" si="43"/>
        <v>1.6541658169346807E-3</v>
      </c>
      <c r="Y23" s="8">
        <f t="shared" si="44"/>
        <v>0.46327778935633157</v>
      </c>
      <c r="Z23" s="8">
        <f t="shared" si="45"/>
        <v>6.3686796639721041E-5</v>
      </c>
      <c r="AA23" s="8">
        <f t="shared" si="46"/>
        <v>0</v>
      </c>
      <c r="AB23" s="8">
        <f t="shared" si="47"/>
        <v>4.1430499325236167E-3</v>
      </c>
      <c r="AC23" s="8">
        <f t="shared" si="48"/>
        <v>1.8603079633317345</v>
      </c>
      <c r="AD23" s="8">
        <f t="shared" si="49"/>
        <v>2.481875703920688</v>
      </c>
      <c r="AE23" s="8"/>
      <c r="AF23" s="24">
        <f t="shared" si="50"/>
        <v>1.7809556570040356E-4</v>
      </c>
      <c r="AG23" s="41">
        <f t="shared" si="51"/>
        <v>1.297833707117908E-3</v>
      </c>
      <c r="AH23" s="41">
        <f t="shared" si="52"/>
        <v>1.5997651746679777</v>
      </c>
      <c r="AI23" s="41">
        <f t="shared" si="53"/>
        <v>0.36082824168547772</v>
      </c>
      <c r="AJ23" s="41">
        <f t="shared" si="54"/>
        <v>3.9996609513720284E-2</v>
      </c>
      <c r="AK23" s="76">
        <f t="shared" si="70"/>
        <v>0.23005965853459232</v>
      </c>
      <c r="AL23" s="41">
        <f t="shared" si="56"/>
        <v>2.6659930057279643E-3</v>
      </c>
      <c r="AM23" s="76">
        <f t="shared" si="71"/>
        <v>0.75665751975327178</v>
      </c>
      <c r="AN23" s="41">
        <f t="shared" si="58"/>
        <v>1.0264300752711062E-4</v>
      </c>
      <c r="AO23" s="41">
        <f t="shared" si="59"/>
        <v>0</v>
      </c>
      <c r="AP23" s="41">
        <f t="shared" si="60"/>
        <v>6.6772883524807078E-3</v>
      </c>
      <c r="AQ23" s="8">
        <f t="shared" si="61"/>
        <v>2.9982290577935942</v>
      </c>
      <c r="AR23" s="8">
        <f t="shared" si="62"/>
        <v>4</v>
      </c>
      <c r="AS23" s="8"/>
      <c r="AT23" s="7">
        <f t="shared" si="63"/>
        <v>18.404032099454305</v>
      </c>
      <c r="AU23" s="7"/>
      <c r="AV23" s="7">
        <f t="shared" si="64"/>
        <v>76.68433634308586</v>
      </c>
      <c r="AW23" s="7"/>
      <c r="AX23" s="7">
        <f t="shared" si="65"/>
        <v>0.14810472574021114</v>
      </c>
      <c r="AY23" s="7"/>
      <c r="AZ23" s="11"/>
      <c r="BA23" s="11">
        <f t="shared" si="66"/>
        <v>6.4313333333333333E-2</v>
      </c>
      <c r="BB23" s="11">
        <f t="shared" si="67"/>
        <v>0.30945600000000001</v>
      </c>
      <c r="BC23" s="11"/>
      <c r="BD23" s="11">
        <f t="shared" si="69"/>
        <v>0.27021578022499171</v>
      </c>
      <c r="BE23" s="11"/>
      <c r="BF23" s="11">
        <f t="shared" si="68"/>
        <v>2.2204476714883851E-2</v>
      </c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</row>
    <row r="24" spans="1:75">
      <c r="A24" s="42"/>
      <c r="B24" s="43"/>
      <c r="C24" s="70"/>
      <c r="D24" s="8"/>
      <c r="E24" s="67">
        <v>6.6401111111111105E-3</v>
      </c>
      <c r="F24" s="67">
        <v>6.4313333333333333E-2</v>
      </c>
      <c r="G24" s="44">
        <v>50.603477777777783</v>
      </c>
      <c r="H24" s="44">
        <v>17.013966666666665</v>
      </c>
      <c r="I24" s="60">
        <v>1.9814856865571953</v>
      </c>
      <c r="J24" s="60">
        <v>10.701132081026692</v>
      </c>
      <c r="K24" s="67">
        <v>0.11734222222222221</v>
      </c>
      <c r="L24" s="67">
        <v>18.672133333333331</v>
      </c>
      <c r="M24" s="67">
        <v>3.5715555555555561E-3</v>
      </c>
      <c r="N24" s="44"/>
      <c r="O24" s="44">
        <v>0.30945600000000001</v>
      </c>
      <c r="P24" s="10">
        <f t="shared" si="36"/>
        <v>99.473518767583869</v>
      </c>
      <c r="Q24" s="3"/>
      <c r="R24" s="24">
        <f t="shared" si="37"/>
        <v>1.1050276437196056E-4</v>
      </c>
      <c r="S24" s="8">
        <f t="shared" si="38"/>
        <v>8.0526548635631351E-4</v>
      </c>
      <c r="T24" s="8">
        <f t="shared" si="39"/>
        <v>0.99260457974672245</v>
      </c>
      <c r="U24" s="8">
        <f t="shared" si="40"/>
        <v>0.22388271158190229</v>
      </c>
      <c r="V24" s="8">
        <f t="shared" si="41"/>
        <v>2.4816653347826356E-2</v>
      </c>
      <c r="W24" s="8">
        <f t="shared" si="42"/>
        <v>0.14894955850212535</v>
      </c>
      <c r="X24" s="8">
        <f t="shared" si="43"/>
        <v>1.6541658169346807E-3</v>
      </c>
      <c r="Y24" s="8">
        <f t="shared" si="44"/>
        <v>0.46327778935633157</v>
      </c>
      <c r="Z24" s="8">
        <f t="shared" si="45"/>
        <v>6.3686796639721041E-5</v>
      </c>
      <c r="AA24" s="8">
        <f t="shared" si="46"/>
        <v>0</v>
      </c>
      <c r="AB24" s="8">
        <f t="shared" si="47"/>
        <v>4.1430499325236167E-3</v>
      </c>
      <c r="AC24" s="8">
        <f t="shared" si="48"/>
        <v>1.8603079633317345</v>
      </c>
      <c r="AD24" s="8">
        <f t="shared" si="49"/>
        <v>2.481875703920688</v>
      </c>
      <c r="AE24" s="8"/>
      <c r="AF24" s="24">
        <f t="shared" si="50"/>
        <v>1.7809556570040356E-4</v>
      </c>
      <c r="AG24" s="41">
        <f t="shared" si="51"/>
        <v>1.297833707117908E-3</v>
      </c>
      <c r="AH24" s="41">
        <f t="shared" si="52"/>
        <v>1.5997651746679777</v>
      </c>
      <c r="AI24" s="41">
        <f t="shared" si="53"/>
        <v>0.36082824168547772</v>
      </c>
      <c r="AJ24" s="41">
        <f t="shared" si="54"/>
        <v>3.9996609513720284E-2</v>
      </c>
      <c r="AK24" s="76">
        <f t="shared" si="70"/>
        <v>0.22005965853459231</v>
      </c>
      <c r="AL24" s="41">
        <f t="shared" si="56"/>
        <v>2.6659930057279643E-3</v>
      </c>
      <c r="AM24" s="76">
        <f t="shared" si="71"/>
        <v>0.76665751975327179</v>
      </c>
      <c r="AN24" s="41">
        <f t="shared" si="58"/>
        <v>1.0264300752711062E-4</v>
      </c>
      <c r="AO24" s="41">
        <f t="shared" si="59"/>
        <v>0</v>
      </c>
      <c r="AP24" s="41">
        <f t="shared" si="60"/>
        <v>6.6772883524807078E-3</v>
      </c>
      <c r="AQ24" s="8">
        <f t="shared" si="61"/>
        <v>2.9982290577935942</v>
      </c>
      <c r="AR24" s="8">
        <f t="shared" si="62"/>
        <v>4</v>
      </c>
      <c r="AS24" s="8"/>
      <c r="AT24" s="7">
        <f t="shared" si="63"/>
        <v>18.404032099454305</v>
      </c>
      <c r="AU24" s="7"/>
      <c r="AV24" s="7">
        <f t="shared" si="64"/>
        <v>77.697797973231161</v>
      </c>
      <c r="AW24" s="7"/>
      <c r="AX24" s="7">
        <f t="shared" si="65"/>
        <v>0.15379982883661858</v>
      </c>
      <c r="AY24" s="7"/>
      <c r="AZ24" s="11"/>
      <c r="BA24" s="11">
        <f t="shared" si="66"/>
        <v>6.4313333333333333E-2</v>
      </c>
      <c r="BB24" s="11">
        <f t="shared" si="67"/>
        <v>0.30945600000000001</v>
      </c>
      <c r="BC24" s="11"/>
      <c r="BD24" s="11">
        <f t="shared" si="69"/>
        <v>0.26020987359753839</v>
      </c>
      <c r="BE24" s="11"/>
      <c r="BF24" s="11">
        <f t="shared" si="68"/>
        <v>2.3058310267196413E-2</v>
      </c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</row>
    <row r="25" spans="1:75">
      <c r="A25" s="42"/>
      <c r="B25" s="43"/>
      <c r="C25" s="70"/>
      <c r="D25" s="8"/>
      <c r="E25" s="67">
        <v>6.6401111111111105E-3</v>
      </c>
      <c r="F25" s="67">
        <v>6.4313333333333333E-2</v>
      </c>
      <c r="G25" s="44">
        <v>50.603477777777783</v>
      </c>
      <c r="H25" s="44">
        <v>17.013966666666665</v>
      </c>
      <c r="I25" s="60">
        <v>1.9814856865571953</v>
      </c>
      <c r="J25" s="60">
        <v>10.701132081026692</v>
      </c>
      <c r="K25" s="67">
        <v>0.11734222222222221</v>
      </c>
      <c r="L25" s="67">
        <v>18.672133333333331</v>
      </c>
      <c r="M25" s="67">
        <v>3.5715555555555561E-3</v>
      </c>
      <c r="N25" s="44"/>
      <c r="O25" s="44">
        <v>0.30945600000000001</v>
      </c>
      <c r="P25" s="10">
        <f t="shared" si="36"/>
        <v>99.473518767583869</v>
      </c>
      <c r="Q25" s="3"/>
      <c r="R25" s="24">
        <f t="shared" si="37"/>
        <v>1.1050276437196056E-4</v>
      </c>
      <c r="S25" s="8">
        <f t="shared" si="38"/>
        <v>8.0526548635631351E-4</v>
      </c>
      <c r="T25" s="8">
        <f t="shared" si="39"/>
        <v>0.99260457974672245</v>
      </c>
      <c r="U25" s="8">
        <f t="shared" si="40"/>
        <v>0.22388271158190229</v>
      </c>
      <c r="V25" s="8">
        <f t="shared" si="41"/>
        <v>2.4816653347826356E-2</v>
      </c>
      <c r="W25" s="8">
        <f t="shared" si="42"/>
        <v>0.14894955850212535</v>
      </c>
      <c r="X25" s="8">
        <f t="shared" si="43"/>
        <v>1.6541658169346807E-3</v>
      </c>
      <c r="Y25" s="8">
        <f t="shared" si="44"/>
        <v>0.46327778935633157</v>
      </c>
      <c r="Z25" s="8">
        <f t="shared" si="45"/>
        <v>6.3686796639721041E-5</v>
      </c>
      <c r="AA25" s="8">
        <f t="shared" si="46"/>
        <v>0</v>
      </c>
      <c r="AB25" s="8">
        <f t="shared" si="47"/>
        <v>4.1430499325236167E-3</v>
      </c>
      <c r="AC25" s="8">
        <f t="shared" si="48"/>
        <v>1.8603079633317345</v>
      </c>
      <c r="AD25" s="8">
        <f t="shared" si="49"/>
        <v>2.481875703920688</v>
      </c>
      <c r="AE25" s="8"/>
      <c r="AF25" s="24">
        <f t="shared" si="50"/>
        <v>1.7809556570040356E-4</v>
      </c>
      <c r="AG25" s="41">
        <f t="shared" si="51"/>
        <v>1.297833707117908E-3</v>
      </c>
      <c r="AH25" s="41">
        <f t="shared" si="52"/>
        <v>1.5997651746679777</v>
      </c>
      <c r="AI25" s="41">
        <f t="shared" si="53"/>
        <v>0.36082824168547772</v>
      </c>
      <c r="AJ25" s="41">
        <f t="shared" si="54"/>
        <v>3.9996609513720284E-2</v>
      </c>
      <c r="AK25" s="76">
        <f t="shared" si="70"/>
        <v>0.2100596585345923</v>
      </c>
      <c r="AL25" s="41">
        <f t="shared" si="56"/>
        <v>2.6659930057279643E-3</v>
      </c>
      <c r="AM25" s="76">
        <f t="shared" si="71"/>
        <v>0.7766575197532718</v>
      </c>
      <c r="AN25" s="41">
        <f t="shared" si="58"/>
        <v>1.0264300752711062E-4</v>
      </c>
      <c r="AO25" s="41">
        <f t="shared" si="59"/>
        <v>0</v>
      </c>
      <c r="AP25" s="41">
        <f t="shared" si="60"/>
        <v>6.6772883524807078E-3</v>
      </c>
      <c r="AQ25" s="8">
        <f t="shared" si="61"/>
        <v>2.9982290577935942</v>
      </c>
      <c r="AR25" s="8">
        <f t="shared" si="62"/>
        <v>4</v>
      </c>
      <c r="AS25" s="8"/>
      <c r="AT25" s="7">
        <f t="shared" si="63"/>
        <v>18.404032099454305</v>
      </c>
      <c r="AU25" s="7"/>
      <c r="AV25" s="7">
        <f t="shared" si="64"/>
        <v>78.711259603376476</v>
      </c>
      <c r="AW25" s="7"/>
      <c r="AX25" s="7">
        <f t="shared" si="65"/>
        <v>0.15995043765906586</v>
      </c>
      <c r="AY25" s="7"/>
      <c r="AZ25" s="11"/>
      <c r="BA25" s="11">
        <f t="shared" si="66"/>
        <v>6.4313333333333333E-2</v>
      </c>
      <c r="BB25" s="11">
        <f t="shared" si="67"/>
        <v>0.30945600000000001</v>
      </c>
      <c r="BC25" s="11"/>
      <c r="BD25" s="11">
        <f t="shared" si="69"/>
        <v>0.25020396697008512</v>
      </c>
      <c r="BE25" s="11"/>
      <c r="BF25" s="11">
        <f t="shared" si="68"/>
        <v>2.3980435133218219E-2</v>
      </c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</row>
    <row r="26" spans="1:75">
      <c r="A26" s="42"/>
      <c r="B26" s="43"/>
      <c r="C26" s="70"/>
      <c r="D26" s="8"/>
      <c r="E26" s="67">
        <v>6.6401111111111105E-3</v>
      </c>
      <c r="F26" s="67">
        <v>6.4313333333333333E-2</v>
      </c>
      <c r="G26" s="44">
        <v>50.603477777777783</v>
      </c>
      <c r="H26" s="44">
        <v>17.013966666666665</v>
      </c>
      <c r="I26" s="60">
        <v>1.9814856865571953</v>
      </c>
      <c r="J26" s="60">
        <v>10.701132081026692</v>
      </c>
      <c r="K26" s="67">
        <v>0.11734222222222221</v>
      </c>
      <c r="L26" s="67">
        <v>18.672133333333331</v>
      </c>
      <c r="M26" s="67">
        <v>3.5715555555555561E-3</v>
      </c>
      <c r="N26" s="44"/>
      <c r="O26" s="44">
        <v>0.30945600000000001</v>
      </c>
      <c r="P26" s="10">
        <f t="shared" si="36"/>
        <v>99.473518767583869</v>
      </c>
      <c r="Q26" s="3"/>
      <c r="R26" s="24">
        <f t="shared" si="37"/>
        <v>1.1050276437196056E-4</v>
      </c>
      <c r="S26" s="8">
        <f t="shared" si="38"/>
        <v>8.0526548635631351E-4</v>
      </c>
      <c r="T26" s="8">
        <f t="shared" si="39"/>
        <v>0.99260457974672245</v>
      </c>
      <c r="U26" s="8">
        <f t="shared" si="40"/>
        <v>0.22388271158190229</v>
      </c>
      <c r="V26" s="8">
        <f t="shared" si="41"/>
        <v>2.4816653347826356E-2</v>
      </c>
      <c r="W26" s="8">
        <f t="shared" si="42"/>
        <v>0.14894955850212535</v>
      </c>
      <c r="X26" s="8">
        <f t="shared" si="43"/>
        <v>1.6541658169346807E-3</v>
      </c>
      <c r="Y26" s="8">
        <f t="shared" si="44"/>
        <v>0.46327778935633157</v>
      </c>
      <c r="Z26" s="8">
        <f t="shared" si="45"/>
        <v>6.3686796639721041E-5</v>
      </c>
      <c r="AA26" s="8">
        <f t="shared" si="46"/>
        <v>0</v>
      </c>
      <c r="AB26" s="8">
        <f t="shared" si="47"/>
        <v>4.1430499325236167E-3</v>
      </c>
      <c r="AC26" s="8">
        <f t="shared" si="48"/>
        <v>1.8603079633317345</v>
      </c>
      <c r="AD26" s="8">
        <f t="shared" si="49"/>
        <v>2.481875703920688</v>
      </c>
      <c r="AE26" s="8"/>
      <c r="AF26" s="24">
        <f t="shared" si="50"/>
        <v>1.7809556570040356E-4</v>
      </c>
      <c r="AG26" s="41">
        <f t="shared" si="51"/>
        <v>1.297833707117908E-3</v>
      </c>
      <c r="AH26" s="41">
        <f t="shared" si="52"/>
        <v>1.5997651746679777</v>
      </c>
      <c r="AI26" s="41">
        <f t="shared" si="53"/>
        <v>0.36082824168547772</v>
      </c>
      <c r="AJ26" s="41">
        <f t="shared" si="54"/>
        <v>3.9996609513720284E-2</v>
      </c>
      <c r="AK26" s="76">
        <f t="shared" si="70"/>
        <v>0.20005965853459229</v>
      </c>
      <c r="AL26" s="41">
        <f t="shared" si="56"/>
        <v>2.6659930057279643E-3</v>
      </c>
      <c r="AM26" s="76">
        <f t="shared" si="71"/>
        <v>0.78665751975327181</v>
      </c>
      <c r="AN26" s="41">
        <f t="shared" si="58"/>
        <v>1.0264300752711062E-4</v>
      </c>
      <c r="AO26" s="41">
        <f t="shared" si="59"/>
        <v>0</v>
      </c>
      <c r="AP26" s="41">
        <f t="shared" si="60"/>
        <v>6.6772883524807078E-3</v>
      </c>
      <c r="AQ26" s="8">
        <f t="shared" si="61"/>
        <v>2.9982290577935942</v>
      </c>
      <c r="AR26" s="8">
        <f t="shared" si="62"/>
        <v>4</v>
      </c>
      <c r="AS26" s="8"/>
      <c r="AT26" s="7">
        <f t="shared" si="63"/>
        <v>18.404032099454305</v>
      </c>
      <c r="AU26" s="7"/>
      <c r="AV26" s="7">
        <f t="shared" si="64"/>
        <v>79.724721233521791</v>
      </c>
      <c r="AW26" s="7"/>
      <c r="AX26" s="7">
        <f t="shared" si="65"/>
        <v>0.16661347707726074</v>
      </c>
      <c r="AY26" s="7"/>
      <c r="AZ26" s="11"/>
      <c r="BA26" s="11">
        <f t="shared" si="66"/>
        <v>6.4313333333333333E-2</v>
      </c>
      <c r="BB26" s="11">
        <f t="shared" si="67"/>
        <v>0.30945600000000001</v>
      </c>
      <c r="BC26" s="11"/>
      <c r="BD26" s="11">
        <f t="shared" si="69"/>
        <v>0.24019806034263175</v>
      </c>
      <c r="BE26" s="11"/>
      <c r="BF26" s="11">
        <f t="shared" si="68"/>
        <v>2.4979385726268021E-2</v>
      </c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</row>
    <row r="27" spans="1:75">
      <c r="A27" s="42"/>
      <c r="B27" s="43"/>
      <c r="C27" s="70"/>
      <c r="D27" s="8"/>
      <c r="E27" s="67">
        <v>6.6401111111111105E-3</v>
      </c>
      <c r="F27" s="67">
        <v>6.4313333333333333E-2</v>
      </c>
      <c r="G27" s="44">
        <v>50.603477777777783</v>
      </c>
      <c r="H27" s="44">
        <v>17.013966666666665</v>
      </c>
      <c r="I27" s="60">
        <v>1.9814856865571953</v>
      </c>
      <c r="J27" s="60">
        <v>10.701132081026692</v>
      </c>
      <c r="K27" s="67">
        <v>0.11734222222222221</v>
      </c>
      <c r="L27" s="67">
        <v>18.672133333333331</v>
      </c>
      <c r="M27" s="67">
        <v>3.5715555555555561E-3</v>
      </c>
      <c r="N27" s="44"/>
      <c r="O27" s="44">
        <v>0.30945600000000001</v>
      </c>
      <c r="P27" s="10">
        <f t="shared" si="36"/>
        <v>99.473518767583869</v>
      </c>
      <c r="Q27" s="3"/>
      <c r="R27" s="24">
        <f t="shared" si="37"/>
        <v>1.1050276437196056E-4</v>
      </c>
      <c r="S27" s="8">
        <f t="shared" si="38"/>
        <v>8.0526548635631351E-4</v>
      </c>
      <c r="T27" s="8">
        <f t="shared" si="39"/>
        <v>0.99260457974672245</v>
      </c>
      <c r="U27" s="8">
        <f t="shared" si="40"/>
        <v>0.22388271158190229</v>
      </c>
      <c r="V27" s="8">
        <f t="shared" si="41"/>
        <v>2.4816653347826356E-2</v>
      </c>
      <c r="W27" s="8">
        <f t="shared" si="42"/>
        <v>0.14894955850212535</v>
      </c>
      <c r="X27" s="8">
        <f t="shared" si="43"/>
        <v>1.6541658169346807E-3</v>
      </c>
      <c r="Y27" s="8">
        <f t="shared" si="44"/>
        <v>0.46327778935633157</v>
      </c>
      <c r="Z27" s="8">
        <f t="shared" si="45"/>
        <v>6.3686796639721041E-5</v>
      </c>
      <c r="AA27" s="8">
        <f t="shared" si="46"/>
        <v>0</v>
      </c>
      <c r="AB27" s="8">
        <f t="shared" si="47"/>
        <v>4.1430499325236167E-3</v>
      </c>
      <c r="AC27" s="8">
        <f t="shared" si="48"/>
        <v>1.8603079633317345</v>
      </c>
      <c r="AD27" s="8">
        <f t="shared" si="49"/>
        <v>2.481875703920688</v>
      </c>
      <c r="AE27" s="8"/>
      <c r="AF27" s="24">
        <f t="shared" si="50"/>
        <v>1.7809556570040356E-4</v>
      </c>
      <c r="AG27" s="41">
        <f t="shared" si="51"/>
        <v>1.297833707117908E-3</v>
      </c>
      <c r="AH27" s="41">
        <f t="shared" si="52"/>
        <v>1.5997651746679777</v>
      </c>
      <c r="AI27" s="41">
        <f t="shared" si="53"/>
        <v>0.36082824168547772</v>
      </c>
      <c r="AJ27" s="41">
        <f t="shared" si="54"/>
        <v>3.9996609513720284E-2</v>
      </c>
      <c r="AK27" s="76">
        <f t="shared" si="70"/>
        <v>0.19005965853459228</v>
      </c>
      <c r="AL27" s="41">
        <f t="shared" si="56"/>
        <v>2.6659930057279643E-3</v>
      </c>
      <c r="AM27" s="76">
        <f t="shared" si="71"/>
        <v>0.79665751975327181</v>
      </c>
      <c r="AN27" s="41">
        <f t="shared" si="58"/>
        <v>1.0264300752711062E-4</v>
      </c>
      <c r="AO27" s="41">
        <f t="shared" si="59"/>
        <v>0</v>
      </c>
      <c r="AP27" s="41">
        <f t="shared" si="60"/>
        <v>6.6772883524807078E-3</v>
      </c>
      <c r="AQ27" s="8">
        <f t="shared" si="61"/>
        <v>2.9982290577935942</v>
      </c>
      <c r="AR27" s="8">
        <f t="shared" si="62"/>
        <v>4</v>
      </c>
      <c r="AS27" s="8"/>
      <c r="AT27" s="7">
        <f t="shared" si="63"/>
        <v>18.404032099454305</v>
      </c>
      <c r="AU27" s="7"/>
      <c r="AV27" s="7">
        <f t="shared" si="64"/>
        <v>80.738182863667106</v>
      </c>
      <c r="AW27" s="7"/>
      <c r="AX27" s="7">
        <f t="shared" si="65"/>
        <v>0.17385576951687692</v>
      </c>
      <c r="AY27" s="7"/>
      <c r="AZ27" s="11"/>
      <c r="BA27" s="11">
        <f t="shared" si="66"/>
        <v>6.4313333333333333E-2</v>
      </c>
      <c r="BB27" s="11">
        <f t="shared" si="67"/>
        <v>0.30945600000000001</v>
      </c>
      <c r="BC27" s="11"/>
      <c r="BD27" s="11">
        <f t="shared" si="69"/>
        <v>0.23019215371517843</v>
      </c>
      <c r="BE27" s="11"/>
      <c r="BF27" s="11">
        <f t="shared" si="68"/>
        <v>2.6065180342436545E-2</v>
      </c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</row>
    <row r="28" spans="1:75">
      <c r="A28" s="42"/>
      <c r="B28" s="43"/>
      <c r="C28" s="70"/>
      <c r="D28" s="8"/>
      <c r="E28" s="67">
        <v>6.6401111111111105E-3</v>
      </c>
      <c r="F28" s="67">
        <v>6.4313333333333333E-2</v>
      </c>
      <c r="G28" s="44">
        <v>50.603477777777783</v>
      </c>
      <c r="H28" s="44">
        <v>17.013966666666665</v>
      </c>
      <c r="I28" s="60">
        <v>1.9814856865571953</v>
      </c>
      <c r="J28" s="60">
        <v>10.701132081026692</v>
      </c>
      <c r="K28" s="67">
        <v>0.11734222222222221</v>
      </c>
      <c r="L28" s="67">
        <v>18.672133333333331</v>
      </c>
      <c r="M28" s="67">
        <v>3.5715555555555561E-3</v>
      </c>
      <c r="N28" s="44"/>
      <c r="O28" s="44">
        <v>0.30945600000000001</v>
      </c>
      <c r="P28" s="10">
        <f t="shared" si="36"/>
        <v>99.473518767583869</v>
      </c>
      <c r="Q28" s="3"/>
      <c r="R28" s="24">
        <f t="shared" si="37"/>
        <v>1.1050276437196056E-4</v>
      </c>
      <c r="S28" s="8">
        <f t="shared" si="38"/>
        <v>8.0526548635631351E-4</v>
      </c>
      <c r="T28" s="8">
        <f t="shared" si="39"/>
        <v>0.99260457974672245</v>
      </c>
      <c r="U28" s="8">
        <f t="shared" si="40"/>
        <v>0.22388271158190229</v>
      </c>
      <c r="V28" s="8">
        <f t="shared" si="41"/>
        <v>2.4816653347826356E-2</v>
      </c>
      <c r="W28" s="8">
        <f t="shared" si="42"/>
        <v>0.14894955850212535</v>
      </c>
      <c r="X28" s="8">
        <f t="shared" si="43"/>
        <v>1.6541658169346807E-3</v>
      </c>
      <c r="Y28" s="8">
        <f t="shared" si="44"/>
        <v>0.46327778935633157</v>
      </c>
      <c r="Z28" s="8">
        <f t="shared" si="45"/>
        <v>6.3686796639721041E-5</v>
      </c>
      <c r="AA28" s="8">
        <f t="shared" si="46"/>
        <v>0</v>
      </c>
      <c r="AB28" s="8">
        <f t="shared" si="47"/>
        <v>4.1430499325236167E-3</v>
      </c>
      <c r="AC28" s="8">
        <f t="shared" si="48"/>
        <v>1.8603079633317345</v>
      </c>
      <c r="AD28" s="8">
        <f t="shared" si="49"/>
        <v>2.481875703920688</v>
      </c>
      <c r="AE28" s="8"/>
      <c r="AF28" s="24">
        <f t="shared" si="50"/>
        <v>1.7809556570040356E-4</v>
      </c>
      <c r="AG28" s="41">
        <f t="shared" si="51"/>
        <v>1.297833707117908E-3</v>
      </c>
      <c r="AH28" s="41">
        <f t="shared" si="52"/>
        <v>1.5997651746679777</v>
      </c>
      <c r="AI28" s="41">
        <f t="shared" si="53"/>
        <v>0.36082824168547772</v>
      </c>
      <c r="AJ28" s="41">
        <f t="shared" si="54"/>
        <v>3.9996609513720284E-2</v>
      </c>
      <c r="AK28" s="76">
        <f t="shared" si="70"/>
        <v>0.18005965853459227</v>
      </c>
      <c r="AL28" s="41">
        <f t="shared" si="56"/>
        <v>2.6659930057279643E-3</v>
      </c>
      <c r="AM28" s="76">
        <f t="shared" si="71"/>
        <v>0.80665751975327182</v>
      </c>
      <c r="AN28" s="41">
        <f t="shared" si="58"/>
        <v>1.0264300752711062E-4</v>
      </c>
      <c r="AO28" s="41">
        <f t="shared" si="59"/>
        <v>0</v>
      </c>
      <c r="AP28" s="41">
        <f t="shared" si="60"/>
        <v>6.6772883524807078E-3</v>
      </c>
      <c r="AQ28" s="8">
        <f t="shared" si="61"/>
        <v>2.9982290577935942</v>
      </c>
      <c r="AR28" s="8">
        <f t="shared" si="62"/>
        <v>4</v>
      </c>
      <c r="AS28" s="8"/>
      <c r="AT28" s="7">
        <f t="shared" si="63"/>
        <v>18.404032099454305</v>
      </c>
      <c r="AU28" s="7"/>
      <c r="AV28" s="7">
        <f t="shared" si="64"/>
        <v>81.751644493812407</v>
      </c>
      <c r="AW28" s="7"/>
      <c r="AX28" s="7">
        <f t="shared" si="65"/>
        <v>0.18175628382891224</v>
      </c>
      <c r="AY28" s="7"/>
      <c r="AZ28" s="11"/>
      <c r="BA28" s="11">
        <f t="shared" si="66"/>
        <v>6.4313333333333333E-2</v>
      </c>
      <c r="BB28" s="11">
        <f t="shared" si="67"/>
        <v>0.30945600000000001</v>
      </c>
      <c r="BC28" s="11"/>
      <c r="BD28" s="11">
        <f t="shared" si="69"/>
        <v>0.22018624708772513</v>
      </c>
      <c r="BE28" s="11"/>
      <c r="BF28" s="11">
        <f t="shared" si="68"/>
        <v>2.724965832043779E-2</v>
      </c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</row>
    <row r="29" spans="1:75">
      <c r="A29" s="42"/>
      <c r="B29" s="43"/>
      <c r="C29" s="70"/>
      <c r="D29" s="8"/>
      <c r="E29" s="67">
        <v>6.6401111111111105E-3</v>
      </c>
      <c r="F29" s="67">
        <v>6.4313333333333333E-2</v>
      </c>
      <c r="G29" s="44">
        <v>50.603477777777783</v>
      </c>
      <c r="H29" s="44">
        <v>17.013966666666665</v>
      </c>
      <c r="I29" s="60">
        <v>1.9814856865571953</v>
      </c>
      <c r="J29" s="60">
        <v>10.701132081026692</v>
      </c>
      <c r="K29" s="67">
        <v>0.11734222222222221</v>
      </c>
      <c r="L29" s="67">
        <v>18.672133333333331</v>
      </c>
      <c r="M29" s="67">
        <v>3.5715555555555561E-3</v>
      </c>
      <c r="N29" s="44"/>
      <c r="O29" s="44">
        <v>0.30945600000000001</v>
      </c>
      <c r="P29" s="10">
        <f t="shared" si="36"/>
        <v>99.473518767583869</v>
      </c>
      <c r="Q29" s="3"/>
      <c r="R29" s="24">
        <f t="shared" si="37"/>
        <v>1.1050276437196056E-4</v>
      </c>
      <c r="S29" s="8">
        <f t="shared" si="38"/>
        <v>8.0526548635631351E-4</v>
      </c>
      <c r="T29" s="8">
        <f t="shared" si="39"/>
        <v>0.99260457974672245</v>
      </c>
      <c r="U29" s="8">
        <f t="shared" si="40"/>
        <v>0.22388271158190229</v>
      </c>
      <c r="V29" s="8">
        <f t="shared" si="41"/>
        <v>2.4816653347826356E-2</v>
      </c>
      <c r="W29" s="8">
        <f t="shared" si="42"/>
        <v>0.14894955850212535</v>
      </c>
      <c r="X29" s="8">
        <f t="shared" si="43"/>
        <v>1.6541658169346807E-3</v>
      </c>
      <c r="Y29" s="8">
        <f t="shared" si="44"/>
        <v>0.46327778935633157</v>
      </c>
      <c r="Z29" s="8">
        <f t="shared" si="45"/>
        <v>6.3686796639721041E-5</v>
      </c>
      <c r="AA29" s="8">
        <f t="shared" si="46"/>
        <v>0</v>
      </c>
      <c r="AB29" s="8">
        <f t="shared" si="47"/>
        <v>4.1430499325236167E-3</v>
      </c>
      <c r="AC29" s="8">
        <f t="shared" si="48"/>
        <v>1.8603079633317345</v>
      </c>
      <c r="AD29" s="8">
        <f t="shared" si="49"/>
        <v>2.481875703920688</v>
      </c>
      <c r="AE29" s="8"/>
      <c r="AF29" s="24">
        <f t="shared" si="50"/>
        <v>1.7809556570040356E-4</v>
      </c>
      <c r="AG29" s="41">
        <f t="shared" si="51"/>
        <v>1.297833707117908E-3</v>
      </c>
      <c r="AH29" s="41">
        <f t="shared" si="52"/>
        <v>1.5997651746679777</v>
      </c>
      <c r="AI29" s="41">
        <f t="shared" si="53"/>
        <v>0.36082824168547772</v>
      </c>
      <c r="AJ29" s="41">
        <f t="shared" si="54"/>
        <v>3.9996609513720284E-2</v>
      </c>
      <c r="AK29" s="76">
        <f t="shared" si="70"/>
        <v>0.17005965853459226</v>
      </c>
      <c r="AL29" s="41">
        <f t="shared" si="56"/>
        <v>2.6659930057279643E-3</v>
      </c>
      <c r="AM29" s="76">
        <f t="shared" si="71"/>
        <v>0.81665751975327183</v>
      </c>
      <c r="AN29" s="41">
        <f t="shared" si="58"/>
        <v>1.0264300752711062E-4</v>
      </c>
      <c r="AO29" s="41">
        <f t="shared" si="59"/>
        <v>0</v>
      </c>
      <c r="AP29" s="41">
        <f t="shared" si="60"/>
        <v>6.6772883524807078E-3</v>
      </c>
      <c r="AQ29" s="8">
        <f t="shared" si="61"/>
        <v>2.9982290577935942</v>
      </c>
      <c r="AR29" s="8">
        <f t="shared" si="62"/>
        <v>4</v>
      </c>
      <c r="AS29" s="8"/>
      <c r="AT29" s="7">
        <f t="shared" si="63"/>
        <v>18.404032099454305</v>
      </c>
      <c r="AU29" s="7"/>
      <c r="AV29" s="7">
        <f t="shared" si="64"/>
        <v>82.765106123957722</v>
      </c>
      <c r="AW29" s="7"/>
      <c r="AX29" s="7">
        <f t="shared" si="65"/>
        <v>0.19040902652103264</v>
      </c>
      <c r="AY29" s="7"/>
      <c r="AZ29" s="11"/>
      <c r="BA29" s="11">
        <f t="shared" si="66"/>
        <v>6.4313333333333333E-2</v>
      </c>
      <c r="BB29" s="11">
        <f t="shared" si="67"/>
        <v>0.30945600000000001</v>
      </c>
      <c r="BC29" s="11"/>
      <c r="BD29" s="11">
        <f t="shared" si="69"/>
        <v>0.21018034046027181</v>
      </c>
      <c r="BE29" s="11"/>
      <c r="BF29" s="11">
        <f t="shared" si="68"/>
        <v>2.8546913507041909E-2</v>
      </c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</row>
    <row r="30" spans="1:75" ht="15" thickBot="1">
      <c r="A30" s="42"/>
      <c r="B30" s="43"/>
      <c r="C30" s="70"/>
      <c r="D30" s="8"/>
      <c r="E30" s="67">
        <v>6.6401111111111105E-3</v>
      </c>
      <c r="F30" s="67">
        <v>6.4313333333333333E-2</v>
      </c>
      <c r="G30" s="44">
        <v>50.603477777777783</v>
      </c>
      <c r="H30" s="44">
        <v>17.013966666666665</v>
      </c>
      <c r="I30" s="60">
        <v>1.9814856865571953</v>
      </c>
      <c r="J30" s="60">
        <v>10.701132081026692</v>
      </c>
      <c r="K30" s="67">
        <v>0.11734222222222221</v>
      </c>
      <c r="L30" s="67">
        <v>18.672133333333331</v>
      </c>
      <c r="M30" s="67">
        <v>3.5715555555555561E-3</v>
      </c>
      <c r="N30" s="44"/>
      <c r="O30" s="44">
        <v>0.30945600000000001</v>
      </c>
      <c r="P30" s="10">
        <f t="shared" si="36"/>
        <v>99.473518767583869</v>
      </c>
      <c r="Q30" s="3"/>
      <c r="R30" s="24">
        <f t="shared" si="37"/>
        <v>1.1050276437196056E-4</v>
      </c>
      <c r="S30" s="8">
        <f t="shared" si="38"/>
        <v>8.0526548635631351E-4</v>
      </c>
      <c r="T30" s="8">
        <f t="shared" si="39"/>
        <v>0.99260457974672245</v>
      </c>
      <c r="U30" s="8">
        <f t="shared" si="40"/>
        <v>0.22388271158190229</v>
      </c>
      <c r="V30" s="8">
        <f t="shared" si="41"/>
        <v>2.4816653347826356E-2</v>
      </c>
      <c r="W30" s="8">
        <f t="shared" si="42"/>
        <v>0.14894955850212535</v>
      </c>
      <c r="X30" s="8">
        <f t="shared" si="43"/>
        <v>1.6541658169346807E-3</v>
      </c>
      <c r="Y30" s="8">
        <f t="shared" si="44"/>
        <v>0.46327778935633157</v>
      </c>
      <c r="Z30" s="8">
        <f t="shared" si="45"/>
        <v>6.3686796639721041E-5</v>
      </c>
      <c r="AA30" s="8">
        <f t="shared" si="46"/>
        <v>0</v>
      </c>
      <c r="AB30" s="8">
        <f t="shared" si="47"/>
        <v>4.1430499325236167E-3</v>
      </c>
      <c r="AC30" s="8">
        <f t="shared" si="48"/>
        <v>1.8603079633317345</v>
      </c>
      <c r="AD30" s="8">
        <f t="shared" si="49"/>
        <v>2.481875703920688</v>
      </c>
      <c r="AE30" s="8"/>
      <c r="AF30" s="24">
        <f t="shared" si="50"/>
        <v>1.7809556570040356E-4</v>
      </c>
      <c r="AG30" s="41">
        <f t="shared" si="51"/>
        <v>1.297833707117908E-3</v>
      </c>
      <c r="AH30" s="41">
        <f t="shared" si="52"/>
        <v>1.5997651746679777</v>
      </c>
      <c r="AI30" s="41">
        <f t="shared" si="53"/>
        <v>0.36082824168547772</v>
      </c>
      <c r="AJ30" s="41">
        <f t="shared" si="54"/>
        <v>3.9996609513720284E-2</v>
      </c>
      <c r="AK30" s="76">
        <f>IFERROR(4*W30/$AD30,"NaN")-AK31</f>
        <v>0.16005965853459236</v>
      </c>
      <c r="AL30" s="41">
        <f t="shared" si="56"/>
        <v>2.6659930057279643E-3</v>
      </c>
      <c r="AM30" s="76">
        <f>IFERROR(4*Y30/$AD30,"NaN")+AK31</f>
        <v>0.82665751975327173</v>
      </c>
      <c r="AN30" s="41">
        <f t="shared" si="58"/>
        <v>1.0264300752711062E-4</v>
      </c>
      <c r="AO30" s="41">
        <f t="shared" si="59"/>
        <v>0</v>
      </c>
      <c r="AP30" s="41">
        <f t="shared" si="60"/>
        <v>6.6772883524807078E-3</v>
      </c>
      <c r="AQ30" s="8">
        <f t="shared" si="61"/>
        <v>2.9982290577935937</v>
      </c>
      <c r="AR30" s="8">
        <f t="shared" si="62"/>
        <v>3.9999999999999996</v>
      </c>
      <c r="AS30" s="8"/>
      <c r="AT30" s="7">
        <f t="shared" si="63"/>
        <v>18.404032099454305</v>
      </c>
      <c r="AU30" s="7"/>
      <c r="AV30" s="7">
        <f t="shared" si="64"/>
        <v>83.778567754103022</v>
      </c>
      <c r="AW30" s="7"/>
      <c r="AX30" s="7">
        <f t="shared" si="65"/>
        <v>0.19992680011436229</v>
      </c>
      <c r="AY30" s="7"/>
      <c r="AZ30" s="11"/>
      <c r="BA30" s="11">
        <f t="shared" si="66"/>
        <v>6.4313333333333333E-2</v>
      </c>
      <c r="BB30" s="11">
        <f t="shared" si="67"/>
        <v>0.30945600000000001</v>
      </c>
      <c r="BC30" s="11"/>
      <c r="BD30" s="11">
        <f t="shared" si="69"/>
        <v>0.20017443383281863</v>
      </c>
      <c r="BE30" s="11"/>
      <c r="BF30" s="11">
        <f t="shared" si="68"/>
        <v>2.9973857725562849E-2</v>
      </c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</row>
    <row r="31" spans="1:75" ht="15" thickBot="1">
      <c r="A31" s="42"/>
      <c r="B31" s="43"/>
      <c r="C31" s="70"/>
      <c r="D31" s="8"/>
      <c r="E31" s="67"/>
      <c r="F31" s="67"/>
      <c r="G31" s="44"/>
      <c r="H31" s="44"/>
      <c r="I31" s="60"/>
      <c r="J31" s="60"/>
      <c r="K31" s="67"/>
      <c r="L31" s="67"/>
      <c r="M31" s="67"/>
      <c r="N31" s="44"/>
      <c r="O31" s="44"/>
      <c r="P31" s="10"/>
      <c r="Q31" s="3"/>
      <c r="R31" s="24"/>
      <c r="S31" s="8"/>
      <c r="T31" s="8"/>
      <c r="U31" s="8"/>
      <c r="V31" s="75">
        <v>-2.4799999999999999E-2</v>
      </c>
      <c r="W31" s="8"/>
      <c r="X31" s="8"/>
      <c r="Y31" s="8"/>
      <c r="Z31" s="8"/>
      <c r="AA31" s="8"/>
      <c r="AB31" s="8"/>
      <c r="AC31" s="8"/>
      <c r="AD31" s="8"/>
      <c r="AE31" s="8"/>
      <c r="AF31" s="24"/>
      <c r="AG31" s="41"/>
      <c r="AH31" s="41"/>
      <c r="AI31" s="41"/>
      <c r="AJ31" s="41"/>
      <c r="AK31" s="75">
        <v>0.08</v>
      </c>
      <c r="AL31" s="41"/>
      <c r="AM31" s="41"/>
      <c r="AN31" s="41"/>
      <c r="AO31" s="41"/>
      <c r="AP31" s="41"/>
      <c r="AQ31" s="8"/>
      <c r="AR31" s="8"/>
      <c r="AS31" s="8"/>
      <c r="AT31" s="7"/>
      <c r="AU31" s="7"/>
      <c r="AV31" s="7"/>
      <c r="AW31" s="7"/>
      <c r="AX31" s="7"/>
      <c r="AY31" s="7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</row>
    <row r="32" spans="1:75">
      <c r="A32" s="42"/>
      <c r="B32" s="43"/>
      <c r="C32" s="70"/>
      <c r="D32" s="8"/>
      <c r="E32" s="67">
        <v>6.6401111111111105E-3</v>
      </c>
      <c r="F32" s="67">
        <v>6.4313333333333333E-2</v>
      </c>
      <c r="G32" s="44">
        <v>50.603477777777783</v>
      </c>
      <c r="H32" s="44">
        <v>17.013966666666665</v>
      </c>
      <c r="I32" s="60">
        <v>1.9814856865571953</v>
      </c>
      <c r="J32" s="60">
        <v>10.701132081026692</v>
      </c>
      <c r="K32" s="67">
        <v>0.11734222222222221</v>
      </c>
      <c r="L32" s="67">
        <v>18.672133333333331</v>
      </c>
      <c r="M32" s="67">
        <v>3.5715555555555561E-3</v>
      </c>
      <c r="N32" s="44"/>
      <c r="O32" s="44">
        <v>0.30945600000000001</v>
      </c>
      <c r="P32" s="10">
        <f t="shared" si="36"/>
        <v>99.473518767583869</v>
      </c>
      <c r="Q32" s="3"/>
      <c r="R32" s="24">
        <f t="shared" si="37"/>
        <v>1.1050276437196056E-4</v>
      </c>
      <c r="S32" s="8">
        <f t="shared" si="38"/>
        <v>8.0526548635631351E-4</v>
      </c>
      <c r="T32" s="81">
        <f>2*G32/$T$2-V31</f>
        <v>1.0174045797467224</v>
      </c>
      <c r="U32" s="8">
        <f t="shared" si="40"/>
        <v>0.22388271158190229</v>
      </c>
      <c r="V32" s="81">
        <f>2*I32/$V$2+V31</f>
        <v>1.6653347826356413E-5</v>
      </c>
      <c r="W32" s="8">
        <f t="shared" si="42"/>
        <v>0.14894955850212535</v>
      </c>
      <c r="X32" s="8">
        <f t="shared" si="43"/>
        <v>1.6541658169346807E-3</v>
      </c>
      <c r="Y32" s="8">
        <f t="shared" si="44"/>
        <v>0.46327778935633157</v>
      </c>
      <c r="Z32" s="8">
        <f t="shared" si="45"/>
        <v>6.3686796639721041E-5</v>
      </c>
      <c r="AA32" s="8">
        <f t="shared" si="46"/>
        <v>0</v>
      </c>
      <c r="AB32" s="8">
        <f t="shared" si="47"/>
        <v>4.1430499325236167E-3</v>
      </c>
      <c r="AC32" s="8">
        <f t="shared" si="48"/>
        <v>1.8603079633317343</v>
      </c>
      <c r="AD32" s="8">
        <f t="shared" si="49"/>
        <v>2.481875703920688</v>
      </c>
      <c r="AE32" s="8"/>
      <c r="AF32" s="24">
        <f t="shared" si="50"/>
        <v>1.7809556570040356E-4</v>
      </c>
      <c r="AG32" s="41">
        <f t="shared" si="51"/>
        <v>1.297833707117908E-3</v>
      </c>
      <c r="AH32" s="41">
        <f t="shared" si="52"/>
        <v>1.6397349442431788</v>
      </c>
      <c r="AI32" s="41">
        <f t="shared" si="53"/>
        <v>0.36082824168547772</v>
      </c>
      <c r="AJ32" s="41">
        <f t="shared" si="54"/>
        <v>2.6839938519158966E-5</v>
      </c>
      <c r="AK32" s="41">
        <f t="shared" si="55"/>
        <v>0.24005965853459235</v>
      </c>
      <c r="AL32" s="41">
        <f t="shared" si="56"/>
        <v>2.6659930057279643E-3</v>
      </c>
      <c r="AM32" s="41">
        <f t="shared" si="57"/>
        <v>0.74665751975327177</v>
      </c>
      <c r="AN32" s="41">
        <f t="shared" si="58"/>
        <v>1.0264300752711062E-4</v>
      </c>
      <c r="AO32" s="41">
        <f t="shared" si="59"/>
        <v>0</v>
      </c>
      <c r="AP32" s="41">
        <f t="shared" si="60"/>
        <v>6.6772883524807078E-3</v>
      </c>
      <c r="AQ32" s="8">
        <f t="shared" si="61"/>
        <v>2.9982290577935942</v>
      </c>
      <c r="AR32" s="8">
        <f t="shared" si="62"/>
        <v>4</v>
      </c>
      <c r="AS32" s="8"/>
      <c r="AT32" s="7">
        <f t="shared" si="63"/>
        <v>18.036333179748191</v>
      </c>
      <c r="AU32" s="7"/>
      <c r="AV32" s="7">
        <f t="shared" si="64"/>
        <v>75.670874712940545</v>
      </c>
      <c r="AW32" s="7"/>
      <c r="AX32" s="7">
        <f t="shared" si="65"/>
        <v>1.1179278589114375E-4</v>
      </c>
      <c r="AY32" s="7"/>
      <c r="AZ32" s="11"/>
      <c r="BA32" s="11">
        <f t="shared" si="66"/>
        <v>6.4313333333333333E-2</v>
      </c>
      <c r="BB32" s="11">
        <f t="shared" si="67"/>
        <v>0.30945600000000001</v>
      </c>
      <c r="BC32" s="11"/>
      <c r="BD32" s="11">
        <f t="shared" si="69"/>
        <v>0.2402283086234164</v>
      </c>
      <c r="BE32" s="11"/>
      <c r="BF32" s="11">
        <f t="shared" si="68"/>
        <v>2.4976240453849437E-2</v>
      </c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</row>
    <row r="33" spans="1:75">
      <c r="A33" s="42"/>
      <c r="B33" s="43"/>
      <c r="C33" s="70"/>
      <c r="D33" s="8"/>
      <c r="E33" s="67">
        <v>6.6401111111111105E-3</v>
      </c>
      <c r="F33" s="67">
        <v>6.4313333333333333E-2</v>
      </c>
      <c r="G33" s="44">
        <v>50.603477777777783</v>
      </c>
      <c r="H33" s="44">
        <v>17.013966666666665</v>
      </c>
      <c r="I33" s="60">
        <v>1.9814856865571953</v>
      </c>
      <c r="J33" s="60">
        <v>10.701132081026692</v>
      </c>
      <c r="K33" s="67">
        <v>0.11734222222222221</v>
      </c>
      <c r="L33" s="67">
        <v>18.672133333333331</v>
      </c>
      <c r="M33" s="67">
        <v>3.5715555555555561E-3</v>
      </c>
      <c r="N33" s="44"/>
      <c r="O33" s="44">
        <v>0.30945600000000001</v>
      </c>
      <c r="P33" s="10">
        <f t="shared" si="36"/>
        <v>99.473518767583869</v>
      </c>
      <c r="Q33" s="3"/>
      <c r="R33" s="24">
        <f t="shared" si="37"/>
        <v>1.1050276437196056E-4</v>
      </c>
      <c r="S33" s="8">
        <f t="shared" si="38"/>
        <v>8.0526548635631351E-4</v>
      </c>
      <c r="T33" s="76">
        <f>T32-(V$45-V$31)/12</f>
        <v>0.9886712464133891</v>
      </c>
      <c r="U33" s="8">
        <f t="shared" si="40"/>
        <v>0.22388271158190229</v>
      </c>
      <c r="V33" s="76">
        <f>V32+(V$45-V$31)/12</f>
        <v>2.8749986681159689E-2</v>
      </c>
      <c r="W33" s="8">
        <f t="shared" si="42"/>
        <v>0.14894955850212535</v>
      </c>
      <c r="X33" s="8">
        <f t="shared" si="43"/>
        <v>1.6541658169346807E-3</v>
      </c>
      <c r="Y33" s="8">
        <f t="shared" si="44"/>
        <v>0.46327778935633157</v>
      </c>
      <c r="Z33" s="8">
        <f t="shared" si="45"/>
        <v>6.3686796639721041E-5</v>
      </c>
      <c r="AA33" s="8">
        <f t="shared" si="46"/>
        <v>0</v>
      </c>
      <c r="AB33" s="8">
        <f t="shared" si="47"/>
        <v>4.1430499325236167E-3</v>
      </c>
      <c r="AC33" s="8">
        <f t="shared" si="48"/>
        <v>1.8603079633317345</v>
      </c>
      <c r="AD33" s="8">
        <f t="shared" si="49"/>
        <v>2.481875703920688</v>
      </c>
      <c r="AE33" s="8"/>
      <c r="AF33" s="24">
        <f t="shared" si="50"/>
        <v>1.7809556570040356E-4</v>
      </c>
      <c r="AG33" s="41">
        <f t="shared" si="51"/>
        <v>1.297833707117908E-3</v>
      </c>
      <c r="AH33" s="41">
        <f t="shared" si="52"/>
        <v>1.5934258832568571</v>
      </c>
      <c r="AI33" s="41">
        <f t="shared" si="53"/>
        <v>0.36082824168547772</v>
      </c>
      <c r="AJ33" s="41">
        <f t="shared" si="54"/>
        <v>4.6335900924840898E-2</v>
      </c>
      <c r="AK33" s="41">
        <f t="shared" si="55"/>
        <v>0.24005965853459235</v>
      </c>
      <c r="AL33" s="41">
        <f t="shared" si="56"/>
        <v>2.6659930057279643E-3</v>
      </c>
      <c r="AM33" s="41">
        <f t="shared" si="57"/>
        <v>0.74665751975327177</v>
      </c>
      <c r="AN33" s="41">
        <f t="shared" si="58"/>
        <v>1.0264300752711062E-4</v>
      </c>
      <c r="AO33" s="41">
        <f t="shared" si="59"/>
        <v>0</v>
      </c>
      <c r="AP33" s="41">
        <f t="shared" si="60"/>
        <v>6.6772883524807078E-3</v>
      </c>
      <c r="AQ33" s="8">
        <f t="shared" si="61"/>
        <v>2.9982290577935942</v>
      </c>
      <c r="AR33" s="8">
        <f t="shared" si="62"/>
        <v>4</v>
      </c>
      <c r="AS33" s="8"/>
      <c r="AT33" s="7">
        <f t="shared" si="63"/>
        <v>18.463731869882832</v>
      </c>
      <c r="AU33" s="7"/>
      <c r="AV33" s="7">
        <f t="shared" si="64"/>
        <v>75.670874712940545</v>
      </c>
      <c r="AW33" s="7"/>
      <c r="AX33" s="7">
        <f t="shared" si="65"/>
        <v>0.16178987206470355</v>
      </c>
      <c r="AY33" s="7"/>
      <c r="AZ33" s="11"/>
      <c r="BA33" s="11">
        <f t="shared" si="66"/>
        <v>6.4313333333333333E-2</v>
      </c>
      <c r="BB33" s="11">
        <f t="shared" si="67"/>
        <v>0.30945600000000001</v>
      </c>
      <c r="BC33" s="11"/>
      <c r="BD33" s="11">
        <f t="shared" si="69"/>
        <v>0.28656472264683402</v>
      </c>
      <c r="BE33" s="11"/>
      <c r="BF33" s="11">
        <f t="shared" si="68"/>
        <v>2.0937678387560898E-2</v>
      </c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</row>
    <row r="34" spans="1:75">
      <c r="A34" s="42"/>
      <c r="B34" s="43"/>
      <c r="C34" s="70"/>
      <c r="D34" s="8"/>
      <c r="E34" s="67">
        <v>6.6401111111111105E-3</v>
      </c>
      <c r="F34" s="67">
        <v>6.4313333333333333E-2</v>
      </c>
      <c r="G34" s="44">
        <v>50.603477777777783</v>
      </c>
      <c r="H34" s="44">
        <v>17.013966666666665</v>
      </c>
      <c r="I34" s="60">
        <v>1.9814856865571953</v>
      </c>
      <c r="J34" s="60">
        <v>10.701132081026692</v>
      </c>
      <c r="K34" s="67">
        <v>0.11734222222222221</v>
      </c>
      <c r="L34" s="67">
        <v>18.672133333333331</v>
      </c>
      <c r="M34" s="67">
        <v>3.5715555555555561E-3</v>
      </c>
      <c r="N34" s="44"/>
      <c r="O34" s="44">
        <v>0.30945600000000001</v>
      </c>
      <c r="P34" s="10">
        <f t="shared" si="36"/>
        <v>99.473518767583869</v>
      </c>
      <c r="Q34" s="3"/>
      <c r="R34" s="24">
        <f t="shared" si="37"/>
        <v>1.1050276437196056E-4</v>
      </c>
      <c r="S34" s="8">
        <f t="shared" si="38"/>
        <v>8.0526548635631351E-4</v>
      </c>
      <c r="T34" s="76">
        <f t="shared" ref="T34:T43" si="72">T33-(V$45-V$31)/12</f>
        <v>0.95993791308005583</v>
      </c>
      <c r="U34" s="8">
        <f t="shared" si="40"/>
        <v>0.22388271158190229</v>
      </c>
      <c r="V34" s="76">
        <f t="shared" ref="T34:V43" si="73">V33+(V$45-V$31)/12</f>
        <v>5.7483320014493022E-2</v>
      </c>
      <c r="W34" s="8">
        <f t="shared" si="42"/>
        <v>0.14894955850212535</v>
      </c>
      <c r="X34" s="8">
        <f t="shared" si="43"/>
        <v>1.6541658169346807E-3</v>
      </c>
      <c r="Y34" s="8">
        <f t="shared" si="44"/>
        <v>0.46327778935633157</v>
      </c>
      <c r="Z34" s="8">
        <f t="shared" si="45"/>
        <v>6.3686796639721041E-5</v>
      </c>
      <c r="AA34" s="8">
        <f t="shared" si="46"/>
        <v>0</v>
      </c>
      <c r="AB34" s="8">
        <f t="shared" si="47"/>
        <v>4.1430499325236167E-3</v>
      </c>
      <c r="AC34" s="8">
        <f t="shared" si="48"/>
        <v>1.8603079633317345</v>
      </c>
      <c r="AD34" s="8">
        <f t="shared" si="49"/>
        <v>2.481875703920688</v>
      </c>
      <c r="AE34" s="8"/>
      <c r="AF34" s="24">
        <f t="shared" si="50"/>
        <v>1.7809556570040356E-4</v>
      </c>
      <c r="AG34" s="41">
        <f t="shared" si="51"/>
        <v>1.297833707117908E-3</v>
      </c>
      <c r="AH34" s="41">
        <f t="shared" si="52"/>
        <v>1.5471168222705356</v>
      </c>
      <c r="AI34" s="41">
        <f t="shared" si="53"/>
        <v>0.36082824168547772</v>
      </c>
      <c r="AJ34" s="41">
        <f t="shared" si="54"/>
        <v>9.2644961911162629E-2</v>
      </c>
      <c r="AK34" s="41">
        <f t="shared" si="55"/>
        <v>0.24005965853459235</v>
      </c>
      <c r="AL34" s="41">
        <f t="shared" si="56"/>
        <v>2.6659930057279643E-3</v>
      </c>
      <c r="AM34" s="41">
        <f t="shared" si="57"/>
        <v>0.74665751975327177</v>
      </c>
      <c r="AN34" s="41">
        <f t="shared" si="58"/>
        <v>1.0264300752711062E-4</v>
      </c>
      <c r="AO34" s="41">
        <f t="shared" si="59"/>
        <v>0</v>
      </c>
      <c r="AP34" s="41">
        <f t="shared" si="60"/>
        <v>6.6772883524807078E-3</v>
      </c>
      <c r="AQ34" s="8">
        <f t="shared" si="61"/>
        <v>2.9982290577935942</v>
      </c>
      <c r="AR34" s="8">
        <f t="shared" si="62"/>
        <v>4.0000000000000009</v>
      </c>
      <c r="AS34" s="8"/>
      <c r="AT34" s="7">
        <f t="shared" si="63"/>
        <v>18.91187794146029</v>
      </c>
      <c r="AU34" s="7"/>
      <c r="AV34" s="7">
        <f t="shared" si="64"/>
        <v>75.670874712940545</v>
      </c>
      <c r="AW34" s="7"/>
      <c r="AX34" s="7">
        <f t="shared" si="65"/>
        <v>0.27846010009430483</v>
      </c>
      <c r="AY34" s="7"/>
      <c r="AZ34" s="11"/>
      <c r="BA34" s="11">
        <f t="shared" si="66"/>
        <v>6.4313333333333333E-2</v>
      </c>
      <c r="BB34" s="11">
        <f t="shared" si="67"/>
        <v>0.30945600000000001</v>
      </c>
      <c r="BC34" s="11"/>
      <c r="BD34" s="11">
        <f t="shared" si="69"/>
        <v>0.33290113667025162</v>
      </c>
      <c r="BE34" s="11"/>
      <c r="BF34" s="11">
        <f t="shared" si="68"/>
        <v>1.8023368919713772E-2</v>
      </c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</row>
    <row r="35" spans="1:75">
      <c r="A35" s="42"/>
      <c r="B35" s="43"/>
      <c r="C35" s="70"/>
      <c r="D35" s="8"/>
      <c r="E35" s="67">
        <v>6.6401111111111105E-3</v>
      </c>
      <c r="F35" s="67">
        <v>6.4313333333333333E-2</v>
      </c>
      <c r="G35" s="44">
        <v>50.603477777777783</v>
      </c>
      <c r="H35" s="44">
        <v>17.013966666666665</v>
      </c>
      <c r="I35" s="60">
        <v>1.9814856865571953</v>
      </c>
      <c r="J35" s="60">
        <v>10.701132081026692</v>
      </c>
      <c r="K35" s="67">
        <v>0.11734222222222221</v>
      </c>
      <c r="L35" s="67">
        <v>18.672133333333331</v>
      </c>
      <c r="M35" s="67">
        <v>3.5715555555555561E-3</v>
      </c>
      <c r="N35" s="44"/>
      <c r="O35" s="44">
        <v>0.30945600000000001</v>
      </c>
      <c r="P35" s="10">
        <f t="shared" si="36"/>
        <v>99.473518767583869</v>
      </c>
      <c r="Q35" s="3"/>
      <c r="R35" s="24">
        <f t="shared" si="37"/>
        <v>1.1050276437196056E-4</v>
      </c>
      <c r="S35" s="8">
        <f t="shared" si="38"/>
        <v>8.0526548635631351E-4</v>
      </c>
      <c r="T35" s="76">
        <f t="shared" si="72"/>
        <v>0.93120457974672255</v>
      </c>
      <c r="U35" s="8">
        <f t="shared" si="40"/>
        <v>0.22388271158190229</v>
      </c>
      <c r="V35" s="76">
        <f t="shared" si="73"/>
        <v>8.6216653347826355E-2</v>
      </c>
      <c r="W35" s="8">
        <f t="shared" si="42"/>
        <v>0.14894955850212535</v>
      </c>
      <c r="X35" s="8">
        <f t="shared" si="43"/>
        <v>1.6541658169346807E-3</v>
      </c>
      <c r="Y35" s="8">
        <f t="shared" si="44"/>
        <v>0.46327778935633157</v>
      </c>
      <c r="Z35" s="8">
        <f t="shared" si="45"/>
        <v>6.3686796639721041E-5</v>
      </c>
      <c r="AA35" s="8">
        <f t="shared" si="46"/>
        <v>0</v>
      </c>
      <c r="AB35" s="8">
        <f t="shared" si="47"/>
        <v>4.1430499325236167E-3</v>
      </c>
      <c r="AC35" s="8">
        <f t="shared" si="48"/>
        <v>1.8603079633317345</v>
      </c>
      <c r="AD35" s="8">
        <f t="shared" si="49"/>
        <v>2.481875703920688</v>
      </c>
      <c r="AE35" s="8"/>
      <c r="AF35" s="24">
        <f t="shared" si="50"/>
        <v>1.7809556570040356E-4</v>
      </c>
      <c r="AG35" s="41">
        <f t="shared" si="51"/>
        <v>1.297833707117908E-3</v>
      </c>
      <c r="AH35" s="41">
        <f t="shared" si="52"/>
        <v>1.5008077612842139</v>
      </c>
      <c r="AI35" s="41">
        <f t="shared" si="53"/>
        <v>0.36082824168547772</v>
      </c>
      <c r="AJ35" s="41">
        <f t="shared" si="54"/>
        <v>0.13895402289748437</v>
      </c>
      <c r="AK35" s="41">
        <f t="shared" si="55"/>
        <v>0.24005965853459235</v>
      </c>
      <c r="AL35" s="41">
        <f t="shared" si="56"/>
        <v>2.6659930057279643E-3</v>
      </c>
      <c r="AM35" s="41">
        <f t="shared" si="57"/>
        <v>0.74665751975327177</v>
      </c>
      <c r="AN35" s="41">
        <f t="shared" si="58"/>
        <v>1.0264300752711062E-4</v>
      </c>
      <c r="AO35" s="41">
        <f t="shared" si="59"/>
        <v>0</v>
      </c>
      <c r="AP35" s="41">
        <f t="shared" si="60"/>
        <v>6.6772883524807078E-3</v>
      </c>
      <c r="AQ35" s="8">
        <f t="shared" si="61"/>
        <v>2.9982290577935946</v>
      </c>
      <c r="AR35" s="8">
        <f t="shared" si="62"/>
        <v>4</v>
      </c>
      <c r="AS35" s="8"/>
      <c r="AT35" s="7">
        <f t="shared" si="63"/>
        <v>19.382319696755037</v>
      </c>
      <c r="AU35" s="7"/>
      <c r="AV35" s="7">
        <f t="shared" si="64"/>
        <v>75.670874712940545</v>
      </c>
      <c r="AW35" s="7"/>
      <c r="AX35" s="7">
        <f t="shared" si="65"/>
        <v>0.36662007126617779</v>
      </c>
      <c r="AY35" s="7"/>
      <c r="AZ35" s="11"/>
      <c r="BA35" s="11">
        <f t="shared" si="66"/>
        <v>6.4313333333333333E-2</v>
      </c>
      <c r="BB35" s="11">
        <f t="shared" si="67"/>
        <v>0.30945600000000001</v>
      </c>
      <c r="BC35" s="11"/>
      <c r="BD35" s="11">
        <f t="shared" si="69"/>
        <v>0.37923755069366916</v>
      </c>
      <c r="BE35" s="11"/>
      <c r="BF35" s="11">
        <f t="shared" si="68"/>
        <v>1.582121809674519E-2</v>
      </c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</row>
    <row r="36" spans="1:75">
      <c r="A36" s="42"/>
      <c r="B36" s="43"/>
      <c r="C36" s="70"/>
      <c r="D36" s="8"/>
      <c r="E36" s="67">
        <v>6.6401111111111105E-3</v>
      </c>
      <c r="F36" s="67">
        <v>6.4313333333333333E-2</v>
      </c>
      <c r="G36" s="44">
        <v>50.603477777777783</v>
      </c>
      <c r="H36" s="44">
        <v>17.013966666666665</v>
      </c>
      <c r="I36" s="60">
        <v>1.9814856865571953</v>
      </c>
      <c r="J36" s="60">
        <v>10.701132081026692</v>
      </c>
      <c r="K36" s="67">
        <v>0.11734222222222221</v>
      </c>
      <c r="L36" s="67">
        <v>18.672133333333331</v>
      </c>
      <c r="M36" s="67">
        <v>3.5715555555555561E-3</v>
      </c>
      <c r="N36" s="44"/>
      <c r="O36" s="44">
        <v>0.30945600000000001</v>
      </c>
      <c r="P36" s="10">
        <f t="shared" si="36"/>
        <v>99.473518767583869</v>
      </c>
      <c r="Q36" s="3"/>
      <c r="R36" s="24">
        <f t="shared" si="37"/>
        <v>1.1050276437196056E-4</v>
      </c>
      <c r="S36" s="8">
        <f t="shared" si="38"/>
        <v>8.0526548635631351E-4</v>
      </c>
      <c r="T36" s="76">
        <f t="shared" si="72"/>
        <v>0.90247124641338927</v>
      </c>
      <c r="U36" s="8">
        <f t="shared" si="40"/>
        <v>0.22388271158190229</v>
      </c>
      <c r="V36" s="76">
        <f t="shared" si="73"/>
        <v>0.11494998668115969</v>
      </c>
      <c r="W36" s="8">
        <f t="shared" si="42"/>
        <v>0.14894955850212535</v>
      </c>
      <c r="X36" s="8">
        <f t="shared" si="43"/>
        <v>1.6541658169346807E-3</v>
      </c>
      <c r="Y36" s="8">
        <f t="shared" si="44"/>
        <v>0.46327778935633157</v>
      </c>
      <c r="Z36" s="8">
        <f t="shared" si="45"/>
        <v>6.3686796639721041E-5</v>
      </c>
      <c r="AA36" s="8">
        <f t="shared" si="46"/>
        <v>0</v>
      </c>
      <c r="AB36" s="8">
        <f t="shared" si="47"/>
        <v>4.1430499325236167E-3</v>
      </c>
      <c r="AC36" s="8">
        <f t="shared" si="48"/>
        <v>1.8603079633317345</v>
      </c>
      <c r="AD36" s="8">
        <f t="shared" si="49"/>
        <v>2.481875703920688</v>
      </c>
      <c r="AE36" s="8"/>
      <c r="AF36" s="24">
        <f t="shared" si="50"/>
        <v>1.7809556570040356E-4</v>
      </c>
      <c r="AG36" s="41">
        <f t="shared" si="51"/>
        <v>1.297833707117908E-3</v>
      </c>
      <c r="AH36" s="41">
        <f t="shared" si="52"/>
        <v>1.4544987002978922</v>
      </c>
      <c r="AI36" s="41">
        <f t="shared" si="53"/>
        <v>0.36082824168547772</v>
      </c>
      <c r="AJ36" s="41">
        <f t="shared" si="54"/>
        <v>0.18526308388380611</v>
      </c>
      <c r="AK36" s="41">
        <f t="shared" si="55"/>
        <v>0.24005965853459235</v>
      </c>
      <c r="AL36" s="41">
        <f t="shared" si="56"/>
        <v>2.6659930057279643E-3</v>
      </c>
      <c r="AM36" s="41">
        <f t="shared" si="57"/>
        <v>0.74665751975327177</v>
      </c>
      <c r="AN36" s="41">
        <f t="shared" si="58"/>
        <v>1.0264300752711062E-4</v>
      </c>
      <c r="AO36" s="41">
        <f t="shared" si="59"/>
        <v>0</v>
      </c>
      <c r="AP36" s="41">
        <f t="shared" si="60"/>
        <v>6.6772883524807078E-3</v>
      </c>
      <c r="AQ36" s="8">
        <f t="shared" si="61"/>
        <v>2.9982290577935946</v>
      </c>
      <c r="AR36" s="8">
        <f t="shared" si="62"/>
        <v>4.0000000000000009</v>
      </c>
      <c r="AS36" s="8"/>
      <c r="AT36" s="7">
        <f t="shared" si="63"/>
        <v>19.876763427046811</v>
      </c>
      <c r="AU36" s="7"/>
      <c r="AV36" s="7">
        <f t="shared" si="64"/>
        <v>75.670874712940545</v>
      </c>
      <c r="AW36" s="7"/>
      <c r="AX36" s="7">
        <f t="shared" si="65"/>
        <v>0.43558235995186712</v>
      </c>
      <c r="AY36" s="7"/>
      <c r="AZ36" s="11"/>
      <c r="BA36" s="11">
        <f t="shared" si="66"/>
        <v>6.4313333333333333E-2</v>
      </c>
      <c r="BB36" s="11">
        <f t="shared" si="67"/>
        <v>0.30945600000000001</v>
      </c>
      <c r="BC36" s="11"/>
      <c r="BD36" s="11">
        <f t="shared" si="69"/>
        <v>0.42557396471708669</v>
      </c>
      <c r="BE36" s="11"/>
      <c r="BF36" s="11">
        <f t="shared" si="68"/>
        <v>1.4098606816769639E-2</v>
      </c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</row>
    <row r="37" spans="1:75">
      <c r="A37" s="42"/>
      <c r="B37" s="43"/>
      <c r="C37" s="70"/>
      <c r="D37" s="8"/>
      <c r="E37" s="67">
        <v>6.6401111111111105E-3</v>
      </c>
      <c r="F37" s="67">
        <v>6.4313333333333333E-2</v>
      </c>
      <c r="G37" s="44">
        <v>50.603477777777783</v>
      </c>
      <c r="H37" s="44">
        <v>17.013966666666665</v>
      </c>
      <c r="I37" s="60">
        <v>1.9814856865571953</v>
      </c>
      <c r="J37" s="60">
        <v>10.701132081026692</v>
      </c>
      <c r="K37" s="67">
        <v>0.11734222222222221</v>
      </c>
      <c r="L37" s="67">
        <v>18.672133333333331</v>
      </c>
      <c r="M37" s="67">
        <v>3.5715555555555561E-3</v>
      </c>
      <c r="N37" s="44"/>
      <c r="O37" s="44">
        <v>0.30945600000000001</v>
      </c>
      <c r="P37" s="10">
        <f t="shared" si="36"/>
        <v>99.473518767583869</v>
      </c>
      <c r="Q37" s="3"/>
      <c r="R37" s="24">
        <f t="shared" si="37"/>
        <v>1.1050276437196056E-4</v>
      </c>
      <c r="S37" s="8">
        <f t="shared" si="38"/>
        <v>8.0526548635631351E-4</v>
      </c>
      <c r="T37" s="76">
        <f t="shared" si="72"/>
        <v>0.87373791308005599</v>
      </c>
      <c r="U37" s="8">
        <f t="shared" si="40"/>
        <v>0.22388271158190229</v>
      </c>
      <c r="V37" s="76">
        <f t="shared" si="73"/>
        <v>0.14368332001449302</v>
      </c>
      <c r="W37" s="8">
        <f t="shared" si="42"/>
        <v>0.14894955850212535</v>
      </c>
      <c r="X37" s="8">
        <f t="shared" si="43"/>
        <v>1.6541658169346807E-3</v>
      </c>
      <c r="Y37" s="8">
        <f t="shared" si="44"/>
        <v>0.46327778935633157</v>
      </c>
      <c r="Z37" s="8">
        <f t="shared" si="45"/>
        <v>6.3686796639721041E-5</v>
      </c>
      <c r="AA37" s="8">
        <f t="shared" si="46"/>
        <v>0</v>
      </c>
      <c r="AB37" s="8">
        <f t="shared" si="47"/>
        <v>4.1430499325236167E-3</v>
      </c>
      <c r="AC37" s="8">
        <f t="shared" si="48"/>
        <v>1.8603079633317345</v>
      </c>
      <c r="AD37" s="8">
        <f t="shared" si="49"/>
        <v>2.4818757039206885</v>
      </c>
      <c r="AE37" s="8"/>
      <c r="AF37" s="24">
        <f t="shared" si="50"/>
        <v>1.7809556570040354E-4</v>
      </c>
      <c r="AG37" s="41">
        <f t="shared" si="51"/>
        <v>1.2978337071179078E-3</v>
      </c>
      <c r="AH37" s="41">
        <f t="shared" si="52"/>
        <v>1.4081896393115703</v>
      </c>
      <c r="AI37" s="41">
        <f t="shared" si="53"/>
        <v>0.36082824168547767</v>
      </c>
      <c r="AJ37" s="41">
        <f t="shared" si="54"/>
        <v>0.23157214487012781</v>
      </c>
      <c r="AK37" s="41">
        <f t="shared" si="55"/>
        <v>0.24005965853459232</v>
      </c>
      <c r="AL37" s="41">
        <f t="shared" si="56"/>
        <v>2.6659930057279639E-3</v>
      </c>
      <c r="AM37" s="41">
        <f t="shared" si="57"/>
        <v>0.74665751975327155</v>
      </c>
      <c r="AN37" s="41">
        <f t="shared" si="58"/>
        <v>1.0264300752711061E-4</v>
      </c>
      <c r="AO37" s="41">
        <f t="shared" si="59"/>
        <v>0</v>
      </c>
      <c r="AP37" s="41">
        <f t="shared" si="60"/>
        <v>6.6772883524807061E-3</v>
      </c>
      <c r="AQ37" s="8">
        <f t="shared" si="61"/>
        <v>2.9982290577935937</v>
      </c>
      <c r="AR37" s="8">
        <f t="shared" si="62"/>
        <v>4</v>
      </c>
      <c r="AS37" s="8"/>
      <c r="AT37" s="7">
        <f t="shared" si="63"/>
        <v>20.397094091672429</v>
      </c>
      <c r="AU37" s="7"/>
      <c r="AV37" s="7">
        <f t="shared" si="64"/>
        <v>75.670874712940531</v>
      </c>
      <c r="AW37" s="7"/>
      <c r="AX37" s="7">
        <f t="shared" si="65"/>
        <v>0.49100197060165052</v>
      </c>
      <c r="AY37" s="7"/>
      <c r="AZ37" s="11"/>
      <c r="BA37" s="11">
        <f t="shared" si="66"/>
        <v>6.4313333333333333E-2</v>
      </c>
      <c r="BB37" s="11">
        <f t="shared" si="67"/>
        <v>0.30945600000000001</v>
      </c>
      <c r="BC37" s="11"/>
      <c r="BD37" s="11">
        <f t="shared" si="69"/>
        <v>0.4719103787405044</v>
      </c>
      <c r="BE37" s="11"/>
      <c r="BF37" s="11">
        <f t="shared" si="68"/>
        <v>1.2714278537406993E-2</v>
      </c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</row>
    <row r="38" spans="1:75">
      <c r="A38" s="42"/>
      <c r="B38" s="43"/>
      <c r="C38" s="70"/>
      <c r="D38" s="8"/>
      <c r="E38" s="67">
        <v>6.6401111111111105E-3</v>
      </c>
      <c r="F38" s="67">
        <v>6.4313333333333333E-2</v>
      </c>
      <c r="G38" s="44">
        <v>50.603477777777783</v>
      </c>
      <c r="H38" s="44">
        <v>17.013966666666665</v>
      </c>
      <c r="I38" s="60">
        <v>1.9814856865571953</v>
      </c>
      <c r="J38" s="60">
        <v>10.701132081026692</v>
      </c>
      <c r="K38" s="67">
        <v>0.11734222222222221</v>
      </c>
      <c r="L38" s="67">
        <v>18.672133333333331</v>
      </c>
      <c r="M38" s="67">
        <v>3.5715555555555561E-3</v>
      </c>
      <c r="N38" s="44"/>
      <c r="O38" s="44">
        <v>0.30945600000000001</v>
      </c>
      <c r="P38" s="10">
        <f t="shared" si="36"/>
        <v>99.473518767583869</v>
      </c>
      <c r="Q38" s="3"/>
      <c r="R38" s="24">
        <f t="shared" si="37"/>
        <v>1.1050276437196056E-4</v>
      </c>
      <c r="S38" s="8">
        <f t="shared" si="38"/>
        <v>8.0526548635631351E-4</v>
      </c>
      <c r="T38" s="76">
        <f t="shared" si="72"/>
        <v>0.84500457974672272</v>
      </c>
      <c r="U38" s="8">
        <f t="shared" si="40"/>
        <v>0.22388271158190229</v>
      </c>
      <c r="V38" s="76">
        <f t="shared" si="73"/>
        <v>0.17241665334782635</v>
      </c>
      <c r="W38" s="8">
        <f t="shared" si="42"/>
        <v>0.14894955850212535</v>
      </c>
      <c r="X38" s="8">
        <f t="shared" si="43"/>
        <v>1.6541658169346807E-3</v>
      </c>
      <c r="Y38" s="8">
        <f t="shared" si="44"/>
        <v>0.46327778935633157</v>
      </c>
      <c r="Z38" s="8">
        <f t="shared" si="45"/>
        <v>6.3686796639721041E-5</v>
      </c>
      <c r="AA38" s="8">
        <f t="shared" si="46"/>
        <v>0</v>
      </c>
      <c r="AB38" s="8">
        <f t="shared" si="47"/>
        <v>4.1430499325236167E-3</v>
      </c>
      <c r="AC38" s="8">
        <f t="shared" si="48"/>
        <v>1.8603079633317348</v>
      </c>
      <c r="AD38" s="8">
        <f t="shared" si="49"/>
        <v>2.4818757039206885</v>
      </c>
      <c r="AE38" s="8"/>
      <c r="AF38" s="24">
        <f t="shared" si="50"/>
        <v>1.7809556570040354E-4</v>
      </c>
      <c r="AG38" s="41">
        <f t="shared" si="51"/>
        <v>1.2978337071179078E-3</v>
      </c>
      <c r="AH38" s="41">
        <f t="shared" si="52"/>
        <v>1.3618805783252488</v>
      </c>
      <c r="AI38" s="41">
        <f t="shared" si="53"/>
        <v>0.36082824168547767</v>
      </c>
      <c r="AJ38" s="41">
        <f t="shared" si="54"/>
        <v>0.27788120585644954</v>
      </c>
      <c r="AK38" s="41">
        <f t="shared" si="55"/>
        <v>0.24005965853459232</v>
      </c>
      <c r="AL38" s="41">
        <f t="shared" si="56"/>
        <v>2.6659930057279639E-3</v>
      </c>
      <c r="AM38" s="41">
        <f t="shared" si="57"/>
        <v>0.74665751975327155</v>
      </c>
      <c r="AN38" s="41">
        <f t="shared" si="58"/>
        <v>1.0264300752711061E-4</v>
      </c>
      <c r="AO38" s="41">
        <f t="shared" si="59"/>
        <v>0</v>
      </c>
      <c r="AP38" s="41">
        <f t="shared" si="60"/>
        <v>6.6772883524807061E-3</v>
      </c>
      <c r="AQ38" s="8">
        <f t="shared" si="61"/>
        <v>2.9982290577935937</v>
      </c>
      <c r="AR38" s="8">
        <f t="shared" si="62"/>
        <v>4.0000000000000009</v>
      </c>
      <c r="AS38" s="8"/>
      <c r="AT38" s="7">
        <f t="shared" si="63"/>
        <v>20.945399332385783</v>
      </c>
      <c r="AU38" s="7"/>
      <c r="AV38" s="7">
        <f t="shared" si="64"/>
        <v>75.670874712940531</v>
      </c>
      <c r="AW38" s="7"/>
      <c r="AX38" s="7">
        <f t="shared" si="65"/>
        <v>0.53651145325859262</v>
      </c>
      <c r="AY38" s="7"/>
      <c r="AZ38" s="11"/>
      <c r="BA38" s="11">
        <f t="shared" si="66"/>
        <v>6.4313333333333333E-2</v>
      </c>
      <c r="BB38" s="11">
        <f t="shared" si="67"/>
        <v>0.30945600000000001</v>
      </c>
      <c r="BC38" s="11"/>
      <c r="BD38" s="11">
        <f t="shared" si="69"/>
        <v>0.51824679276392205</v>
      </c>
      <c r="BE38" s="11"/>
      <c r="BF38" s="11">
        <f t="shared" si="68"/>
        <v>1.1577495671513382E-2</v>
      </c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</row>
    <row r="39" spans="1:75">
      <c r="A39" s="42"/>
      <c r="B39" s="43"/>
      <c r="C39" s="70"/>
      <c r="D39" s="8"/>
      <c r="E39" s="67">
        <v>6.6401111111111105E-3</v>
      </c>
      <c r="F39" s="67">
        <v>6.4313333333333333E-2</v>
      </c>
      <c r="G39" s="44">
        <v>50.603477777777783</v>
      </c>
      <c r="H39" s="44">
        <v>17.013966666666665</v>
      </c>
      <c r="I39" s="60">
        <v>1.9814856865571953</v>
      </c>
      <c r="J39" s="60">
        <v>10.701132081026692</v>
      </c>
      <c r="K39" s="67">
        <v>0.11734222222222221</v>
      </c>
      <c r="L39" s="67">
        <v>18.672133333333331</v>
      </c>
      <c r="M39" s="67">
        <v>3.5715555555555561E-3</v>
      </c>
      <c r="N39" s="44"/>
      <c r="O39" s="44">
        <v>0.30945600000000001</v>
      </c>
      <c r="P39" s="10">
        <f t="shared" si="36"/>
        <v>99.473518767583869</v>
      </c>
      <c r="Q39" s="3"/>
      <c r="R39" s="24">
        <f t="shared" si="37"/>
        <v>1.1050276437196056E-4</v>
      </c>
      <c r="S39" s="8">
        <f t="shared" si="38"/>
        <v>8.0526548635631351E-4</v>
      </c>
      <c r="T39" s="76">
        <f t="shared" si="72"/>
        <v>0.81627124641338944</v>
      </c>
      <c r="U39" s="8">
        <f t="shared" si="40"/>
        <v>0.22388271158190229</v>
      </c>
      <c r="V39" s="76">
        <f t="shared" si="73"/>
        <v>0.20114998668115969</v>
      </c>
      <c r="W39" s="8">
        <f t="shared" si="42"/>
        <v>0.14894955850212535</v>
      </c>
      <c r="X39" s="8">
        <f t="shared" si="43"/>
        <v>1.6541658169346807E-3</v>
      </c>
      <c r="Y39" s="8">
        <f t="shared" si="44"/>
        <v>0.46327778935633157</v>
      </c>
      <c r="Z39" s="8">
        <f t="shared" si="45"/>
        <v>6.3686796639721041E-5</v>
      </c>
      <c r="AA39" s="8">
        <f t="shared" si="46"/>
        <v>0</v>
      </c>
      <c r="AB39" s="8">
        <f t="shared" si="47"/>
        <v>4.1430499325236167E-3</v>
      </c>
      <c r="AC39" s="8">
        <f t="shared" si="48"/>
        <v>1.8603079633317348</v>
      </c>
      <c r="AD39" s="8">
        <f t="shared" si="49"/>
        <v>2.4818757039206885</v>
      </c>
      <c r="AE39" s="8"/>
      <c r="AF39" s="24">
        <f t="shared" si="50"/>
        <v>1.7809556570040354E-4</v>
      </c>
      <c r="AG39" s="41">
        <f t="shared" si="51"/>
        <v>1.2978337071179078E-3</v>
      </c>
      <c r="AH39" s="41">
        <f t="shared" si="52"/>
        <v>1.3155715173389271</v>
      </c>
      <c r="AI39" s="41">
        <f t="shared" si="53"/>
        <v>0.36082824168547767</v>
      </c>
      <c r="AJ39" s="41">
        <f t="shared" si="54"/>
        <v>0.32419026684277125</v>
      </c>
      <c r="AK39" s="41">
        <f t="shared" si="55"/>
        <v>0.24005965853459232</v>
      </c>
      <c r="AL39" s="41">
        <f t="shared" si="56"/>
        <v>2.6659930057279639E-3</v>
      </c>
      <c r="AM39" s="41">
        <f t="shared" si="57"/>
        <v>0.74665751975327155</v>
      </c>
      <c r="AN39" s="41">
        <f t="shared" si="58"/>
        <v>1.0264300752711061E-4</v>
      </c>
      <c r="AO39" s="41">
        <f t="shared" si="59"/>
        <v>0</v>
      </c>
      <c r="AP39" s="41">
        <f t="shared" si="60"/>
        <v>6.6772883524807061E-3</v>
      </c>
      <c r="AQ39" s="8">
        <f t="shared" si="61"/>
        <v>2.9982290577935937</v>
      </c>
      <c r="AR39" s="8">
        <f t="shared" si="62"/>
        <v>4</v>
      </c>
      <c r="AS39" s="8"/>
      <c r="AT39" s="7">
        <f t="shared" si="63"/>
        <v>21.523997467970574</v>
      </c>
      <c r="AU39" s="7"/>
      <c r="AV39" s="7">
        <f t="shared" si="64"/>
        <v>75.670874712940531</v>
      </c>
      <c r="AW39" s="7"/>
      <c r="AX39" s="7">
        <f t="shared" si="65"/>
        <v>0.57455083689369857</v>
      </c>
      <c r="AY39" s="7"/>
      <c r="AZ39" s="11"/>
      <c r="BA39" s="11">
        <f t="shared" si="66"/>
        <v>6.4313333333333333E-2</v>
      </c>
      <c r="BB39" s="11">
        <f t="shared" si="67"/>
        <v>0.30945600000000001</v>
      </c>
      <c r="BC39" s="11"/>
      <c r="BD39" s="11">
        <f t="shared" si="69"/>
        <v>0.56458320678733964</v>
      </c>
      <c r="BE39" s="11"/>
      <c r="BF39" s="11">
        <f t="shared" si="68"/>
        <v>1.0627308655073064E-2</v>
      </c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</row>
    <row r="40" spans="1:75">
      <c r="A40" s="42"/>
      <c r="B40" s="43"/>
      <c r="C40" s="70"/>
      <c r="D40" s="8"/>
      <c r="E40" s="67">
        <v>6.6401111111111105E-3</v>
      </c>
      <c r="F40" s="67">
        <v>6.4313333333333333E-2</v>
      </c>
      <c r="G40" s="44">
        <v>50.603477777777783</v>
      </c>
      <c r="H40" s="44">
        <v>17.013966666666665</v>
      </c>
      <c r="I40" s="60">
        <v>1.9814856865571953</v>
      </c>
      <c r="J40" s="60">
        <v>10.701132081026692</v>
      </c>
      <c r="K40" s="67">
        <v>0.11734222222222221</v>
      </c>
      <c r="L40" s="67">
        <v>18.672133333333331</v>
      </c>
      <c r="M40" s="67">
        <v>3.5715555555555561E-3</v>
      </c>
      <c r="N40" s="44"/>
      <c r="O40" s="44">
        <v>0.30945600000000001</v>
      </c>
      <c r="P40" s="10">
        <f t="shared" si="36"/>
        <v>99.473518767583869</v>
      </c>
      <c r="Q40" s="3"/>
      <c r="R40" s="24">
        <f t="shared" si="37"/>
        <v>1.1050276437196056E-4</v>
      </c>
      <c r="S40" s="8">
        <f t="shared" si="38"/>
        <v>8.0526548635631351E-4</v>
      </c>
      <c r="T40" s="76">
        <f t="shared" si="72"/>
        <v>0.78753791308005616</v>
      </c>
      <c r="U40" s="8">
        <f t="shared" si="40"/>
        <v>0.22388271158190229</v>
      </c>
      <c r="V40" s="76">
        <f t="shared" si="73"/>
        <v>0.22988332001449302</v>
      </c>
      <c r="W40" s="8">
        <f t="shared" si="42"/>
        <v>0.14894955850212535</v>
      </c>
      <c r="X40" s="8">
        <f t="shared" si="43"/>
        <v>1.6541658169346807E-3</v>
      </c>
      <c r="Y40" s="8">
        <f t="shared" si="44"/>
        <v>0.46327778935633157</v>
      </c>
      <c r="Z40" s="8">
        <f t="shared" si="45"/>
        <v>6.3686796639721041E-5</v>
      </c>
      <c r="AA40" s="8">
        <f t="shared" si="46"/>
        <v>0</v>
      </c>
      <c r="AB40" s="8">
        <f t="shared" si="47"/>
        <v>4.1430499325236167E-3</v>
      </c>
      <c r="AC40" s="8">
        <f t="shared" si="48"/>
        <v>1.8603079633317348</v>
      </c>
      <c r="AD40" s="8">
        <f t="shared" si="49"/>
        <v>2.4818757039206885</v>
      </c>
      <c r="AE40" s="8"/>
      <c r="AF40" s="24">
        <f t="shared" si="50"/>
        <v>1.7809556570040354E-4</v>
      </c>
      <c r="AG40" s="41">
        <f t="shared" si="51"/>
        <v>1.2978337071179078E-3</v>
      </c>
      <c r="AH40" s="41">
        <f t="shared" si="52"/>
        <v>1.2692624563526054</v>
      </c>
      <c r="AI40" s="41">
        <f t="shared" si="53"/>
        <v>0.36082824168547767</v>
      </c>
      <c r="AJ40" s="41">
        <f t="shared" si="54"/>
        <v>0.37049932782909301</v>
      </c>
      <c r="AK40" s="41">
        <f t="shared" si="55"/>
        <v>0.24005965853459232</v>
      </c>
      <c r="AL40" s="41">
        <f t="shared" si="56"/>
        <v>2.6659930057279639E-3</v>
      </c>
      <c r="AM40" s="41">
        <f t="shared" si="57"/>
        <v>0.74665751975327155</v>
      </c>
      <c r="AN40" s="41">
        <f t="shared" si="58"/>
        <v>1.0264300752711061E-4</v>
      </c>
      <c r="AO40" s="41">
        <f t="shared" si="59"/>
        <v>0</v>
      </c>
      <c r="AP40" s="41">
        <f t="shared" si="60"/>
        <v>6.6772883524807061E-3</v>
      </c>
      <c r="AQ40" s="8">
        <f t="shared" si="61"/>
        <v>2.9982290577935937</v>
      </c>
      <c r="AR40" s="8">
        <f t="shared" si="62"/>
        <v>4</v>
      </c>
      <c r="AS40" s="8"/>
      <c r="AT40" s="7">
        <f t="shared" si="63"/>
        <v>22.13547026062766</v>
      </c>
      <c r="AU40" s="7"/>
      <c r="AV40" s="7">
        <f t="shared" si="64"/>
        <v>75.670874712940531</v>
      </c>
      <c r="AW40" s="7"/>
      <c r="AX40" s="7">
        <f t="shared" si="65"/>
        <v>0.60681987507166346</v>
      </c>
      <c r="AY40" s="7"/>
      <c r="AZ40" s="11"/>
      <c r="BA40" s="11">
        <f t="shared" si="66"/>
        <v>6.4313333333333333E-2</v>
      </c>
      <c r="BB40" s="11">
        <f t="shared" si="67"/>
        <v>0.30945600000000001</v>
      </c>
      <c r="BC40" s="11"/>
      <c r="BD40" s="11">
        <f t="shared" si="69"/>
        <v>0.61091962081075712</v>
      </c>
      <c r="BE40" s="11"/>
      <c r="BF40" s="11">
        <f t="shared" si="68"/>
        <v>9.8212592878214391E-3</v>
      </c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</row>
    <row r="41" spans="1:75">
      <c r="A41" s="42"/>
      <c r="B41" s="43"/>
      <c r="C41" s="70"/>
      <c r="D41" s="8"/>
      <c r="E41" s="67">
        <v>6.6401111111111105E-3</v>
      </c>
      <c r="F41" s="67">
        <v>6.4313333333333333E-2</v>
      </c>
      <c r="G41" s="44">
        <v>50.603477777777783</v>
      </c>
      <c r="H41" s="44">
        <v>17.013966666666665</v>
      </c>
      <c r="I41" s="60">
        <v>1.9814856865571953</v>
      </c>
      <c r="J41" s="60">
        <v>10.701132081026692</v>
      </c>
      <c r="K41" s="67">
        <v>0.11734222222222221</v>
      </c>
      <c r="L41" s="67">
        <v>18.672133333333331</v>
      </c>
      <c r="M41" s="67">
        <v>3.5715555555555561E-3</v>
      </c>
      <c r="N41" s="44"/>
      <c r="O41" s="44">
        <v>0.30945600000000001</v>
      </c>
      <c r="P41" s="10">
        <f t="shared" si="36"/>
        <v>99.473518767583869</v>
      </c>
      <c r="Q41" s="3"/>
      <c r="R41" s="24">
        <f t="shared" si="37"/>
        <v>1.1050276437196056E-4</v>
      </c>
      <c r="S41" s="8">
        <f t="shared" si="38"/>
        <v>8.0526548635631351E-4</v>
      </c>
      <c r="T41" s="76">
        <f t="shared" si="72"/>
        <v>0.75880457974672288</v>
      </c>
      <c r="U41" s="8">
        <f t="shared" si="40"/>
        <v>0.22388271158190229</v>
      </c>
      <c r="V41" s="76">
        <f t="shared" si="73"/>
        <v>0.25861665334782635</v>
      </c>
      <c r="W41" s="8">
        <f t="shared" si="42"/>
        <v>0.14894955850212535</v>
      </c>
      <c r="X41" s="8">
        <f t="shared" si="43"/>
        <v>1.6541658169346807E-3</v>
      </c>
      <c r="Y41" s="8">
        <f t="shared" si="44"/>
        <v>0.46327778935633157</v>
      </c>
      <c r="Z41" s="8">
        <f t="shared" si="45"/>
        <v>6.3686796639721041E-5</v>
      </c>
      <c r="AA41" s="8">
        <f t="shared" si="46"/>
        <v>0</v>
      </c>
      <c r="AB41" s="8">
        <f t="shared" si="47"/>
        <v>4.1430499325236167E-3</v>
      </c>
      <c r="AC41" s="8">
        <f t="shared" si="48"/>
        <v>1.860307963331735</v>
      </c>
      <c r="AD41" s="8">
        <f t="shared" si="49"/>
        <v>2.4818757039206885</v>
      </c>
      <c r="AE41" s="8"/>
      <c r="AF41" s="24">
        <f t="shared" si="50"/>
        <v>1.7809556570040354E-4</v>
      </c>
      <c r="AG41" s="41">
        <f t="shared" si="51"/>
        <v>1.2978337071179078E-3</v>
      </c>
      <c r="AH41" s="41">
        <f t="shared" si="52"/>
        <v>1.2229533953662837</v>
      </c>
      <c r="AI41" s="41">
        <f t="shared" si="53"/>
        <v>0.36082824168547767</v>
      </c>
      <c r="AJ41" s="41">
        <f t="shared" si="54"/>
        <v>0.41680838881541471</v>
      </c>
      <c r="AK41" s="41">
        <f t="shared" si="55"/>
        <v>0.24005965853459232</v>
      </c>
      <c r="AL41" s="41">
        <f t="shared" si="56"/>
        <v>2.6659930057279639E-3</v>
      </c>
      <c r="AM41" s="41">
        <f t="shared" si="57"/>
        <v>0.74665751975327155</v>
      </c>
      <c r="AN41" s="41">
        <f t="shared" si="58"/>
        <v>1.0264300752711061E-4</v>
      </c>
      <c r="AO41" s="41">
        <f t="shared" si="59"/>
        <v>0</v>
      </c>
      <c r="AP41" s="41">
        <f t="shared" si="60"/>
        <v>6.6772883524807061E-3</v>
      </c>
      <c r="AQ41" s="8">
        <f t="shared" si="61"/>
        <v>2.9982290577935937</v>
      </c>
      <c r="AR41" s="8">
        <f t="shared" si="62"/>
        <v>4</v>
      </c>
      <c r="AS41" s="8"/>
      <c r="AT41" s="7">
        <f t="shared" si="63"/>
        <v>22.782701430808739</v>
      </c>
      <c r="AU41" s="7"/>
      <c r="AV41" s="7">
        <f t="shared" si="64"/>
        <v>75.670874712940531</v>
      </c>
      <c r="AW41" s="7"/>
      <c r="AX41" s="7">
        <f t="shared" si="65"/>
        <v>0.63453899226326893</v>
      </c>
      <c r="AY41" s="7"/>
      <c r="AZ41" s="11"/>
      <c r="BA41" s="11">
        <f t="shared" si="66"/>
        <v>6.4313333333333333E-2</v>
      </c>
      <c r="BB41" s="11">
        <f t="shared" si="67"/>
        <v>0.30945600000000001</v>
      </c>
      <c r="BC41" s="11"/>
      <c r="BD41" s="11">
        <f t="shared" si="69"/>
        <v>0.65725603483417472</v>
      </c>
      <c r="BE41" s="11"/>
      <c r="BF41" s="11">
        <f t="shared" si="68"/>
        <v>9.1288625467148381E-3</v>
      </c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</row>
    <row r="42" spans="1:75">
      <c r="A42" s="42"/>
      <c r="B42" s="43"/>
      <c r="C42" s="70"/>
      <c r="D42" s="8"/>
      <c r="E42" s="67">
        <v>6.6401111111111105E-3</v>
      </c>
      <c r="F42" s="67">
        <v>6.4313333333333333E-2</v>
      </c>
      <c r="G42" s="44">
        <v>50.603477777777783</v>
      </c>
      <c r="H42" s="44">
        <v>17.013966666666665</v>
      </c>
      <c r="I42" s="60">
        <v>1.9814856865571953</v>
      </c>
      <c r="J42" s="60">
        <v>10.701132081026692</v>
      </c>
      <c r="K42" s="67">
        <v>0.11734222222222221</v>
      </c>
      <c r="L42" s="67">
        <v>18.672133333333331</v>
      </c>
      <c r="M42" s="67">
        <v>3.5715555555555561E-3</v>
      </c>
      <c r="N42" s="44"/>
      <c r="O42" s="44">
        <v>0.30945600000000001</v>
      </c>
      <c r="P42" s="10">
        <f t="shared" si="36"/>
        <v>99.473518767583869</v>
      </c>
      <c r="Q42" s="3"/>
      <c r="R42" s="24">
        <f t="shared" si="37"/>
        <v>1.1050276437196056E-4</v>
      </c>
      <c r="S42" s="8">
        <f t="shared" si="38"/>
        <v>8.0526548635631351E-4</v>
      </c>
      <c r="T42" s="76">
        <f t="shared" si="72"/>
        <v>0.73007124641338961</v>
      </c>
      <c r="U42" s="8">
        <f t="shared" si="40"/>
        <v>0.22388271158190229</v>
      </c>
      <c r="V42" s="76">
        <f t="shared" si="73"/>
        <v>0.28734998668115969</v>
      </c>
      <c r="W42" s="8">
        <f t="shared" si="42"/>
        <v>0.14894955850212535</v>
      </c>
      <c r="X42" s="8">
        <f t="shared" si="43"/>
        <v>1.6541658169346807E-3</v>
      </c>
      <c r="Y42" s="8">
        <f t="shared" si="44"/>
        <v>0.46327778935633157</v>
      </c>
      <c r="Z42" s="8">
        <f t="shared" si="45"/>
        <v>6.3686796639721041E-5</v>
      </c>
      <c r="AA42" s="8">
        <f t="shared" si="46"/>
        <v>0</v>
      </c>
      <c r="AB42" s="8">
        <f t="shared" si="47"/>
        <v>4.1430499325236167E-3</v>
      </c>
      <c r="AC42" s="8">
        <f t="shared" si="48"/>
        <v>1.860307963331735</v>
      </c>
      <c r="AD42" s="8">
        <f t="shared" si="49"/>
        <v>2.4818757039206889</v>
      </c>
      <c r="AE42" s="8"/>
      <c r="AF42" s="24">
        <f t="shared" si="50"/>
        <v>1.7809556570040351E-4</v>
      </c>
      <c r="AG42" s="41">
        <f t="shared" si="51"/>
        <v>1.2978337071179076E-3</v>
      </c>
      <c r="AH42" s="41">
        <f t="shared" si="52"/>
        <v>1.176644334379962</v>
      </c>
      <c r="AI42" s="41">
        <f t="shared" si="53"/>
        <v>0.36082824168547761</v>
      </c>
      <c r="AJ42" s="41">
        <f t="shared" si="54"/>
        <v>0.46311744980173636</v>
      </c>
      <c r="AK42" s="41">
        <f t="shared" si="55"/>
        <v>0.24005965853459227</v>
      </c>
      <c r="AL42" s="41">
        <f t="shared" si="56"/>
        <v>2.6659930057279634E-3</v>
      </c>
      <c r="AM42" s="41">
        <f t="shared" si="57"/>
        <v>0.74665751975327144</v>
      </c>
      <c r="AN42" s="41">
        <f t="shared" si="58"/>
        <v>1.0264300752711059E-4</v>
      </c>
      <c r="AO42" s="41">
        <f t="shared" si="59"/>
        <v>0</v>
      </c>
      <c r="AP42" s="41">
        <f t="shared" si="60"/>
        <v>6.6772883524807052E-3</v>
      </c>
      <c r="AQ42" s="8">
        <f t="shared" si="61"/>
        <v>2.9982290577935937</v>
      </c>
      <c r="AR42" s="8">
        <f t="shared" si="62"/>
        <v>4</v>
      </c>
      <c r="AS42" s="8"/>
      <c r="AT42" s="7">
        <f t="shared" si="63"/>
        <v>23.468922132508961</v>
      </c>
      <c r="AU42" s="7"/>
      <c r="AV42" s="7">
        <f t="shared" si="64"/>
        <v>75.670874712940531</v>
      </c>
      <c r="AW42" s="7"/>
      <c r="AX42" s="7">
        <f t="shared" si="65"/>
        <v>0.65860711947441264</v>
      </c>
      <c r="AY42" s="7"/>
      <c r="AZ42" s="11"/>
      <c r="BA42" s="11">
        <f t="shared" si="66"/>
        <v>6.4313333333333333E-2</v>
      </c>
      <c r="BB42" s="11">
        <f t="shared" si="67"/>
        <v>0.30945600000000001</v>
      </c>
      <c r="BC42" s="11"/>
      <c r="BD42" s="11">
        <f t="shared" si="69"/>
        <v>0.7035924488575922</v>
      </c>
      <c r="BE42" s="11"/>
      <c r="BF42" s="11">
        <f t="shared" si="68"/>
        <v>8.5276640045555772E-3</v>
      </c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</row>
    <row r="43" spans="1:75">
      <c r="A43" s="42"/>
      <c r="B43" s="43"/>
      <c r="C43" s="70"/>
      <c r="D43" s="8"/>
      <c r="E43" s="67">
        <v>6.6401111111111105E-3</v>
      </c>
      <c r="F43" s="67">
        <v>6.4313333333333333E-2</v>
      </c>
      <c r="G43" s="44">
        <v>50.603477777777783</v>
      </c>
      <c r="H43" s="44">
        <v>17.013966666666665</v>
      </c>
      <c r="I43" s="60">
        <v>1.9814856865571953</v>
      </c>
      <c r="J43" s="60">
        <v>10.701132081026692</v>
      </c>
      <c r="K43" s="67">
        <v>0.11734222222222221</v>
      </c>
      <c r="L43" s="67">
        <v>18.672133333333331</v>
      </c>
      <c r="M43" s="67">
        <v>3.5715555555555561E-3</v>
      </c>
      <c r="N43" s="44"/>
      <c r="O43" s="44">
        <v>0.30945600000000001</v>
      </c>
      <c r="P43" s="10">
        <f t="shared" si="36"/>
        <v>99.473518767583869</v>
      </c>
      <c r="Q43" s="3"/>
      <c r="R43" s="24">
        <f t="shared" si="37"/>
        <v>1.1050276437196056E-4</v>
      </c>
      <c r="S43" s="8">
        <f t="shared" si="38"/>
        <v>8.0526548635631351E-4</v>
      </c>
      <c r="T43" s="76">
        <f t="shared" si="72"/>
        <v>0.70133791308005633</v>
      </c>
      <c r="U43" s="8">
        <f t="shared" si="40"/>
        <v>0.22388271158190229</v>
      </c>
      <c r="V43" s="76">
        <f t="shared" si="73"/>
        <v>0.31608332001449302</v>
      </c>
      <c r="W43" s="8">
        <f t="shared" si="42"/>
        <v>0.14894955850212535</v>
      </c>
      <c r="X43" s="8">
        <f t="shared" si="43"/>
        <v>1.6541658169346807E-3</v>
      </c>
      <c r="Y43" s="8">
        <f t="shared" si="44"/>
        <v>0.46327778935633157</v>
      </c>
      <c r="Z43" s="8">
        <f t="shared" si="45"/>
        <v>6.3686796639721041E-5</v>
      </c>
      <c r="AA43" s="8">
        <f t="shared" si="46"/>
        <v>0</v>
      </c>
      <c r="AB43" s="8">
        <f t="shared" si="47"/>
        <v>4.1430499325236167E-3</v>
      </c>
      <c r="AC43" s="8">
        <f t="shared" si="48"/>
        <v>1.860307963331735</v>
      </c>
      <c r="AD43" s="8">
        <f t="shared" si="49"/>
        <v>2.4818757039206889</v>
      </c>
      <c r="AE43" s="8"/>
      <c r="AF43" s="24">
        <f t="shared" si="50"/>
        <v>1.7809556570040351E-4</v>
      </c>
      <c r="AG43" s="41">
        <f t="shared" si="51"/>
        <v>1.2978337071179076E-3</v>
      </c>
      <c r="AH43" s="41">
        <f t="shared" si="52"/>
        <v>1.1303352733936403</v>
      </c>
      <c r="AI43" s="41">
        <f t="shared" si="53"/>
        <v>0.36082824168547761</v>
      </c>
      <c r="AJ43" s="41">
        <f t="shared" si="54"/>
        <v>0.50942651078805812</v>
      </c>
      <c r="AK43" s="41">
        <f t="shared" si="55"/>
        <v>0.24005965853459227</v>
      </c>
      <c r="AL43" s="41">
        <f t="shared" si="56"/>
        <v>2.6659930057279634E-3</v>
      </c>
      <c r="AM43" s="41">
        <f t="shared" si="57"/>
        <v>0.74665751975327144</v>
      </c>
      <c r="AN43" s="41">
        <f t="shared" si="58"/>
        <v>1.0264300752711059E-4</v>
      </c>
      <c r="AO43" s="41">
        <f t="shared" si="59"/>
        <v>0</v>
      </c>
      <c r="AP43" s="41">
        <f t="shared" si="60"/>
        <v>6.6772883524807052E-3</v>
      </c>
      <c r="AQ43" s="8">
        <f t="shared" si="61"/>
        <v>2.9982290577935937</v>
      </c>
      <c r="AR43" s="8">
        <f t="shared" si="62"/>
        <v>4</v>
      </c>
      <c r="AS43" s="8"/>
      <c r="AT43" s="7">
        <f t="shared" si="63"/>
        <v>24.197764902149771</v>
      </c>
      <c r="AU43" s="7"/>
      <c r="AV43" s="7">
        <f t="shared" si="64"/>
        <v>75.670874712940531</v>
      </c>
      <c r="AW43" s="7"/>
      <c r="AX43" s="7">
        <f t="shared" si="65"/>
        <v>0.67970101602869248</v>
      </c>
      <c r="AY43" s="7"/>
      <c r="AZ43" s="11"/>
      <c r="BA43" s="11">
        <f t="shared" si="66"/>
        <v>6.4313333333333333E-2</v>
      </c>
      <c r="BB43" s="11">
        <f t="shared" si="67"/>
        <v>0.30945600000000001</v>
      </c>
      <c r="BC43" s="11"/>
      <c r="BD43" s="11">
        <f t="shared" si="69"/>
        <v>0.74992886288100991</v>
      </c>
      <c r="BE43" s="11"/>
      <c r="BF43" s="11">
        <f t="shared" si="68"/>
        <v>8.0007588679141314E-3</v>
      </c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</row>
    <row r="44" spans="1:75" ht="15" thickBot="1">
      <c r="A44" s="42"/>
      <c r="B44" s="43"/>
      <c r="C44" s="70"/>
      <c r="D44" s="8"/>
      <c r="E44" s="67">
        <v>6.6401111111111105E-3</v>
      </c>
      <c r="F44" s="67">
        <v>6.4313333333333333E-2</v>
      </c>
      <c r="G44" s="44">
        <v>50.603477777777783</v>
      </c>
      <c r="H44" s="44">
        <v>17.013966666666665</v>
      </c>
      <c r="I44" s="60">
        <v>1.9814856865571953</v>
      </c>
      <c r="J44" s="60">
        <v>10.701132081026692</v>
      </c>
      <c r="K44" s="67">
        <v>0.11734222222222221</v>
      </c>
      <c r="L44" s="67">
        <v>18.672133333333331</v>
      </c>
      <c r="M44" s="67">
        <v>3.5715555555555561E-3</v>
      </c>
      <c r="N44" s="44"/>
      <c r="O44" s="44">
        <v>0.30945600000000001</v>
      </c>
      <c r="P44" s="10">
        <f t="shared" si="36"/>
        <v>99.473518767583869</v>
      </c>
      <c r="Q44" s="3"/>
      <c r="R44" s="24">
        <f t="shared" si="37"/>
        <v>1.1050276437196056E-4</v>
      </c>
      <c r="S44" s="8">
        <f t="shared" si="38"/>
        <v>8.0526548635631351E-4</v>
      </c>
      <c r="T44" s="81">
        <f>2*G44/$T$2-V45</f>
        <v>0.67260457974672239</v>
      </c>
      <c r="U44" s="8">
        <f t="shared" si="40"/>
        <v>0.22388271158190229</v>
      </c>
      <c r="V44" s="81">
        <f>2*I44/$V$2+V45</f>
        <v>0.34481665334782635</v>
      </c>
      <c r="W44" s="8">
        <f t="shared" si="42"/>
        <v>0.14894955850212535</v>
      </c>
      <c r="X44" s="8">
        <f t="shared" si="43"/>
        <v>1.6541658169346807E-3</v>
      </c>
      <c r="Y44" s="8">
        <f t="shared" si="44"/>
        <v>0.46327778935633157</v>
      </c>
      <c r="Z44" s="8">
        <f t="shared" si="45"/>
        <v>6.3686796639721041E-5</v>
      </c>
      <c r="AA44" s="8">
        <f t="shared" si="46"/>
        <v>0</v>
      </c>
      <c r="AB44" s="8">
        <f t="shared" si="47"/>
        <v>4.1430499325236167E-3</v>
      </c>
      <c r="AC44" s="8">
        <f t="shared" si="48"/>
        <v>1.8603079633317343</v>
      </c>
      <c r="AD44" s="8">
        <f t="shared" si="49"/>
        <v>2.481875703920688</v>
      </c>
      <c r="AE44" s="8"/>
      <c r="AF44" s="24">
        <f t="shared" si="50"/>
        <v>1.7809556570040356E-4</v>
      </c>
      <c r="AG44" s="41">
        <f t="shared" si="51"/>
        <v>1.297833707117908E-3</v>
      </c>
      <c r="AH44" s="41">
        <f t="shared" si="52"/>
        <v>1.0840262124073179</v>
      </c>
      <c r="AI44" s="41">
        <f t="shared" si="53"/>
        <v>0.36082824168547772</v>
      </c>
      <c r="AJ44" s="41">
        <f t="shared" si="54"/>
        <v>0.55573557177438004</v>
      </c>
      <c r="AK44" s="41">
        <f t="shared" si="55"/>
        <v>0.24005965853459235</v>
      </c>
      <c r="AL44" s="41">
        <f t="shared" si="56"/>
        <v>2.6659930057279643E-3</v>
      </c>
      <c r="AM44" s="41">
        <f t="shared" si="57"/>
        <v>0.74665751975327177</v>
      </c>
      <c r="AN44" s="41">
        <f t="shared" si="58"/>
        <v>1.0264300752711062E-4</v>
      </c>
      <c r="AO44" s="41">
        <f t="shared" si="59"/>
        <v>0</v>
      </c>
      <c r="AP44" s="41">
        <f t="shared" si="60"/>
        <v>6.6772883524807078E-3</v>
      </c>
      <c r="AQ44" s="8">
        <f t="shared" si="61"/>
        <v>2.9982290577935942</v>
      </c>
      <c r="AR44" s="8">
        <f t="shared" si="62"/>
        <v>3.9999999999999996</v>
      </c>
      <c r="AS44" s="8"/>
      <c r="AT44" s="7">
        <f t="shared" si="63"/>
        <v>24.973327982162527</v>
      </c>
      <c r="AU44" s="7"/>
      <c r="AV44" s="7">
        <f t="shared" si="64"/>
        <v>75.670874712940545</v>
      </c>
      <c r="AW44" s="7"/>
      <c r="AX44" s="7">
        <f t="shared" si="65"/>
        <v>0.69833991284241836</v>
      </c>
      <c r="AY44" s="7"/>
      <c r="AZ44" s="11"/>
      <c r="BA44" s="11">
        <f t="shared" si="66"/>
        <v>6.4313333333333333E-2</v>
      </c>
      <c r="BB44" s="11">
        <f t="shared" si="67"/>
        <v>0.30945600000000001</v>
      </c>
      <c r="BC44" s="11"/>
      <c r="BD44" s="11">
        <f t="shared" si="69"/>
        <v>0.7962652769044275</v>
      </c>
      <c r="BE44" s="11"/>
      <c r="BF44" s="11">
        <f t="shared" si="68"/>
        <v>7.535177250633969E-3</v>
      </c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</row>
    <row r="45" spans="1:75" ht="15" thickBot="1">
      <c r="A45" s="42"/>
      <c r="B45" s="43"/>
      <c r="C45" s="70"/>
      <c r="D45" s="8"/>
      <c r="E45" s="67"/>
      <c r="F45" s="67"/>
      <c r="G45" s="44"/>
      <c r="H45" s="44"/>
      <c r="I45" s="60"/>
      <c r="J45" s="60"/>
      <c r="K45" s="67"/>
      <c r="L45" s="67"/>
      <c r="M45" s="67"/>
      <c r="N45" s="44"/>
      <c r="O45" s="44"/>
      <c r="P45" s="10"/>
      <c r="Q45" s="3"/>
      <c r="R45" s="24"/>
      <c r="S45" s="8"/>
      <c r="T45" s="44"/>
      <c r="U45" s="8"/>
      <c r="V45" s="75">
        <v>0.32</v>
      </c>
      <c r="W45" s="4" t="s">
        <v>124</v>
      </c>
      <c r="X45" s="8"/>
      <c r="Y45" s="8"/>
      <c r="Z45" s="8"/>
      <c r="AA45" s="8"/>
      <c r="AB45" s="8"/>
      <c r="AC45" s="8"/>
      <c r="AD45" s="8"/>
      <c r="AE45" s="8"/>
      <c r="AF45" s="24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8"/>
      <c r="AR45" s="8"/>
      <c r="AS45" s="8"/>
      <c r="AT45" s="7"/>
      <c r="AU45" s="7"/>
      <c r="AV45" s="7"/>
      <c r="AW45" s="7"/>
      <c r="AX45" s="7"/>
      <c r="AY45" s="7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</row>
    <row r="46" spans="1:75" ht="15" thickBot="1">
      <c r="A46" s="42"/>
      <c r="B46" s="43"/>
      <c r="C46" s="70"/>
      <c r="D46" s="8"/>
      <c r="E46" s="67"/>
      <c r="F46" s="67"/>
      <c r="G46" s="44"/>
      <c r="H46" s="44"/>
      <c r="I46" s="60"/>
      <c r="J46" s="60"/>
      <c r="K46" s="67"/>
      <c r="L46" s="67"/>
      <c r="M46" s="67"/>
      <c r="N46" s="44"/>
      <c r="O46" s="44"/>
      <c r="P46" s="10"/>
      <c r="Q46" s="3"/>
      <c r="R46" s="24"/>
      <c r="S46" s="8"/>
      <c r="T46" s="8"/>
      <c r="U46" s="8"/>
      <c r="V46" s="8"/>
      <c r="W46" s="8"/>
      <c r="X46" s="8"/>
      <c r="Y46" s="75">
        <v>-0.02</v>
      </c>
      <c r="Z46" s="8"/>
      <c r="AA46" s="8"/>
      <c r="AB46" s="8"/>
      <c r="AC46" s="8"/>
      <c r="AD46" s="8"/>
      <c r="AE46" s="8"/>
      <c r="AF46" s="24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8"/>
      <c r="AR46" s="8"/>
      <c r="AS46" s="8"/>
      <c r="AT46" s="7"/>
      <c r="AU46" s="7"/>
      <c r="AV46" s="7"/>
      <c r="AW46" s="7"/>
      <c r="AX46" s="7"/>
      <c r="AY46" s="7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</row>
    <row r="47" spans="1:75">
      <c r="A47" s="42"/>
      <c r="B47" s="43"/>
      <c r="C47" s="70"/>
      <c r="D47" s="8"/>
      <c r="E47" s="67">
        <v>6.6401111111111105E-3</v>
      </c>
      <c r="F47" s="67">
        <v>6.4313333333333333E-2</v>
      </c>
      <c r="G47" s="44">
        <v>50.603477777777783</v>
      </c>
      <c r="H47" s="44">
        <v>17.013966666666665</v>
      </c>
      <c r="I47" s="60">
        <v>1.9814856865571953</v>
      </c>
      <c r="J47" s="60">
        <v>10.701132081026692</v>
      </c>
      <c r="K47" s="67">
        <v>0.11734222222222221</v>
      </c>
      <c r="L47" s="67">
        <v>18.672133333333331</v>
      </c>
      <c r="M47" s="67">
        <v>3.5715555555555561E-3</v>
      </c>
      <c r="N47" s="44"/>
      <c r="O47" s="44">
        <v>0.30945600000000001</v>
      </c>
      <c r="P47" s="10">
        <f t="shared" si="36"/>
        <v>99.473518767583869</v>
      </c>
      <c r="Q47" s="3"/>
      <c r="R47" s="24">
        <f t="shared" si="37"/>
        <v>1.1050276437196056E-4</v>
      </c>
      <c r="S47" s="8">
        <f t="shared" si="38"/>
        <v>8.0526548635631351E-4</v>
      </c>
      <c r="T47" s="81">
        <f>2*G47/$T$2-2*Y46</f>
        <v>1.0326045797467225</v>
      </c>
      <c r="U47" s="8">
        <f t="shared" si="40"/>
        <v>0.22388271158190229</v>
      </c>
      <c r="V47" s="8">
        <f t="shared" si="41"/>
        <v>2.4816653347826356E-2</v>
      </c>
      <c r="W47" s="8">
        <f t="shared" si="42"/>
        <v>0.14894955850212535</v>
      </c>
      <c r="X47" s="8">
        <f t="shared" si="43"/>
        <v>1.6541658169346807E-3</v>
      </c>
      <c r="Y47" s="81">
        <f>L47/$Y$2-Y46</f>
        <v>0.48327778935633159</v>
      </c>
      <c r="Z47" s="8">
        <f t="shared" si="45"/>
        <v>6.3686796639721041E-5</v>
      </c>
      <c r="AA47" s="8">
        <f t="shared" si="46"/>
        <v>0</v>
      </c>
      <c r="AB47" s="8">
        <f t="shared" si="47"/>
        <v>4.1430499325236167E-3</v>
      </c>
      <c r="AC47" s="8">
        <f t="shared" si="48"/>
        <v>1.9203079633317346</v>
      </c>
      <c r="AD47" s="8">
        <f t="shared" si="49"/>
        <v>2.5618757039206881</v>
      </c>
      <c r="AE47" s="8"/>
      <c r="AF47" s="24">
        <f t="shared" si="50"/>
        <v>1.7253415410099313E-4</v>
      </c>
      <c r="AG47" s="41">
        <f t="shared" si="51"/>
        <v>1.2573060982216074E-3</v>
      </c>
      <c r="AH47" s="41">
        <f t="shared" si="52"/>
        <v>1.6122633555818919</v>
      </c>
      <c r="AI47" s="41">
        <f t="shared" si="53"/>
        <v>0.34956061488740109</v>
      </c>
      <c r="AJ47" s="41">
        <f t="shared" si="54"/>
        <v>3.8747630589332671E-2</v>
      </c>
      <c r="AK47" s="41">
        <f t="shared" si="55"/>
        <v>0.23256328677331742</v>
      </c>
      <c r="AL47" s="41">
        <f t="shared" si="56"/>
        <v>2.5827417222516291E-3</v>
      </c>
      <c r="AM47" s="41">
        <f t="shared" si="57"/>
        <v>0.75456867578192721</v>
      </c>
      <c r="AN47" s="41">
        <f t="shared" si="58"/>
        <v>9.9437762015159323E-5</v>
      </c>
      <c r="AO47" s="41">
        <f t="shared" si="59"/>
        <v>0</v>
      </c>
      <c r="AP47" s="41">
        <f t="shared" si="60"/>
        <v>6.468775867905072E-3</v>
      </c>
      <c r="AQ47" s="8">
        <f t="shared" si="61"/>
        <v>2.9982843592183643</v>
      </c>
      <c r="AR47" s="8">
        <f t="shared" si="62"/>
        <v>4</v>
      </c>
      <c r="AS47" s="8"/>
      <c r="AT47" s="7">
        <f t="shared" si="63"/>
        <v>17.818143735076383</v>
      </c>
      <c r="AU47" s="7"/>
      <c r="AV47" s="7">
        <f t="shared" si="64"/>
        <v>76.44050688306001</v>
      </c>
      <c r="AW47" s="7"/>
      <c r="AX47" s="7">
        <f t="shared" si="65"/>
        <v>0.14281633399049812</v>
      </c>
      <c r="AY47" s="7"/>
      <c r="AZ47" s="11"/>
      <c r="BA47" s="11">
        <f t="shared" si="66"/>
        <v>6.4313333333333333E-2</v>
      </c>
      <c r="BB47" s="11">
        <f t="shared" si="67"/>
        <v>0.30945600000000001</v>
      </c>
      <c r="BC47" s="11"/>
      <c r="BD47" s="11">
        <f t="shared" si="69"/>
        <v>0.27146616350296338</v>
      </c>
      <c r="BE47" s="11"/>
      <c r="BF47" s="11">
        <f t="shared" si="68"/>
        <v>2.2102202066647259E-2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</row>
    <row r="48" spans="1:75">
      <c r="A48" s="42"/>
      <c r="B48" s="43"/>
      <c r="C48" s="70"/>
      <c r="D48" s="8"/>
      <c r="E48" s="67">
        <v>6.6401111111111105E-3</v>
      </c>
      <c r="F48" s="67">
        <v>6.4313333333333333E-2</v>
      </c>
      <c r="G48" s="44">
        <v>50.603477777777783</v>
      </c>
      <c r="H48" s="44">
        <v>17.013966666666665</v>
      </c>
      <c r="I48" s="60">
        <v>1.9814856865571953</v>
      </c>
      <c r="J48" s="60">
        <v>10.701132081026692</v>
      </c>
      <c r="K48" s="67">
        <v>0.11734222222222221</v>
      </c>
      <c r="L48" s="67">
        <v>18.672133333333331</v>
      </c>
      <c r="M48" s="67">
        <v>3.5715555555555561E-3</v>
      </c>
      <c r="N48" s="44"/>
      <c r="O48" s="44">
        <v>0.30945600000000001</v>
      </c>
      <c r="P48" s="10">
        <f t="shared" si="36"/>
        <v>99.473518767583869</v>
      </c>
      <c r="Q48" s="3"/>
      <c r="R48" s="24">
        <f t="shared" si="37"/>
        <v>1.1050276437196056E-4</v>
      </c>
      <c r="S48" s="8">
        <f t="shared" si="38"/>
        <v>8.0526548635631351E-4</v>
      </c>
      <c r="T48" s="81">
        <f t="shared" si="39"/>
        <v>0.99260457974672245</v>
      </c>
      <c r="U48" s="8">
        <f t="shared" si="40"/>
        <v>0.22388271158190229</v>
      </c>
      <c r="V48" s="8">
        <f t="shared" si="41"/>
        <v>2.4816653347826356E-2</v>
      </c>
      <c r="W48" s="8">
        <f t="shared" si="42"/>
        <v>0.14894955850212535</v>
      </c>
      <c r="X48" s="8">
        <f t="shared" si="43"/>
        <v>1.6541658169346807E-3</v>
      </c>
      <c r="Y48" s="81">
        <f t="shared" si="44"/>
        <v>0.46327778935633157</v>
      </c>
      <c r="Z48" s="8">
        <f t="shared" si="45"/>
        <v>6.3686796639721041E-5</v>
      </c>
      <c r="AA48" s="8">
        <f t="shared" si="46"/>
        <v>0</v>
      </c>
      <c r="AB48" s="8">
        <f t="shared" si="47"/>
        <v>4.1430499325236167E-3</v>
      </c>
      <c r="AC48" s="8">
        <f t="shared" si="48"/>
        <v>1.8603079633317345</v>
      </c>
      <c r="AD48" s="8">
        <f t="shared" si="49"/>
        <v>2.481875703920688</v>
      </c>
      <c r="AE48" s="8"/>
      <c r="AF48" s="24">
        <f t="shared" si="50"/>
        <v>1.7809556570040356E-4</v>
      </c>
      <c r="AG48" s="41">
        <f t="shared" si="51"/>
        <v>1.297833707117908E-3</v>
      </c>
      <c r="AH48" s="41">
        <f t="shared" si="52"/>
        <v>1.5997651746679777</v>
      </c>
      <c r="AI48" s="41">
        <f t="shared" si="53"/>
        <v>0.36082824168547772</v>
      </c>
      <c r="AJ48" s="41">
        <f t="shared" si="54"/>
        <v>3.9996609513720284E-2</v>
      </c>
      <c r="AK48" s="41">
        <f t="shared" si="55"/>
        <v>0.24005965853459235</v>
      </c>
      <c r="AL48" s="41">
        <f t="shared" si="56"/>
        <v>2.6659930057279643E-3</v>
      </c>
      <c r="AM48" s="41">
        <f t="shared" si="57"/>
        <v>0.74665751975327177</v>
      </c>
      <c r="AN48" s="41">
        <f t="shared" si="58"/>
        <v>1.0264300752711062E-4</v>
      </c>
      <c r="AO48" s="41">
        <f t="shared" si="59"/>
        <v>0</v>
      </c>
      <c r="AP48" s="41">
        <f t="shared" si="60"/>
        <v>6.6772883524807078E-3</v>
      </c>
      <c r="AQ48" s="8">
        <f t="shared" si="61"/>
        <v>2.9982290577935942</v>
      </c>
      <c r="AR48" s="8">
        <f t="shared" si="62"/>
        <v>4</v>
      </c>
      <c r="AS48" s="8"/>
      <c r="AT48" s="7">
        <f t="shared" si="63"/>
        <v>18.404032099454305</v>
      </c>
      <c r="AU48" s="7"/>
      <c r="AV48" s="7">
        <f t="shared" si="64"/>
        <v>75.670874712940545</v>
      </c>
      <c r="AW48" s="7"/>
      <c r="AX48" s="7">
        <f t="shared" si="65"/>
        <v>0.14281633399049812</v>
      </c>
      <c r="AY48" s="7"/>
      <c r="AZ48" s="11"/>
      <c r="BA48" s="11">
        <f t="shared" si="66"/>
        <v>6.4313333333333333E-2</v>
      </c>
      <c r="BB48" s="11">
        <f t="shared" si="67"/>
        <v>0.30945600000000001</v>
      </c>
      <c r="BC48" s="11"/>
      <c r="BD48" s="11">
        <f t="shared" si="69"/>
        <v>0.28022168685244503</v>
      </c>
      <c r="BE48" s="11"/>
      <c r="BF48" s="11">
        <f t="shared" si="68"/>
        <v>2.141161901990616E-2</v>
      </c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</row>
    <row r="49" spans="1:75">
      <c r="A49" s="42"/>
      <c r="B49" s="43"/>
      <c r="C49" s="70"/>
      <c r="D49" s="8"/>
      <c r="E49" s="67">
        <v>6.6401111111111105E-3</v>
      </c>
      <c r="F49" s="67">
        <v>6.4313333333333333E-2</v>
      </c>
      <c r="G49" s="44">
        <v>50.603477777777783</v>
      </c>
      <c r="H49" s="44">
        <v>17.013966666666665</v>
      </c>
      <c r="I49" s="60">
        <v>1.9814856865571953</v>
      </c>
      <c r="J49" s="60">
        <v>10.701132081026692</v>
      </c>
      <c r="K49" s="67">
        <v>0.11734222222222221</v>
      </c>
      <c r="L49" s="67">
        <v>18.672133333333331</v>
      </c>
      <c r="M49" s="67">
        <v>3.5715555555555561E-3</v>
      </c>
      <c r="N49" s="44"/>
      <c r="O49" s="44">
        <v>0.30945600000000001</v>
      </c>
      <c r="P49" s="10">
        <f t="shared" si="36"/>
        <v>99.473518767583869</v>
      </c>
      <c r="Q49" s="3"/>
      <c r="R49" s="24">
        <f t="shared" si="37"/>
        <v>1.1050276437196056E-4</v>
      </c>
      <c r="S49" s="8">
        <f t="shared" si="38"/>
        <v>8.0526548635631351E-4</v>
      </c>
      <c r="T49" s="81">
        <f t="shared" si="39"/>
        <v>0.99260457974672245</v>
      </c>
      <c r="U49" s="8">
        <f t="shared" si="40"/>
        <v>0.22388271158190229</v>
      </c>
      <c r="V49" s="8">
        <f t="shared" si="41"/>
        <v>2.4816653347826356E-2</v>
      </c>
      <c r="W49" s="8">
        <f t="shared" si="42"/>
        <v>0.14894955850212535</v>
      </c>
      <c r="X49" s="8">
        <f t="shared" si="43"/>
        <v>1.6541658169346807E-3</v>
      </c>
      <c r="Y49" s="81">
        <f t="shared" si="44"/>
        <v>0.46327778935633157</v>
      </c>
      <c r="Z49" s="8">
        <f t="shared" si="45"/>
        <v>6.3686796639721041E-5</v>
      </c>
      <c r="AA49" s="8">
        <f t="shared" si="46"/>
        <v>0</v>
      </c>
      <c r="AB49" s="8">
        <f t="shared" si="47"/>
        <v>4.1430499325236167E-3</v>
      </c>
      <c r="AC49" s="8">
        <f t="shared" si="48"/>
        <v>1.8603079633317345</v>
      </c>
      <c r="AD49" s="8">
        <f t="shared" si="49"/>
        <v>2.481875703920688</v>
      </c>
      <c r="AE49" s="8"/>
      <c r="AF49" s="24">
        <f t="shared" si="50"/>
        <v>1.7809556570040356E-4</v>
      </c>
      <c r="AG49" s="41">
        <f t="shared" si="51"/>
        <v>1.297833707117908E-3</v>
      </c>
      <c r="AH49" s="41">
        <f t="shared" si="52"/>
        <v>1.5997651746679777</v>
      </c>
      <c r="AI49" s="41">
        <f t="shared" si="53"/>
        <v>0.36082824168547772</v>
      </c>
      <c r="AJ49" s="41">
        <f t="shared" si="54"/>
        <v>3.9996609513720284E-2</v>
      </c>
      <c r="AK49" s="41">
        <f t="shared" si="55"/>
        <v>0.24005965853459235</v>
      </c>
      <c r="AL49" s="41">
        <f t="shared" si="56"/>
        <v>2.6659930057279643E-3</v>
      </c>
      <c r="AM49" s="41">
        <f t="shared" si="57"/>
        <v>0.74665751975327177</v>
      </c>
      <c r="AN49" s="41">
        <f t="shared" si="58"/>
        <v>1.0264300752711062E-4</v>
      </c>
      <c r="AO49" s="41">
        <f t="shared" si="59"/>
        <v>0</v>
      </c>
      <c r="AP49" s="41">
        <f t="shared" si="60"/>
        <v>6.6772883524807078E-3</v>
      </c>
      <c r="AQ49" s="8">
        <f t="shared" si="61"/>
        <v>2.9982290577935942</v>
      </c>
      <c r="AR49" s="8">
        <f t="shared" si="62"/>
        <v>4</v>
      </c>
      <c r="AS49" s="8"/>
      <c r="AT49" s="7">
        <f t="shared" si="63"/>
        <v>18.404032099454305</v>
      </c>
      <c r="AU49" s="7"/>
      <c r="AV49" s="7">
        <f t="shared" si="64"/>
        <v>75.670874712940545</v>
      </c>
      <c r="AW49" s="7"/>
      <c r="AX49" s="7">
        <f t="shared" si="65"/>
        <v>0.14281633399049812</v>
      </c>
      <c r="AY49" s="7"/>
      <c r="AZ49" s="11"/>
      <c r="BA49" s="11">
        <f t="shared" si="66"/>
        <v>6.4313333333333333E-2</v>
      </c>
      <c r="BB49" s="11">
        <f t="shared" si="67"/>
        <v>0.30945600000000001</v>
      </c>
      <c r="BC49" s="11"/>
      <c r="BD49" s="11">
        <f t="shared" si="69"/>
        <v>0.28022168685244503</v>
      </c>
      <c r="BE49" s="11"/>
      <c r="BF49" s="11">
        <f t="shared" si="68"/>
        <v>2.141161901990616E-2</v>
      </c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</row>
    <row r="50" spans="1:75">
      <c r="A50" s="42"/>
      <c r="B50" s="43"/>
      <c r="C50" s="70"/>
      <c r="D50" s="8"/>
      <c r="E50" s="67">
        <v>6.6401111111111105E-3</v>
      </c>
      <c r="F50" s="67">
        <v>6.4313333333333333E-2</v>
      </c>
      <c r="G50" s="44">
        <v>50.603477777777783</v>
      </c>
      <c r="H50" s="44">
        <v>17.013966666666665</v>
      </c>
      <c r="I50" s="60">
        <v>1.9814856865571953</v>
      </c>
      <c r="J50" s="60">
        <v>10.701132081026692</v>
      </c>
      <c r="K50" s="67">
        <v>0.11734222222222221</v>
      </c>
      <c r="L50" s="67">
        <v>18.672133333333331</v>
      </c>
      <c r="M50" s="67">
        <v>3.5715555555555561E-3</v>
      </c>
      <c r="N50" s="44"/>
      <c r="O50" s="44">
        <v>0.30945600000000001</v>
      </c>
      <c r="P50" s="10">
        <f t="shared" si="36"/>
        <v>99.473518767583869</v>
      </c>
      <c r="Q50" s="3"/>
      <c r="R50" s="24">
        <f t="shared" si="37"/>
        <v>1.1050276437196056E-4</v>
      </c>
      <c r="S50" s="8">
        <f t="shared" si="38"/>
        <v>8.0526548635631351E-4</v>
      </c>
      <c r="T50" s="81">
        <f t="shared" si="39"/>
        <v>0.99260457974672245</v>
      </c>
      <c r="U50" s="8">
        <f t="shared" si="40"/>
        <v>0.22388271158190229</v>
      </c>
      <c r="V50" s="8">
        <f t="shared" si="41"/>
        <v>2.4816653347826356E-2</v>
      </c>
      <c r="W50" s="8">
        <f t="shared" si="42"/>
        <v>0.14894955850212535</v>
      </c>
      <c r="X50" s="8">
        <f t="shared" si="43"/>
        <v>1.6541658169346807E-3</v>
      </c>
      <c r="Y50" s="81">
        <f t="shared" si="44"/>
        <v>0.46327778935633157</v>
      </c>
      <c r="Z50" s="8">
        <f t="shared" si="45"/>
        <v>6.3686796639721041E-5</v>
      </c>
      <c r="AA50" s="8">
        <f t="shared" si="46"/>
        <v>0</v>
      </c>
      <c r="AB50" s="8">
        <f t="shared" si="47"/>
        <v>4.1430499325236167E-3</v>
      </c>
      <c r="AC50" s="8">
        <f t="shared" si="48"/>
        <v>1.8603079633317345</v>
      </c>
      <c r="AD50" s="8">
        <f t="shared" si="49"/>
        <v>2.481875703920688</v>
      </c>
      <c r="AE50" s="8"/>
      <c r="AF50" s="24">
        <f t="shared" si="50"/>
        <v>1.7809556570040356E-4</v>
      </c>
      <c r="AG50" s="41">
        <f t="shared" si="51"/>
        <v>1.297833707117908E-3</v>
      </c>
      <c r="AH50" s="41">
        <f t="shared" si="52"/>
        <v>1.5997651746679777</v>
      </c>
      <c r="AI50" s="41">
        <f t="shared" si="53"/>
        <v>0.36082824168547772</v>
      </c>
      <c r="AJ50" s="41">
        <f t="shared" si="54"/>
        <v>3.9996609513720284E-2</v>
      </c>
      <c r="AK50" s="41">
        <f t="shared" si="55"/>
        <v>0.24005965853459235</v>
      </c>
      <c r="AL50" s="41">
        <f t="shared" si="56"/>
        <v>2.6659930057279643E-3</v>
      </c>
      <c r="AM50" s="41">
        <f t="shared" si="57"/>
        <v>0.74665751975327177</v>
      </c>
      <c r="AN50" s="41">
        <f t="shared" si="58"/>
        <v>1.0264300752711062E-4</v>
      </c>
      <c r="AO50" s="41">
        <f t="shared" si="59"/>
        <v>0</v>
      </c>
      <c r="AP50" s="41">
        <f t="shared" si="60"/>
        <v>6.6772883524807078E-3</v>
      </c>
      <c r="AQ50" s="8">
        <f t="shared" si="61"/>
        <v>2.9982290577935942</v>
      </c>
      <c r="AR50" s="8">
        <f t="shared" si="62"/>
        <v>4</v>
      </c>
      <c r="AS50" s="8"/>
      <c r="AT50" s="7">
        <f t="shared" si="63"/>
        <v>18.404032099454305</v>
      </c>
      <c r="AU50" s="7"/>
      <c r="AV50" s="7">
        <f t="shared" si="64"/>
        <v>75.670874712940545</v>
      </c>
      <c r="AW50" s="7"/>
      <c r="AX50" s="7">
        <f t="shared" si="65"/>
        <v>0.14281633399049812</v>
      </c>
      <c r="AY50" s="7"/>
      <c r="AZ50" s="11"/>
      <c r="BA50" s="11">
        <f t="shared" si="66"/>
        <v>6.4313333333333333E-2</v>
      </c>
      <c r="BB50" s="11">
        <f t="shared" si="67"/>
        <v>0.30945600000000001</v>
      </c>
      <c r="BC50" s="11"/>
      <c r="BD50" s="11">
        <f t="shared" si="69"/>
        <v>0.28022168685244503</v>
      </c>
      <c r="BE50" s="11"/>
      <c r="BF50" s="11">
        <f t="shared" si="68"/>
        <v>2.141161901990616E-2</v>
      </c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</row>
    <row r="51" spans="1:75">
      <c r="A51" s="42"/>
      <c r="B51" s="43"/>
      <c r="C51" s="70"/>
      <c r="D51" s="8"/>
      <c r="E51" s="67">
        <v>6.6401111111111105E-3</v>
      </c>
      <c r="F51" s="67">
        <v>6.4313333333333333E-2</v>
      </c>
      <c r="G51" s="44">
        <v>50.603477777777783</v>
      </c>
      <c r="H51" s="44">
        <v>17.013966666666665</v>
      </c>
      <c r="I51" s="60">
        <v>1.9814856865571953</v>
      </c>
      <c r="J51" s="60">
        <v>10.701132081026692</v>
      </c>
      <c r="K51" s="67">
        <v>0.11734222222222221</v>
      </c>
      <c r="L51" s="67">
        <v>18.672133333333331</v>
      </c>
      <c r="M51" s="67">
        <v>3.5715555555555561E-3</v>
      </c>
      <c r="N51" s="44"/>
      <c r="O51" s="44">
        <v>0.30945600000000001</v>
      </c>
      <c r="P51" s="10">
        <f t="shared" ref="P51:P58" si="74">SUM(E51:O51)</f>
        <v>99.473518767583869</v>
      </c>
      <c r="Q51" s="3"/>
      <c r="R51" s="24">
        <f t="shared" ref="R51:R58" si="75">E51/$R$2</f>
        <v>1.1050276437196056E-4</v>
      </c>
      <c r="S51" s="8">
        <f t="shared" ref="S51:S58" si="76">F51/$S$2</f>
        <v>8.0526548635631351E-4</v>
      </c>
      <c r="T51" s="81">
        <f t="shared" ref="T51:T58" si="77">2*G51/$T$2</f>
        <v>0.99260457974672245</v>
      </c>
      <c r="U51" s="8">
        <f t="shared" ref="U51:U58" si="78">2*H51/$U$2</f>
        <v>0.22388271158190229</v>
      </c>
      <c r="V51" s="8">
        <f t="shared" ref="V51:V58" si="79">2*I51/$V$2</f>
        <v>2.4816653347826356E-2</v>
      </c>
      <c r="W51" s="8">
        <f t="shared" ref="W51:W58" si="80">J51/$W$2</f>
        <v>0.14894955850212535</v>
      </c>
      <c r="X51" s="8">
        <f t="shared" ref="X51:X58" si="81">K51/$X$2</f>
        <v>1.6541658169346807E-3</v>
      </c>
      <c r="Y51" s="81">
        <f t="shared" ref="Y51:Y58" si="82">L51/$Y$2</f>
        <v>0.46327778935633157</v>
      </c>
      <c r="Z51" s="8">
        <f t="shared" ref="Z51:Z58" si="83">M51/$Z$2</f>
        <v>6.3686796639721041E-5</v>
      </c>
      <c r="AA51" s="8">
        <f t="shared" ref="AA51:AA58" si="84">2*N51/$AA$2</f>
        <v>0</v>
      </c>
      <c r="AB51" s="8">
        <f t="shared" ref="AB51:AB58" si="85">O51/$AB$2</f>
        <v>4.1430499325236167E-3</v>
      </c>
      <c r="AC51" s="8">
        <f t="shared" ref="AC51:AC58" si="86">SUM(R51:AB51)</f>
        <v>1.8603079633317345</v>
      </c>
      <c r="AD51" s="8">
        <f t="shared" ref="AD51:AD58" si="87">IFERROR(2*R51+2*S51+(3/2)*T51+(3/2)*U51+(3/2)*V51+W51+X51+Y51+Z51+AB51+0.5*AA51,"NaN")</f>
        <v>2.481875703920688</v>
      </c>
      <c r="AE51" s="8"/>
      <c r="AF51" s="24">
        <f t="shared" ref="AF51:AF58" si="88">IFERROR(4*R51/$AD51,"NaN")</f>
        <v>1.7809556570040356E-4</v>
      </c>
      <c r="AG51" s="41">
        <f t="shared" ref="AG51:AG58" si="89">IFERROR(4*S51/$AD51,"NaN")</f>
        <v>1.297833707117908E-3</v>
      </c>
      <c r="AH51" s="41">
        <f t="shared" ref="AH51:AH58" si="90">IFERROR(4*T51/$AD51,"NaN")</f>
        <v>1.5997651746679777</v>
      </c>
      <c r="AI51" s="41">
        <f t="shared" ref="AI51:AI58" si="91">IFERROR(4*U51/$AD51,"NaN")</f>
        <v>0.36082824168547772</v>
      </c>
      <c r="AJ51" s="41">
        <f t="shared" ref="AJ51:AJ58" si="92">IFERROR(4*V51/$AD51,"NaN")</f>
        <v>3.9996609513720284E-2</v>
      </c>
      <c r="AK51" s="41">
        <f t="shared" ref="AK51:AK58" si="93">IFERROR(4*W51/$AD51,"NaN")</f>
        <v>0.24005965853459235</v>
      </c>
      <c r="AL51" s="41">
        <f t="shared" ref="AL51:AL58" si="94">IFERROR(4*X51/$AD51,"NaN")</f>
        <v>2.6659930057279643E-3</v>
      </c>
      <c r="AM51" s="41">
        <f t="shared" ref="AM51:AM58" si="95">IFERROR(4*Y51/$AD51,"NaN")</f>
        <v>0.74665751975327177</v>
      </c>
      <c r="AN51" s="41">
        <f t="shared" ref="AN51:AN58" si="96">IFERROR(4*Z51/$AD51,"NaN")</f>
        <v>1.0264300752711062E-4</v>
      </c>
      <c r="AO51" s="41">
        <f t="shared" ref="AO51:AO58" si="97">IFERROR(4*AA51/$AD51,"NaN")</f>
        <v>0</v>
      </c>
      <c r="AP51" s="41">
        <f t="shared" ref="AP51:AP58" si="98">IFERROR(4*AB51/$AD51,"NaN")</f>
        <v>6.6772883524807078E-3</v>
      </c>
      <c r="AQ51" s="8">
        <f t="shared" ref="AQ51:AQ58" si="99">IFERROR(SUM(AF51:AP51),"NaN")</f>
        <v>2.9982290577935942</v>
      </c>
      <c r="AR51" s="8">
        <f t="shared" ref="AR51:AR58" si="100">IFERROR(2*AF51+2*AG51+(3/2)*AH51+(3/2)*AI51+(3/2)*AJ51+AK51+AL51+AM51+AN51+AP51+0.5*AO51,"NaN")</f>
        <v>4</v>
      </c>
      <c r="AS51" s="8"/>
      <c r="AT51" s="7">
        <f t="shared" ref="AT51:AT58" si="101">IFERROR(AI51*100/(AI51+AH51),"NaN")</f>
        <v>18.404032099454305</v>
      </c>
      <c r="AU51" s="7"/>
      <c r="AV51" s="7">
        <f t="shared" ref="AV51:AV58" si="102">IFERROR(AM51*100/(AM51+AK51),"NaN")</f>
        <v>75.670874712940545</v>
      </c>
      <c r="AW51" s="7"/>
      <c r="AX51" s="7">
        <f t="shared" ref="AX51:AX58" si="103">AJ51/(AJ51+AK51)</f>
        <v>0.14281633399049812</v>
      </c>
      <c r="AY51" s="7"/>
      <c r="AZ51" s="11"/>
      <c r="BA51" s="11">
        <f t="shared" ref="BA51:BA58" si="104">F51</f>
        <v>6.4313333333333333E-2</v>
      </c>
      <c r="BB51" s="11">
        <f t="shared" ref="BB51:BB58" si="105">O51</f>
        <v>0.30945600000000001</v>
      </c>
      <c r="BC51" s="11"/>
      <c r="BD51" s="11">
        <f t="shared" ref="BD51:BD58" si="106">(AJ51+AK51)*3/AQ51</f>
        <v>0.28022168685244503</v>
      </c>
      <c r="BE51" s="11"/>
      <c r="BF51" s="11">
        <f t="shared" ref="BF51:BF58" si="107">0.006/BD51</f>
        <v>2.141161901990616E-2</v>
      </c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</row>
    <row r="52" spans="1:75">
      <c r="A52" s="42"/>
      <c r="B52" s="43"/>
      <c r="C52" s="70"/>
      <c r="D52" s="8"/>
      <c r="E52" s="67">
        <v>6.6401111111111105E-3</v>
      </c>
      <c r="F52" s="67">
        <v>6.4313333333333333E-2</v>
      </c>
      <c r="G52" s="44">
        <v>50.603477777777783</v>
      </c>
      <c r="H52" s="44">
        <v>17.013966666666665</v>
      </c>
      <c r="I52" s="60">
        <v>1.9814856865571953</v>
      </c>
      <c r="J52" s="60">
        <v>10.701132081026692</v>
      </c>
      <c r="K52" s="67">
        <v>0.11734222222222221</v>
      </c>
      <c r="L52" s="67">
        <v>18.672133333333331</v>
      </c>
      <c r="M52" s="67">
        <v>3.5715555555555561E-3</v>
      </c>
      <c r="N52" s="44"/>
      <c r="O52" s="44">
        <v>0.30945600000000001</v>
      </c>
      <c r="P52" s="10">
        <f t="shared" si="74"/>
        <v>99.473518767583869</v>
      </c>
      <c r="Q52" s="3"/>
      <c r="R52" s="24">
        <f t="shared" si="75"/>
        <v>1.1050276437196056E-4</v>
      </c>
      <c r="S52" s="8">
        <f t="shared" si="76"/>
        <v>8.0526548635631351E-4</v>
      </c>
      <c r="T52" s="81">
        <f t="shared" si="77"/>
        <v>0.99260457974672245</v>
      </c>
      <c r="U52" s="8">
        <f t="shared" si="78"/>
        <v>0.22388271158190229</v>
      </c>
      <c r="V52" s="8">
        <f t="shared" si="79"/>
        <v>2.4816653347826356E-2</v>
      </c>
      <c r="W52" s="8">
        <f t="shared" si="80"/>
        <v>0.14894955850212535</v>
      </c>
      <c r="X52" s="8">
        <f t="shared" si="81"/>
        <v>1.6541658169346807E-3</v>
      </c>
      <c r="Y52" s="81">
        <f t="shared" si="82"/>
        <v>0.46327778935633157</v>
      </c>
      <c r="Z52" s="8">
        <f t="shared" si="83"/>
        <v>6.3686796639721041E-5</v>
      </c>
      <c r="AA52" s="8">
        <f t="shared" si="84"/>
        <v>0</v>
      </c>
      <c r="AB52" s="8">
        <f t="shared" si="85"/>
        <v>4.1430499325236167E-3</v>
      </c>
      <c r="AC52" s="8">
        <f t="shared" si="86"/>
        <v>1.8603079633317345</v>
      </c>
      <c r="AD52" s="8">
        <f t="shared" si="87"/>
        <v>2.481875703920688</v>
      </c>
      <c r="AE52" s="8"/>
      <c r="AF52" s="24">
        <f t="shared" si="88"/>
        <v>1.7809556570040356E-4</v>
      </c>
      <c r="AG52" s="41">
        <f t="shared" si="89"/>
        <v>1.297833707117908E-3</v>
      </c>
      <c r="AH52" s="41">
        <f t="shared" si="90"/>
        <v>1.5997651746679777</v>
      </c>
      <c r="AI52" s="41">
        <f t="shared" si="91"/>
        <v>0.36082824168547772</v>
      </c>
      <c r="AJ52" s="41">
        <f t="shared" si="92"/>
        <v>3.9996609513720284E-2</v>
      </c>
      <c r="AK52" s="41">
        <f t="shared" si="93"/>
        <v>0.24005965853459235</v>
      </c>
      <c r="AL52" s="41">
        <f t="shared" si="94"/>
        <v>2.6659930057279643E-3</v>
      </c>
      <c r="AM52" s="41">
        <f t="shared" si="95"/>
        <v>0.74665751975327177</v>
      </c>
      <c r="AN52" s="41">
        <f t="shared" si="96"/>
        <v>1.0264300752711062E-4</v>
      </c>
      <c r="AO52" s="41">
        <f t="shared" si="97"/>
        <v>0</v>
      </c>
      <c r="AP52" s="41">
        <f t="shared" si="98"/>
        <v>6.6772883524807078E-3</v>
      </c>
      <c r="AQ52" s="8">
        <f t="shared" si="99"/>
        <v>2.9982290577935942</v>
      </c>
      <c r="AR52" s="8">
        <f t="shared" si="100"/>
        <v>4</v>
      </c>
      <c r="AS52" s="8"/>
      <c r="AT52" s="7">
        <f t="shared" si="101"/>
        <v>18.404032099454305</v>
      </c>
      <c r="AU52" s="7"/>
      <c r="AV52" s="7">
        <f t="shared" si="102"/>
        <v>75.670874712940545</v>
      </c>
      <c r="AW52" s="7"/>
      <c r="AX52" s="7">
        <f t="shared" si="103"/>
        <v>0.14281633399049812</v>
      </c>
      <c r="AY52" s="7"/>
      <c r="AZ52" s="11"/>
      <c r="BA52" s="11">
        <f t="shared" si="104"/>
        <v>6.4313333333333333E-2</v>
      </c>
      <c r="BB52" s="11">
        <f t="shared" si="105"/>
        <v>0.30945600000000001</v>
      </c>
      <c r="BC52" s="11"/>
      <c r="BD52" s="11">
        <f t="shared" si="106"/>
        <v>0.28022168685244503</v>
      </c>
      <c r="BE52" s="11"/>
      <c r="BF52" s="11">
        <f t="shared" si="107"/>
        <v>2.141161901990616E-2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</row>
    <row r="53" spans="1:75">
      <c r="A53" s="42"/>
      <c r="B53" s="43"/>
      <c r="C53" s="70"/>
      <c r="D53" s="8"/>
      <c r="E53" s="67">
        <v>6.6401111111111105E-3</v>
      </c>
      <c r="F53" s="67">
        <v>6.4313333333333333E-2</v>
      </c>
      <c r="G53" s="44">
        <v>50.603477777777783</v>
      </c>
      <c r="H53" s="44">
        <v>17.013966666666665</v>
      </c>
      <c r="I53" s="60">
        <v>1.9814856865571953</v>
      </c>
      <c r="J53" s="60">
        <v>10.701132081026692</v>
      </c>
      <c r="K53" s="67">
        <v>0.11734222222222221</v>
      </c>
      <c r="L53" s="67">
        <v>18.672133333333331</v>
      </c>
      <c r="M53" s="67">
        <v>3.5715555555555561E-3</v>
      </c>
      <c r="N53" s="44"/>
      <c r="O53" s="44">
        <v>0.30945600000000001</v>
      </c>
      <c r="P53" s="10">
        <f t="shared" si="74"/>
        <v>99.473518767583869</v>
      </c>
      <c r="Q53" s="3"/>
      <c r="R53" s="24">
        <f t="shared" si="75"/>
        <v>1.1050276437196056E-4</v>
      </c>
      <c r="S53" s="8">
        <f t="shared" si="76"/>
        <v>8.0526548635631351E-4</v>
      </c>
      <c r="T53" s="81">
        <f t="shared" si="77"/>
        <v>0.99260457974672245</v>
      </c>
      <c r="U53" s="8">
        <f t="shared" si="78"/>
        <v>0.22388271158190229</v>
      </c>
      <c r="V53" s="8">
        <f t="shared" si="79"/>
        <v>2.4816653347826356E-2</v>
      </c>
      <c r="W53" s="8">
        <f t="shared" si="80"/>
        <v>0.14894955850212535</v>
      </c>
      <c r="X53" s="8">
        <f t="shared" si="81"/>
        <v>1.6541658169346807E-3</v>
      </c>
      <c r="Y53" s="81">
        <f t="shared" si="82"/>
        <v>0.46327778935633157</v>
      </c>
      <c r="Z53" s="8">
        <f t="shared" si="83"/>
        <v>6.3686796639721041E-5</v>
      </c>
      <c r="AA53" s="8">
        <f t="shared" si="84"/>
        <v>0</v>
      </c>
      <c r="AB53" s="8">
        <f t="shared" si="85"/>
        <v>4.1430499325236167E-3</v>
      </c>
      <c r="AC53" s="8">
        <f t="shared" si="86"/>
        <v>1.8603079633317345</v>
      </c>
      <c r="AD53" s="8">
        <f t="shared" si="87"/>
        <v>2.481875703920688</v>
      </c>
      <c r="AE53" s="8"/>
      <c r="AF53" s="24">
        <f t="shared" si="88"/>
        <v>1.7809556570040356E-4</v>
      </c>
      <c r="AG53" s="41">
        <f t="shared" si="89"/>
        <v>1.297833707117908E-3</v>
      </c>
      <c r="AH53" s="41">
        <f t="shared" si="90"/>
        <v>1.5997651746679777</v>
      </c>
      <c r="AI53" s="41">
        <f t="shared" si="91"/>
        <v>0.36082824168547772</v>
      </c>
      <c r="AJ53" s="41">
        <f t="shared" si="92"/>
        <v>3.9996609513720284E-2</v>
      </c>
      <c r="AK53" s="41">
        <f t="shared" si="93"/>
        <v>0.24005965853459235</v>
      </c>
      <c r="AL53" s="41">
        <f t="shared" si="94"/>
        <v>2.6659930057279643E-3</v>
      </c>
      <c r="AM53" s="41">
        <f t="shared" si="95"/>
        <v>0.74665751975327177</v>
      </c>
      <c r="AN53" s="41">
        <f t="shared" si="96"/>
        <v>1.0264300752711062E-4</v>
      </c>
      <c r="AO53" s="41">
        <f t="shared" si="97"/>
        <v>0</v>
      </c>
      <c r="AP53" s="41">
        <f t="shared" si="98"/>
        <v>6.6772883524807078E-3</v>
      </c>
      <c r="AQ53" s="8">
        <f t="shared" si="99"/>
        <v>2.9982290577935942</v>
      </c>
      <c r="AR53" s="8">
        <f t="shared" si="100"/>
        <v>4</v>
      </c>
      <c r="AS53" s="8"/>
      <c r="AT53" s="7">
        <f t="shared" si="101"/>
        <v>18.404032099454305</v>
      </c>
      <c r="AU53" s="7"/>
      <c r="AV53" s="7">
        <f t="shared" si="102"/>
        <v>75.670874712940545</v>
      </c>
      <c r="AW53" s="7"/>
      <c r="AX53" s="7">
        <f t="shared" si="103"/>
        <v>0.14281633399049812</v>
      </c>
      <c r="AY53" s="7"/>
      <c r="AZ53" s="11"/>
      <c r="BA53" s="11">
        <f t="shared" si="104"/>
        <v>6.4313333333333333E-2</v>
      </c>
      <c r="BB53" s="11">
        <f t="shared" si="105"/>
        <v>0.30945600000000001</v>
      </c>
      <c r="BC53" s="11"/>
      <c r="BD53" s="11">
        <f t="shared" si="106"/>
        <v>0.28022168685244503</v>
      </c>
      <c r="BE53" s="11"/>
      <c r="BF53" s="11">
        <f t="shared" si="107"/>
        <v>2.141161901990616E-2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</row>
    <row r="54" spans="1:75">
      <c r="A54" s="42"/>
      <c r="B54" s="43"/>
      <c r="C54" s="70"/>
      <c r="D54" s="8"/>
      <c r="E54" s="67">
        <v>6.6401111111111105E-3</v>
      </c>
      <c r="F54" s="67">
        <v>6.4313333333333333E-2</v>
      </c>
      <c r="G54" s="44">
        <v>50.603477777777783</v>
      </c>
      <c r="H54" s="44">
        <v>17.013966666666665</v>
      </c>
      <c r="I54" s="60">
        <v>1.9814856865571953</v>
      </c>
      <c r="J54" s="60">
        <v>10.701132081026692</v>
      </c>
      <c r="K54" s="67">
        <v>0.11734222222222221</v>
      </c>
      <c r="L54" s="67">
        <v>18.672133333333331</v>
      </c>
      <c r="M54" s="67">
        <v>3.5715555555555561E-3</v>
      </c>
      <c r="N54" s="44"/>
      <c r="O54" s="44">
        <v>0.30945600000000001</v>
      </c>
      <c r="P54" s="10">
        <f t="shared" si="74"/>
        <v>99.473518767583869</v>
      </c>
      <c r="Q54" s="3"/>
      <c r="R54" s="24">
        <f t="shared" si="75"/>
        <v>1.1050276437196056E-4</v>
      </c>
      <c r="S54" s="8">
        <f t="shared" si="76"/>
        <v>8.0526548635631351E-4</v>
      </c>
      <c r="T54" s="81">
        <f t="shared" si="77"/>
        <v>0.99260457974672245</v>
      </c>
      <c r="U54" s="8">
        <f t="shared" si="78"/>
        <v>0.22388271158190229</v>
      </c>
      <c r="V54" s="8">
        <f t="shared" si="79"/>
        <v>2.4816653347826356E-2</v>
      </c>
      <c r="W54" s="8">
        <f t="shared" si="80"/>
        <v>0.14894955850212535</v>
      </c>
      <c r="X54" s="8">
        <f t="shared" si="81"/>
        <v>1.6541658169346807E-3</v>
      </c>
      <c r="Y54" s="81">
        <f t="shared" si="82"/>
        <v>0.46327778935633157</v>
      </c>
      <c r="Z54" s="8">
        <f t="shared" si="83"/>
        <v>6.3686796639721041E-5</v>
      </c>
      <c r="AA54" s="8">
        <f t="shared" si="84"/>
        <v>0</v>
      </c>
      <c r="AB54" s="8">
        <f t="shared" si="85"/>
        <v>4.1430499325236167E-3</v>
      </c>
      <c r="AC54" s="8">
        <f t="shared" si="86"/>
        <v>1.8603079633317345</v>
      </c>
      <c r="AD54" s="8">
        <f t="shared" si="87"/>
        <v>2.481875703920688</v>
      </c>
      <c r="AE54" s="8"/>
      <c r="AF54" s="24">
        <f t="shared" si="88"/>
        <v>1.7809556570040356E-4</v>
      </c>
      <c r="AG54" s="41">
        <f t="shared" si="89"/>
        <v>1.297833707117908E-3</v>
      </c>
      <c r="AH54" s="41">
        <f t="shared" si="90"/>
        <v>1.5997651746679777</v>
      </c>
      <c r="AI54" s="41">
        <f t="shared" si="91"/>
        <v>0.36082824168547772</v>
      </c>
      <c r="AJ54" s="41">
        <f t="shared" si="92"/>
        <v>3.9996609513720284E-2</v>
      </c>
      <c r="AK54" s="41">
        <f t="shared" si="93"/>
        <v>0.24005965853459235</v>
      </c>
      <c r="AL54" s="41">
        <f t="shared" si="94"/>
        <v>2.6659930057279643E-3</v>
      </c>
      <c r="AM54" s="41">
        <f t="shared" si="95"/>
        <v>0.74665751975327177</v>
      </c>
      <c r="AN54" s="41">
        <f t="shared" si="96"/>
        <v>1.0264300752711062E-4</v>
      </c>
      <c r="AO54" s="41">
        <f t="shared" si="97"/>
        <v>0</v>
      </c>
      <c r="AP54" s="41">
        <f t="shared" si="98"/>
        <v>6.6772883524807078E-3</v>
      </c>
      <c r="AQ54" s="8">
        <f t="shared" si="99"/>
        <v>2.9982290577935942</v>
      </c>
      <c r="AR54" s="8">
        <f t="shared" si="100"/>
        <v>4</v>
      </c>
      <c r="AS54" s="8"/>
      <c r="AT54" s="7">
        <f t="shared" si="101"/>
        <v>18.404032099454305</v>
      </c>
      <c r="AU54" s="7"/>
      <c r="AV54" s="7">
        <f t="shared" si="102"/>
        <v>75.670874712940545</v>
      </c>
      <c r="AW54" s="7"/>
      <c r="AX54" s="7">
        <f t="shared" si="103"/>
        <v>0.14281633399049812</v>
      </c>
      <c r="AY54" s="7"/>
      <c r="AZ54" s="11"/>
      <c r="BA54" s="11">
        <f t="shared" si="104"/>
        <v>6.4313333333333333E-2</v>
      </c>
      <c r="BB54" s="11">
        <f t="shared" si="105"/>
        <v>0.30945600000000001</v>
      </c>
      <c r="BC54" s="11"/>
      <c r="BD54" s="11">
        <f t="shared" si="106"/>
        <v>0.28022168685244503</v>
      </c>
      <c r="BE54" s="11"/>
      <c r="BF54" s="11">
        <f t="shared" si="107"/>
        <v>2.141161901990616E-2</v>
      </c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</row>
    <row r="55" spans="1:75">
      <c r="A55" s="42"/>
      <c r="B55" s="43"/>
      <c r="C55" s="70"/>
      <c r="D55" s="8"/>
      <c r="E55" s="67">
        <v>6.6401111111111105E-3</v>
      </c>
      <c r="F55" s="67">
        <v>6.4313333333333333E-2</v>
      </c>
      <c r="G55" s="44">
        <v>50.603477777777783</v>
      </c>
      <c r="H55" s="44">
        <v>17.013966666666665</v>
      </c>
      <c r="I55" s="60">
        <v>1.9814856865571953</v>
      </c>
      <c r="J55" s="60">
        <v>10.701132081026692</v>
      </c>
      <c r="K55" s="67">
        <v>0.11734222222222221</v>
      </c>
      <c r="L55" s="67">
        <v>18.672133333333331</v>
      </c>
      <c r="M55" s="67">
        <v>3.5715555555555561E-3</v>
      </c>
      <c r="N55" s="44"/>
      <c r="O55" s="44">
        <v>0.30945600000000001</v>
      </c>
      <c r="P55" s="10">
        <f t="shared" si="74"/>
        <v>99.473518767583869</v>
      </c>
      <c r="Q55" s="3"/>
      <c r="R55" s="24">
        <f t="shared" si="75"/>
        <v>1.1050276437196056E-4</v>
      </c>
      <c r="S55" s="8">
        <f t="shared" si="76"/>
        <v>8.0526548635631351E-4</v>
      </c>
      <c r="T55" s="81">
        <f t="shared" si="77"/>
        <v>0.99260457974672245</v>
      </c>
      <c r="U55" s="8">
        <f t="shared" si="78"/>
        <v>0.22388271158190229</v>
      </c>
      <c r="V55" s="8">
        <f t="shared" si="79"/>
        <v>2.4816653347826356E-2</v>
      </c>
      <c r="W55" s="8">
        <f t="shared" si="80"/>
        <v>0.14894955850212535</v>
      </c>
      <c r="X55" s="8">
        <f t="shared" si="81"/>
        <v>1.6541658169346807E-3</v>
      </c>
      <c r="Y55" s="81">
        <f t="shared" si="82"/>
        <v>0.46327778935633157</v>
      </c>
      <c r="Z55" s="8">
        <f t="shared" si="83"/>
        <v>6.3686796639721041E-5</v>
      </c>
      <c r="AA55" s="8">
        <f t="shared" si="84"/>
        <v>0</v>
      </c>
      <c r="AB55" s="8">
        <f t="shared" si="85"/>
        <v>4.1430499325236167E-3</v>
      </c>
      <c r="AC55" s="8">
        <f t="shared" si="86"/>
        <v>1.8603079633317345</v>
      </c>
      <c r="AD55" s="8">
        <f t="shared" si="87"/>
        <v>2.481875703920688</v>
      </c>
      <c r="AE55" s="8"/>
      <c r="AF55" s="24">
        <f t="shared" si="88"/>
        <v>1.7809556570040356E-4</v>
      </c>
      <c r="AG55" s="41">
        <f t="shared" si="89"/>
        <v>1.297833707117908E-3</v>
      </c>
      <c r="AH55" s="41">
        <f t="shared" si="90"/>
        <v>1.5997651746679777</v>
      </c>
      <c r="AI55" s="41">
        <f t="shared" si="91"/>
        <v>0.36082824168547772</v>
      </c>
      <c r="AJ55" s="41">
        <f t="shared" si="92"/>
        <v>3.9996609513720284E-2</v>
      </c>
      <c r="AK55" s="41">
        <f t="shared" si="93"/>
        <v>0.24005965853459235</v>
      </c>
      <c r="AL55" s="41">
        <f t="shared" si="94"/>
        <v>2.6659930057279643E-3</v>
      </c>
      <c r="AM55" s="41">
        <f t="shared" si="95"/>
        <v>0.74665751975327177</v>
      </c>
      <c r="AN55" s="41">
        <f t="shared" si="96"/>
        <v>1.0264300752711062E-4</v>
      </c>
      <c r="AO55" s="41">
        <f t="shared" si="97"/>
        <v>0</v>
      </c>
      <c r="AP55" s="41">
        <f t="shared" si="98"/>
        <v>6.6772883524807078E-3</v>
      </c>
      <c r="AQ55" s="8">
        <f t="shared" si="99"/>
        <v>2.9982290577935942</v>
      </c>
      <c r="AR55" s="8">
        <f t="shared" si="100"/>
        <v>4</v>
      </c>
      <c r="AS55" s="8"/>
      <c r="AT55" s="7">
        <f t="shared" si="101"/>
        <v>18.404032099454305</v>
      </c>
      <c r="AU55" s="7"/>
      <c r="AV55" s="7">
        <f t="shared" si="102"/>
        <v>75.670874712940545</v>
      </c>
      <c r="AW55" s="7"/>
      <c r="AX55" s="7">
        <f t="shared" si="103"/>
        <v>0.14281633399049812</v>
      </c>
      <c r="AY55" s="7"/>
      <c r="AZ55" s="11"/>
      <c r="BA55" s="11">
        <f t="shared" si="104"/>
        <v>6.4313333333333333E-2</v>
      </c>
      <c r="BB55" s="11">
        <f t="shared" si="105"/>
        <v>0.30945600000000001</v>
      </c>
      <c r="BC55" s="11"/>
      <c r="BD55" s="11">
        <f t="shared" si="106"/>
        <v>0.28022168685244503</v>
      </c>
      <c r="BE55" s="11"/>
      <c r="BF55" s="11">
        <f t="shared" si="107"/>
        <v>2.141161901990616E-2</v>
      </c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</row>
    <row r="56" spans="1:75">
      <c r="A56" s="42"/>
      <c r="B56" s="43"/>
      <c r="C56" s="70"/>
      <c r="D56" s="8"/>
      <c r="E56" s="67">
        <v>6.6401111111111105E-3</v>
      </c>
      <c r="F56" s="67">
        <v>6.4313333333333333E-2</v>
      </c>
      <c r="G56" s="44">
        <v>50.603477777777783</v>
      </c>
      <c r="H56" s="44">
        <v>17.013966666666665</v>
      </c>
      <c r="I56" s="60">
        <v>1.9814856865571953</v>
      </c>
      <c r="J56" s="60">
        <v>10.701132081026692</v>
      </c>
      <c r="K56" s="67">
        <v>0.11734222222222221</v>
      </c>
      <c r="L56" s="67">
        <v>18.672133333333331</v>
      </c>
      <c r="M56" s="67">
        <v>3.5715555555555561E-3</v>
      </c>
      <c r="N56" s="44"/>
      <c r="O56" s="44">
        <v>0.30945600000000001</v>
      </c>
      <c r="P56" s="10">
        <f t="shared" si="74"/>
        <v>99.473518767583869</v>
      </c>
      <c r="Q56" s="3"/>
      <c r="R56" s="24">
        <f t="shared" si="75"/>
        <v>1.1050276437196056E-4</v>
      </c>
      <c r="S56" s="8">
        <f t="shared" si="76"/>
        <v>8.0526548635631351E-4</v>
      </c>
      <c r="T56" s="81">
        <f t="shared" si="77"/>
        <v>0.99260457974672245</v>
      </c>
      <c r="U56" s="8">
        <f t="shared" si="78"/>
        <v>0.22388271158190229</v>
      </c>
      <c r="V56" s="8">
        <f t="shared" si="79"/>
        <v>2.4816653347826356E-2</v>
      </c>
      <c r="W56" s="8">
        <f t="shared" si="80"/>
        <v>0.14894955850212535</v>
      </c>
      <c r="X56" s="8">
        <f t="shared" si="81"/>
        <v>1.6541658169346807E-3</v>
      </c>
      <c r="Y56" s="81">
        <f t="shared" si="82"/>
        <v>0.46327778935633157</v>
      </c>
      <c r="Z56" s="8">
        <f t="shared" si="83"/>
        <v>6.3686796639721041E-5</v>
      </c>
      <c r="AA56" s="8">
        <f t="shared" si="84"/>
        <v>0</v>
      </c>
      <c r="AB56" s="8">
        <f t="shared" si="85"/>
        <v>4.1430499325236167E-3</v>
      </c>
      <c r="AC56" s="8">
        <f t="shared" si="86"/>
        <v>1.8603079633317345</v>
      </c>
      <c r="AD56" s="8">
        <f t="shared" si="87"/>
        <v>2.481875703920688</v>
      </c>
      <c r="AE56" s="8"/>
      <c r="AF56" s="24">
        <f t="shared" si="88"/>
        <v>1.7809556570040356E-4</v>
      </c>
      <c r="AG56" s="41">
        <f t="shared" si="89"/>
        <v>1.297833707117908E-3</v>
      </c>
      <c r="AH56" s="41">
        <f t="shared" si="90"/>
        <v>1.5997651746679777</v>
      </c>
      <c r="AI56" s="41">
        <f t="shared" si="91"/>
        <v>0.36082824168547772</v>
      </c>
      <c r="AJ56" s="41">
        <f t="shared" si="92"/>
        <v>3.9996609513720284E-2</v>
      </c>
      <c r="AK56" s="41">
        <f t="shared" si="93"/>
        <v>0.24005965853459235</v>
      </c>
      <c r="AL56" s="41">
        <f t="shared" si="94"/>
        <v>2.6659930057279643E-3</v>
      </c>
      <c r="AM56" s="41">
        <f t="shared" si="95"/>
        <v>0.74665751975327177</v>
      </c>
      <c r="AN56" s="41">
        <f t="shared" si="96"/>
        <v>1.0264300752711062E-4</v>
      </c>
      <c r="AO56" s="41">
        <f t="shared" si="97"/>
        <v>0</v>
      </c>
      <c r="AP56" s="41">
        <f t="shared" si="98"/>
        <v>6.6772883524807078E-3</v>
      </c>
      <c r="AQ56" s="8">
        <f t="shared" si="99"/>
        <v>2.9982290577935942</v>
      </c>
      <c r="AR56" s="8">
        <f t="shared" si="100"/>
        <v>4</v>
      </c>
      <c r="AS56" s="8"/>
      <c r="AT56" s="7">
        <f t="shared" si="101"/>
        <v>18.404032099454305</v>
      </c>
      <c r="AU56" s="7"/>
      <c r="AV56" s="7">
        <f t="shared" si="102"/>
        <v>75.670874712940545</v>
      </c>
      <c r="AW56" s="7"/>
      <c r="AX56" s="7">
        <f t="shared" si="103"/>
        <v>0.14281633399049812</v>
      </c>
      <c r="AY56" s="7"/>
      <c r="AZ56" s="11"/>
      <c r="BA56" s="11">
        <f t="shared" si="104"/>
        <v>6.4313333333333333E-2</v>
      </c>
      <c r="BB56" s="11">
        <f t="shared" si="105"/>
        <v>0.30945600000000001</v>
      </c>
      <c r="BC56" s="11"/>
      <c r="BD56" s="11">
        <f t="shared" si="106"/>
        <v>0.28022168685244503</v>
      </c>
      <c r="BE56" s="11"/>
      <c r="BF56" s="11">
        <f t="shared" si="107"/>
        <v>2.141161901990616E-2</v>
      </c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</row>
    <row r="57" spans="1:75">
      <c r="A57" s="42"/>
      <c r="B57" s="43"/>
      <c r="C57" s="70"/>
      <c r="D57" s="8"/>
      <c r="E57" s="67">
        <v>6.6401111111111105E-3</v>
      </c>
      <c r="F57" s="67">
        <v>6.4313333333333333E-2</v>
      </c>
      <c r="G57" s="44">
        <v>50.603477777777783</v>
      </c>
      <c r="H57" s="44">
        <v>17.013966666666665</v>
      </c>
      <c r="I57" s="60">
        <v>1.9814856865571953</v>
      </c>
      <c r="J57" s="60">
        <v>10.701132081026692</v>
      </c>
      <c r="K57" s="67">
        <v>0.11734222222222221</v>
      </c>
      <c r="L57" s="67">
        <v>18.672133333333331</v>
      </c>
      <c r="M57" s="67">
        <v>3.5715555555555561E-3</v>
      </c>
      <c r="N57" s="44"/>
      <c r="O57" s="44">
        <v>0.30945600000000001</v>
      </c>
      <c r="P57" s="10">
        <f t="shared" si="74"/>
        <v>99.473518767583869</v>
      </c>
      <c r="Q57" s="3"/>
      <c r="R57" s="24">
        <f t="shared" si="75"/>
        <v>1.1050276437196056E-4</v>
      </c>
      <c r="S57" s="8">
        <f t="shared" si="76"/>
        <v>8.0526548635631351E-4</v>
      </c>
      <c r="T57" s="81">
        <f t="shared" si="77"/>
        <v>0.99260457974672245</v>
      </c>
      <c r="U57" s="8">
        <f t="shared" si="78"/>
        <v>0.22388271158190229</v>
      </c>
      <c r="V57" s="8">
        <f t="shared" si="79"/>
        <v>2.4816653347826356E-2</v>
      </c>
      <c r="W57" s="8">
        <f t="shared" si="80"/>
        <v>0.14894955850212535</v>
      </c>
      <c r="X57" s="8">
        <f t="shared" si="81"/>
        <v>1.6541658169346807E-3</v>
      </c>
      <c r="Y57" s="81">
        <f t="shared" si="82"/>
        <v>0.46327778935633157</v>
      </c>
      <c r="Z57" s="8">
        <f t="shared" si="83"/>
        <v>6.3686796639721041E-5</v>
      </c>
      <c r="AA57" s="8">
        <f t="shared" si="84"/>
        <v>0</v>
      </c>
      <c r="AB57" s="8">
        <f t="shared" si="85"/>
        <v>4.1430499325236167E-3</v>
      </c>
      <c r="AC57" s="8">
        <f t="shared" si="86"/>
        <v>1.8603079633317345</v>
      </c>
      <c r="AD57" s="8">
        <f t="shared" si="87"/>
        <v>2.481875703920688</v>
      </c>
      <c r="AE57" s="8"/>
      <c r="AF57" s="24">
        <f t="shared" si="88"/>
        <v>1.7809556570040356E-4</v>
      </c>
      <c r="AG57" s="41">
        <f t="shared" si="89"/>
        <v>1.297833707117908E-3</v>
      </c>
      <c r="AH57" s="41">
        <f t="shared" si="90"/>
        <v>1.5997651746679777</v>
      </c>
      <c r="AI57" s="41">
        <f t="shared" si="91"/>
        <v>0.36082824168547772</v>
      </c>
      <c r="AJ57" s="41">
        <f t="shared" si="92"/>
        <v>3.9996609513720284E-2</v>
      </c>
      <c r="AK57" s="41">
        <f t="shared" si="93"/>
        <v>0.24005965853459235</v>
      </c>
      <c r="AL57" s="41">
        <f t="shared" si="94"/>
        <v>2.6659930057279643E-3</v>
      </c>
      <c r="AM57" s="41">
        <f t="shared" si="95"/>
        <v>0.74665751975327177</v>
      </c>
      <c r="AN57" s="41">
        <f t="shared" si="96"/>
        <v>1.0264300752711062E-4</v>
      </c>
      <c r="AO57" s="41">
        <f t="shared" si="97"/>
        <v>0</v>
      </c>
      <c r="AP57" s="41">
        <f t="shared" si="98"/>
        <v>6.6772883524807078E-3</v>
      </c>
      <c r="AQ57" s="8">
        <f t="shared" si="99"/>
        <v>2.9982290577935942</v>
      </c>
      <c r="AR57" s="8">
        <f t="shared" si="100"/>
        <v>4</v>
      </c>
      <c r="AS57" s="8"/>
      <c r="AT57" s="7">
        <f t="shared" si="101"/>
        <v>18.404032099454305</v>
      </c>
      <c r="AU57" s="7"/>
      <c r="AV57" s="7">
        <f t="shared" si="102"/>
        <v>75.670874712940545</v>
      </c>
      <c r="AW57" s="7"/>
      <c r="AX57" s="7">
        <f t="shared" si="103"/>
        <v>0.14281633399049812</v>
      </c>
      <c r="AY57" s="7"/>
      <c r="AZ57" s="11"/>
      <c r="BA57" s="11">
        <f t="shared" si="104"/>
        <v>6.4313333333333333E-2</v>
      </c>
      <c r="BB57" s="11">
        <f t="shared" si="105"/>
        <v>0.30945600000000001</v>
      </c>
      <c r="BC57" s="11"/>
      <c r="BD57" s="11">
        <f t="shared" si="106"/>
        <v>0.28022168685244503</v>
      </c>
      <c r="BE57" s="11"/>
      <c r="BF57" s="11">
        <f t="shared" si="107"/>
        <v>2.141161901990616E-2</v>
      </c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</row>
    <row r="58" spans="1:75">
      <c r="A58" s="42"/>
      <c r="B58" s="43"/>
      <c r="C58" s="70"/>
      <c r="D58" s="8"/>
      <c r="E58" s="67">
        <v>6.6401111111111105E-3</v>
      </c>
      <c r="F58" s="67">
        <v>6.4313333333333333E-2</v>
      </c>
      <c r="G58" s="44">
        <v>50.603477777777783</v>
      </c>
      <c r="H58" s="44">
        <v>17.013966666666665</v>
      </c>
      <c r="I58" s="60">
        <v>1.9814856865571953</v>
      </c>
      <c r="J58" s="60">
        <v>10.701132081026692</v>
      </c>
      <c r="K58" s="67">
        <v>0.11734222222222221</v>
      </c>
      <c r="L58" s="67">
        <v>18.672133333333331</v>
      </c>
      <c r="M58" s="67">
        <v>3.5715555555555561E-3</v>
      </c>
      <c r="N58" s="44"/>
      <c r="O58" s="44">
        <v>0.30945600000000001</v>
      </c>
      <c r="P58" s="10">
        <f t="shared" si="74"/>
        <v>99.473518767583869</v>
      </c>
      <c r="Q58" s="3"/>
      <c r="R58" s="24">
        <f t="shared" si="75"/>
        <v>1.1050276437196056E-4</v>
      </c>
      <c r="S58" s="8">
        <f t="shared" si="76"/>
        <v>8.0526548635631351E-4</v>
      </c>
      <c r="T58" s="81">
        <f t="shared" si="77"/>
        <v>0.99260457974672245</v>
      </c>
      <c r="U58" s="8">
        <f t="shared" si="78"/>
        <v>0.22388271158190229</v>
      </c>
      <c r="V58" s="8">
        <f t="shared" si="79"/>
        <v>2.4816653347826356E-2</v>
      </c>
      <c r="W58" s="8">
        <f t="shared" si="80"/>
        <v>0.14894955850212535</v>
      </c>
      <c r="X58" s="8">
        <f t="shared" si="81"/>
        <v>1.6541658169346807E-3</v>
      </c>
      <c r="Y58" s="81">
        <f t="shared" si="82"/>
        <v>0.46327778935633157</v>
      </c>
      <c r="Z58" s="8">
        <f t="shared" si="83"/>
        <v>6.3686796639721041E-5</v>
      </c>
      <c r="AA58" s="8">
        <f t="shared" si="84"/>
        <v>0</v>
      </c>
      <c r="AB58" s="8">
        <f t="shared" si="85"/>
        <v>4.1430499325236167E-3</v>
      </c>
      <c r="AC58" s="8">
        <f t="shared" si="86"/>
        <v>1.8603079633317345</v>
      </c>
      <c r="AD58" s="8">
        <f t="shared" si="87"/>
        <v>2.481875703920688</v>
      </c>
      <c r="AE58" s="8"/>
      <c r="AF58" s="24">
        <f t="shared" si="88"/>
        <v>1.7809556570040356E-4</v>
      </c>
      <c r="AG58" s="41">
        <f t="shared" si="89"/>
        <v>1.297833707117908E-3</v>
      </c>
      <c r="AH58" s="41">
        <f t="shared" si="90"/>
        <v>1.5997651746679777</v>
      </c>
      <c r="AI58" s="41">
        <f t="shared" si="91"/>
        <v>0.36082824168547772</v>
      </c>
      <c r="AJ58" s="41">
        <f t="shared" si="92"/>
        <v>3.9996609513720284E-2</v>
      </c>
      <c r="AK58" s="41">
        <f t="shared" si="93"/>
        <v>0.24005965853459235</v>
      </c>
      <c r="AL58" s="41">
        <f t="shared" si="94"/>
        <v>2.6659930057279643E-3</v>
      </c>
      <c r="AM58" s="41">
        <f t="shared" si="95"/>
        <v>0.74665751975327177</v>
      </c>
      <c r="AN58" s="41">
        <f t="shared" si="96"/>
        <v>1.0264300752711062E-4</v>
      </c>
      <c r="AO58" s="41">
        <f t="shared" si="97"/>
        <v>0</v>
      </c>
      <c r="AP58" s="41">
        <f t="shared" si="98"/>
        <v>6.6772883524807078E-3</v>
      </c>
      <c r="AQ58" s="8">
        <f t="shared" si="99"/>
        <v>2.9982290577935942</v>
      </c>
      <c r="AR58" s="8">
        <f t="shared" si="100"/>
        <v>4</v>
      </c>
      <c r="AS58" s="8"/>
      <c r="AT58" s="7">
        <f t="shared" si="101"/>
        <v>18.404032099454305</v>
      </c>
      <c r="AU58" s="7"/>
      <c r="AV58" s="7">
        <f t="shared" si="102"/>
        <v>75.670874712940545</v>
      </c>
      <c r="AW58" s="7"/>
      <c r="AX58" s="7">
        <f t="shared" si="103"/>
        <v>0.14281633399049812</v>
      </c>
      <c r="AY58" s="7"/>
      <c r="AZ58" s="11"/>
      <c r="BA58" s="11">
        <f t="shared" si="104"/>
        <v>6.4313333333333333E-2</v>
      </c>
      <c r="BB58" s="11">
        <f t="shared" si="105"/>
        <v>0.30945600000000001</v>
      </c>
      <c r="BC58" s="11"/>
      <c r="BD58" s="11">
        <f t="shared" si="106"/>
        <v>0.28022168685244503</v>
      </c>
      <c r="BE58" s="11"/>
      <c r="BF58" s="11">
        <f t="shared" si="107"/>
        <v>2.141161901990616E-2</v>
      </c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</row>
    <row r="59" spans="1:75" ht="15" thickBot="1">
      <c r="A59" s="42"/>
      <c r="B59" s="43"/>
      <c r="C59" s="70"/>
      <c r="D59" s="8"/>
      <c r="E59" s="67">
        <v>6.6401111111111097E-3</v>
      </c>
      <c r="F59" s="67">
        <v>6.4313333333333306E-2</v>
      </c>
      <c r="G59" s="44">
        <v>50.603477777777798</v>
      </c>
      <c r="H59" s="44">
        <v>17.0139666666667</v>
      </c>
      <c r="I59" s="60">
        <v>1.9814856865571999</v>
      </c>
      <c r="J59" s="60">
        <v>10.701132081026699</v>
      </c>
      <c r="K59" s="67">
        <v>0.117342222222222</v>
      </c>
      <c r="L59" s="67">
        <v>18.672133333333299</v>
      </c>
      <c r="M59" s="67">
        <v>3.57155555555556E-3</v>
      </c>
      <c r="N59" s="44"/>
      <c r="O59" s="44">
        <v>0.30945600000000001</v>
      </c>
      <c r="P59" s="10">
        <f t="shared" ref="P59" si="108">SUM(E59:O59)</f>
        <v>99.473518767583926</v>
      </c>
      <c r="Q59" s="3"/>
      <c r="R59" s="24">
        <f t="shared" ref="R59" si="109">E59/$R$2</f>
        <v>1.1050276437196055E-4</v>
      </c>
      <c r="S59" s="8">
        <f t="shared" ref="S59" si="110">F59/$S$2</f>
        <v>8.0526548635631318E-4</v>
      </c>
      <c r="T59" s="81">
        <f>2*G59/$T$2-2*Y60</f>
        <v>0.95260457974672275</v>
      </c>
      <c r="U59" s="8">
        <f t="shared" ref="U59" si="111">2*H59/$U$2</f>
        <v>0.22388271158190276</v>
      </c>
      <c r="V59" s="8">
        <f t="shared" ref="V59" si="112">2*I59/$V$2</f>
        <v>2.4816653347826415E-2</v>
      </c>
      <c r="W59" s="8">
        <f t="shared" ref="W59" si="113">J59/$W$2</f>
        <v>0.14894955850212543</v>
      </c>
      <c r="X59" s="8">
        <f t="shared" ref="X59" si="114">K59/$X$2</f>
        <v>1.6541658169346777E-3</v>
      </c>
      <c r="Y59" s="81">
        <f>L59/$Y$2-Y60</f>
        <v>0.44327778935633078</v>
      </c>
      <c r="Z59" s="8">
        <f t="shared" ref="Z59" si="115">M59/$Z$2</f>
        <v>6.3686796639721109E-5</v>
      </c>
      <c r="AA59" s="8">
        <f t="shared" ref="AA59" si="116">2*N59/$AA$2</f>
        <v>0</v>
      </c>
      <c r="AB59" s="8">
        <f t="shared" ref="AB59" si="117">O59/$AB$2</f>
        <v>4.1430499325236167E-3</v>
      </c>
      <c r="AC59" s="8">
        <f t="shared" ref="AC59" si="118">SUM(R59:AB59)</f>
        <v>1.8003079633317345</v>
      </c>
      <c r="AD59" s="8">
        <f t="shared" ref="AD59" si="119">IFERROR(2*R59+2*S59+(3/2)*T59+(3/2)*U59+(3/2)*V59+W59+X59+Y59+Z59+AB59+0.5*AA59,"NaN")</f>
        <v>2.4018757039206888</v>
      </c>
      <c r="AE59" s="8"/>
      <c r="AF59" s="24">
        <f t="shared" ref="AF59" si="120">IFERROR(4*R59/$AD59,"NaN")</f>
        <v>1.8402744853379709E-4</v>
      </c>
      <c r="AG59" s="41">
        <f t="shared" ref="AG59" si="121">IFERROR(4*S59/$AD59,"NaN")</f>
        <v>1.3410610466509027E-3</v>
      </c>
      <c r="AH59" s="41">
        <f t="shared" ref="AH59" si="122">IFERROR(4*T59/$AD59,"NaN")</f>
        <v>1.5864344323759032</v>
      </c>
      <c r="AI59" s="41">
        <f t="shared" ref="AI59" si="123">IFERROR(4*U59/$AD59,"NaN")</f>
        <v>0.37284645698601143</v>
      </c>
      <c r="AJ59" s="41">
        <f t="shared" ref="AJ59" si="124">IFERROR(4*V59/$AD59,"NaN")</f>
        <v>4.1328788675145986E-2</v>
      </c>
      <c r="AK59" s="41">
        <f t="shared" ref="AK59" si="125">IFERROR(4*W59/$AD59,"NaN")</f>
        <v>0.24805539813569608</v>
      </c>
      <c r="AL59" s="41">
        <f t="shared" ref="AL59" si="126">IFERROR(4*X59/$AD59,"NaN")</f>
        <v>2.7547900405245932E-3</v>
      </c>
      <c r="AM59" s="41">
        <f t="shared" ref="AM59" si="127">IFERROR(4*Y59/$AD59,"NaN")</f>
        <v>0.73821936519487441</v>
      </c>
      <c r="AN59" s="41">
        <f t="shared" ref="AN59" si="128">IFERROR(4*Z59/$AD59,"NaN")</f>
        <v>1.0606176920106616E-4</v>
      </c>
      <c r="AO59" s="41">
        <f t="shared" ref="AO59" si="129">IFERROR(4*AA59/$AD59,"NaN")</f>
        <v>0</v>
      </c>
      <c r="AP59" s="41">
        <f t="shared" ref="AP59" si="130">IFERROR(4*AB59/$AD59,"NaN")</f>
        <v>6.8996908137431614E-3</v>
      </c>
      <c r="AQ59" s="8">
        <f t="shared" ref="AQ59" si="131">IFERROR(SUM(AF59:AP59),"NaN")</f>
        <v>2.9981700724862845</v>
      </c>
      <c r="AR59" s="8">
        <f t="shared" ref="AR59" si="132">IFERROR(2*AF59+2*AG59+(3/2)*AH59+(3/2)*AI59+(3/2)*AJ59+AK59+AL59+AM59+AN59+AP59+0.5*AO59,"NaN")</f>
        <v>3.9999999999999996</v>
      </c>
      <c r="AS59" s="8"/>
      <c r="AT59" s="7">
        <f t="shared" ref="AT59" si="133">IFERROR(AI59*100/(AI59+AH59),"NaN")</f>
        <v>19.029760306978627</v>
      </c>
      <c r="AU59" s="7"/>
      <c r="AV59" s="7">
        <f t="shared" ref="AV59" si="134">IFERROR(AM59*100/(AM59+AK59),"NaN")</f>
        <v>74.849260332076938</v>
      </c>
      <c r="AW59" s="7"/>
      <c r="AX59" s="7">
        <f t="shared" ref="AX59" si="135">AJ59/(AJ59+AK59)</f>
        <v>0.14281633399049834</v>
      </c>
      <c r="AY59" s="7"/>
      <c r="AZ59" s="11"/>
      <c r="BA59" s="11">
        <f t="shared" ref="BA59" si="136">F59</f>
        <v>6.4313333333333306E-2</v>
      </c>
      <c r="BB59" s="11">
        <f t="shared" ref="BB59" si="137">O59</f>
        <v>0.30945600000000001</v>
      </c>
      <c r="BC59" s="11"/>
      <c r="BD59" s="11">
        <f t="shared" ref="BD59" si="138">(AJ59+AK59)*3/AQ59</f>
        <v>0.28956081190971117</v>
      </c>
      <c r="BE59" s="11"/>
      <c r="BF59" s="11">
        <f t="shared" ref="BF59" si="139">0.006/BD59</f>
        <v>2.0721035973165037E-2</v>
      </c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</row>
    <row r="60" spans="1:75" ht="15" thickBot="1">
      <c r="Y60" s="82">
        <v>0.02</v>
      </c>
      <c r="Z60" s="84" t="s">
        <v>122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2"/>
  <sheetViews>
    <sheetView tabSelected="1" workbookViewId="0">
      <pane xSplit="2" ySplit="3" topLeftCell="Z28" activePane="bottomRight" state="frozen"/>
      <selection pane="topRight" activeCell="C1" sqref="C1"/>
      <selection pane="bottomLeft" activeCell="A4" sqref="A4"/>
      <selection pane="bottomRight" activeCell="AK64" sqref="AK64"/>
    </sheetView>
  </sheetViews>
  <sheetFormatPr baseColWidth="10" defaultColWidth="8.83203125" defaultRowHeight="14" x14ac:dyDescent="0"/>
  <cols>
    <col min="1" max="2" width="8.83203125" style="2"/>
    <col min="3" max="4" width="11.1640625" style="12" customWidth="1"/>
    <col min="5" max="14" width="11.1640625" style="2" customWidth="1"/>
    <col min="15" max="19" width="8.83203125" style="2"/>
    <col min="20" max="20" width="19.6640625" style="2" customWidth="1"/>
    <col min="21" max="21" width="16.83203125" style="2" customWidth="1"/>
    <col min="22" max="22" width="18.1640625" style="2" customWidth="1"/>
    <col min="23" max="25" width="18.5" style="2" customWidth="1"/>
    <col min="26" max="30" width="9.33203125" style="2" bestFit="1" customWidth="1"/>
    <col min="31" max="32" width="8.83203125" style="2"/>
    <col min="33" max="33" width="10.1640625" style="2" bestFit="1" customWidth="1"/>
    <col min="34" max="16384" width="8.83203125" style="2"/>
  </cols>
  <sheetData>
    <row r="1" spans="1:36" ht="28" customHeight="1">
      <c r="A1" s="1"/>
      <c r="B1" s="1"/>
      <c r="C1" s="19"/>
      <c r="D1" s="19"/>
      <c r="E1" s="1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63</v>
      </c>
      <c r="U1" s="1" t="s">
        <v>65</v>
      </c>
      <c r="V1" s="1" t="s">
        <v>67</v>
      </c>
      <c r="W1" s="1" t="s">
        <v>69</v>
      </c>
      <c r="X1" s="37" t="s">
        <v>75</v>
      </c>
      <c r="Y1" s="37"/>
      <c r="Z1" s="1"/>
      <c r="AA1" s="1" t="s">
        <v>78</v>
      </c>
      <c r="AB1" s="65"/>
      <c r="AC1" s="66" t="s">
        <v>118</v>
      </c>
      <c r="AD1" s="1"/>
    </row>
    <row r="2" spans="1:36" s="36" customFormat="1">
      <c r="A2" s="34" t="s">
        <v>30</v>
      </c>
      <c r="B2" s="34"/>
      <c r="C2" s="34" t="s">
        <v>10</v>
      </c>
      <c r="D2" s="34"/>
      <c r="E2" s="34" t="s">
        <v>12</v>
      </c>
      <c r="F2" s="34" t="s">
        <v>16</v>
      </c>
      <c r="G2" s="34" t="s">
        <v>13</v>
      </c>
      <c r="H2" s="34" t="s">
        <v>17</v>
      </c>
      <c r="I2" s="34" t="s">
        <v>26</v>
      </c>
      <c r="J2" s="34" t="s">
        <v>27</v>
      </c>
      <c r="K2" s="34" t="s">
        <v>18</v>
      </c>
      <c r="L2" s="34" t="s">
        <v>14</v>
      </c>
      <c r="M2" s="34" t="s">
        <v>19</v>
      </c>
      <c r="N2" s="34" t="s">
        <v>20</v>
      </c>
      <c r="O2" s="34" t="s">
        <v>15</v>
      </c>
      <c r="P2" s="34"/>
      <c r="Q2" s="34" t="s">
        <v>61</v>
      </c>
      <c r="R2" s="34" t="s">
        <v>62</v>
      </c>
      <c r="S2" s="34"/>
      <c r="T2" s="35" t="s">
        <v>64</v>
      </c>
      <c r="U2" s="35" t="s">
        <v>66</v>
      </c>
      <c r="V2" s="35" t="s">
        <v>68</v>
      </c>
      <c r="W2" s="35" t="s">
        <v>70</v>
      </c>
      <c r="X2" s="35" t="s">
        <v>76</v>
      </c>
      <c r="Y2" s="35"/>
      <c r="Z2" s="35"/>
      <c r="AA2" s="35"/>
      <c r="AB2" s="35"/>
      <c r="AC2" s="35"/>
      <c r="AD2" s="35"/>
      <c r="AE2" s="35"/>
      <c r="AF2" s="35" t="s">
        <v>114</v>
      </c>
      <c r="AG2" s="35"/>
      <c r="AH2" s="35"/>
      <c r="AI2" s="35"/>
      <c r="AJ2" s="35"/>
    </row>
    <row r="3" spans="1:36" s="18" customFormat="1" ht="15" thickBo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7" t="s">
        <v>71</v>
      </c>
      <c r="U3" s="17" t="s">
        <v>72</v>
      </c>
      <c r="V3" s="17" t="s">
        <v>73</v>
      </c>
      <c r="W3" s="17" t="s">
        <v>74</v>
      </c>
      <c r="X3" s="17" t="s">
        <v>77</v>
      </c>
      <c r="Y3" s="17" t="s">
        <v>79</v>
      </c>
      <c r="Z3" s="17"/>
      <c r="AA3" s="17" t="s">
        <v>66</v>
      </c>
      <c r="AB3" s="17" t="s">
        <v>76</v>
      </c>
      <c r="AC3" s="17" t="s">
        <v>70</v>
      </c>
      <c r="AD3" s="17" t="s">
        <v>64</v>
      </c>
      <c r="AE3" s="17" t="s">
        <v>68</v>
      </c>
      <c r="AF3" s="17" t="s">
        <v>113</v>
      </c>
      <c r="AG3" s="17" t="s">
        <v>80</v>
      </c>
      <c r="AH3" s="17"/>
      <c r="AI3" s="17"/>
      <c r="AJ3" s="17"/>
    </row>
    <row r="4" spans="1:36">
      <c r="A4" s="1"/>
      <c r="B4" s="1"/>
      <c r="C4" s="19">
        <f>'Spinel-- no zeroes'!C4</f>
        <v>0</v>
      </c>
      <c r="D4" s="19"/>
      <c r="E4" s="1">
        <f>'Spinel-- no zeroes'!AF4</f>
        <v>1.7809556570040356E-4</v>
      </c>
      <c r="F4" s="1">
        <f>'Spinel-- no zeroes'!AG4</f>
        <v>1.297833707117908E-3</v>
      </c>
      <c r="G4" s="1">
        <f>'Spinel-- no zeroes'!AH4</f>
        <v>1.5997651746679777</v>
      </c>
      <c r="H4" s="1">
        <f>'Spinel-- no zeroes'!AI4</f>
        <v>0.36082824168547772</v>
      </c>
      <c r="I4" s="1">
        <f>'Spinel-- no zeroes'!AJ4</f>
        <v>3.9996609513720284E-2</v>
      </c>
      <c r="J4" s="1">
        <f>'Spinel-- no zeroes'!AK4</f>
        <v>0.24005965853459235</v>
      </c>
      <c r="K4" s="1">
        <f>'Spinel-- no zeroes'!AL4</f>
        <v>2.6659930057279643E-3</v>
      </c>
      <c r="L4" s="1">
        <f>'Spinel-- no zeroes'!AM4</f>
        <v>0.74665751975327177</v>
      </c>
      <c r="M4" s="1">
        <f>'Spinel-- no zeroes'!AN4</f>
        <v>1.0264300752711062E-4</v>
      </c>
      <c r="N4" s="1">
        <f>'Spinel-- no zeroes'!AO4</f>
        <v>0</v>
      </c>
      <c r="O4" s="1">
        <f>'Spinel-- no zeroes'!AP4</f>
        <v>6.6772883524807078E-3</v>
      </c>
      <c r="P4" s="1"/>
      <c r="Q4" s="1">
        <f>SUM(E4:O4)</f>
        <v>2.9982290577935942</v>
      </c>
      <c r="R4" s="1">
        <v>4</v>
      </c>
      <c r="S4" s="1"/>
      <c r="T4" s="11">
        <f>L4</f>
        <v>0.74665751975327177</v>
      </c>
      <c r="U4" s="11">
        <f>H4/2</f>
        <v>0.18041412084273886</v>
      </c>
      <c r="V4" s="11">
        <f>F4</f>
        <v>1.297833707117908E-3</v>
      </c>
      <c r="W4" s="11">
        <f>I4/2</f>
        <v>1.9998304756860142E-2</v>
      </c>
      <c r="X4" s="11">
        <f>J4-(U4+2*V4+W4)</f>
        <v>3.7051565520757529E-2</v>
      </c>
      <c r="Y4" s="11">
        <f>SUM(T4:X4)</f>
        <v>0.9854193445807462</v>
      </c>
      <c r="Z4" s="11"/>
      <c r="AA4" s="11">
        <f>U4/Y4</f>
        <v>0.18308359972321972</v>
      </c>
      <c r="AB4" s="11">
        <f>X4/Y4</f>
        <v>3.7599795178083685E-2</v>
      </c>
      <c r="AC4" s="11">
        <f>W4/Y4</f>
        <v>2.0294207604954789E-2</v>
      </c>
      <c r="AD4" s="11">
        <f>T4/Y4</f>
        <v>0.75770536052439952</v>
      </c>
      <c r="AE4" s="11">
        <f>V4/Y4</f>
        <v>1.3170369693423065E-3</v>
      </c>
      <c r="AF4" s="11">
        <f>'T calculator'!AG4</f>
        <v>914.0710456802318</v>
      </c>
      <c r="AG4" s="54">
        <v>15000</v>
      </c>
      <c r="AH4" s="11"/>
      <c r="AI4" s="11"/>
      <c r="AJ4" s="11"/>
    </row>
    <row r="5" spans="1:36">
      <c r="A5" s="1"/>
      <c r="B5" s="1"/>
      <c r="C5" s="19">
        <f>'Spinel-- no zeroes'!C5</f>
        <v>0</v>
      </c>
      <c r="D5" s="19"/>
      <c r="E5" s="1">
        <f>'Spinel-- no zeroes'!AF5</f>
        <v>1.7809556570040356E-4</v>
      </c>
      <c r="F5" s="1">
        <f>'Spinel-- no zeroes'!AG5</f>
        <v>1.297833707117908E-3</v>
      </c>
      <c r="G5" s="1">
        <f>'Spinel-- no zeroes'!AH5</f>
        <v>1.5997651746679777</v>
      </c>
      <c r="H5" s="1">
        <f>'Spinel-- no zeroes'!AI5</f>
        <v>0.36082824168547772</v>
      </c>
      <c r="I5" s="1">
        <f>'Spinel-- no zeroes'!AJ5</f>
        <v>3.9996609513720284E-2</v>
      </c>
      <c r="J5" s="1">
        <f>'Spinel-- no zeroes'!AK5</f>
        <v>0.24005965853459235</v>
      </c>
      <c r="K5" s="1">
        <f>'Spinel-- no zeroes'!AL5</f>
        <v>2.6659930057279643E-3</v>
      </c>
      <c r="L5" s="1">
        <f>'Spinel-- no zeroes'!AM5</f>
        <v>0.74665751975327177</v>
      </c>
      <c r="M5" s="1">
        <f>'Spinel-- no zeroes'!AN5</f>
        <v>1.0264300752711062E-4</v>
      </c>
      <c r="N5" s="1">
        <f>'Spinel-- no zeroes'!AO5</f>
        <v>0</v>
      </c>
      <c r="O5" s="1">
        <f>'Spinel-- no zeroes'!AP5</f>
        <v>6.6772883524807078E-3</v>
      </c>
      <c r="P5" s="1"/>
      <c r="Q5" s="1">
        <f t="shared" ref="Q5:Q11" si="0">SUM(E5:O5)</f>
        <v>2.9982290577935942</v>
      </c>
      <c r="R5" s="1">
        <v>4</v>
      </c>
      <c r="S5" s="1"/>
      <c r="T5" s="11">
        <f t="shared" ref="T5:T11" si="1">L5</f>
        <v>0.74665751975327177</v>
      </c>
      <c r="U5" s="11">
        <f t="shared" ref="U5:U11" si="2">H5/2</f>
        <v>0.18041412084273886</v>
      </c>
      <c r="V5" s="11">
        <f t="shared" ref="V5:V11" si="3">F5</f>
        <v>1.297833707117908E-3</v>
      </c>
      <c r="W5" s="11">
        <f t="shared" ref="W5:W11" si="4">I5/2</f>
        <v>1.9998304756860142E-2</v>
      </c>
      <c r="X5" s="11">
        <f t="shared" ref="X5:X11" si="5">J5-(U5+2*V5+W5)</f>
        <v>3.7051565520757529E-2</v>
      </c>
      <c r="Y5" s="11">
        <f t="shared" ref="Y5:Y11" si="6">SUM(T5:X5)</f>
        <v>0.9854193445807462</v>
      </c>
      <c r="Z5" s="11"/>
      <c r="AA5" s="11">
        <f t="shared" ref="AA5:AA11" si="7">U5/Y5</f>
        <v>0.18308359972321972</v>
      </c>
      <c r="AB5" s="11">
        <f t="shared" ref="AB5:AB11" si="8">X5/Y5</f>
        <v>3.7599795178083685E-2</v>
      </c>
      <c r="AC5" s="11">
        <f t="shared" ref="AC5:AC11" si="9">W5/Y5</f>
        <v>2.0294207604954789E-2</v>
      </c>
      <c r="AD5" s="11">
        <f t="shared" ref="AD5:AD11" si="10">T5/Y5</f>
        <v>0.75770536052439952</v>
      </c>
      <c r="AE5" s="11">
        <f t="shared" ref="AE5:AE11" si="11">V5/Y5</f>
        <v>1.3170369693423065E-3</v>
      </c>
      <c r="AF5" s="11">
        <f>'T calculator'!AG5</f>
        <v>914.0710456802318</v>
      </c>
      <c r="AG5" s="54">
        <v>15000</v>
      </c>
      <c r="AH5" s="11"/>
      <c r="AI5" s="11"/>
      <c r="AJ5" s="11"/>
    </row>
    <row r="6" spans="1:36">
      <c r="A6" s="1"/>
      <c r="B6" s="1"/>
      <c r="C6" s="19">
        <f>'Spinel-- no zeroes'!C6</f>
        <v>0</v>
      </c>
      <c r="D6" s="19"/>
      <c r="E6" s="1">
        <f>'Spinel-- no zeroes'!AF6</f>
        <v>1.7809556570040356E-4</v>
      </c>
      <c r="F6" s="1">
        <f>'Spinel-- no zeroes'!AG6</f>
        <v>1.297833707117908E-3</v>
      </c>
      <c r="G6" s="1">
        <f>'Spinel-- no zeroes'!AH6</f>
        <v>1.5997651746679777</v>
      </c>
      <c r="H6" s="1">
        <f>'Spinel-- no zeroes'!AI6</f>
        <v>0.36082824168547772</v>
      </c>
      <c r="I6" s="1">
        <f>'Spinel-- no zeroes'!AJ6</f>
        <v>3.9996609513720284E-2</v>
      </c>
      <c r="J6" s="1">
        <f>'Spinel-- no zeroes'!AK6</f>
        <v>0.24005965853459235</v>
      </c>
      <c r="K6" s="1">
        <f>'Spinel-- no zeroes'!AL6</f>
        <v>2.6659930057279643E-3</v>
      </c>
      <c r="L6" s="1">
        <f>'Spinel-- no zeroes'!AM6</f>
        <v>0.74665751975327177</v>
      </c>
      <c r="M6" s="1">
        <f>'Spinel-- no zeroes'!AN6</f>
        <v>1.0264300752711062E-4</v>
      </c>
      <c r="N6" s="1">
        <f>'Spinel-- no zeroes'!AO6</f>
        <v>0</v>
      </c>
      <c r="O6" s="1">
        <f>'Spinel-- no zeroes'!AP6</f>
        <v>6.6772883524807078E-3</v>
      </c>
      <c r="P6" s="1"/>
      <c r="Q6" s="1">
        <f t="shared" si="0"/>
        <v>2.9982290577935942</v>
      </c>
      <c r="R6" s="1">
        <v>4</v>
      </c>
      <c r="S6" s="1"/>
      <c r="T6" s="11">
        <f t="shared" si="1"/>
        <v>0.74665751975327177</v>
      </c>
      <c r="U6" s="11">
        <f t="shared" si="2"/>
        <v>0.18041412084273886</v>
      </c>
      <c r="V6" s="11">
        <f t="shared" si="3"/>
        <v>1.297833707117908E-3</v>
      </c>
      <c r="W6" s="11">
        <f t="shared" si="4"/>
        <v>1.9998304756860142E-2</v>
      </c>
      <c r="X6" s="11">
        <f t="shared" si="5"/>
        <v>3.7051565520757529E-2</v>
      </c>
      <c r="Y6" s="11">
        <f t="shared" si="6"/>
        <v>0.9854193445807462</v>
      </c>
      <c r="Z6" s="11"/>
      <c r="AA6" s="11">
        <f t="shared" si="7"/>
        <v>0.18308359972321972</v>
      </c>
      <c r="AB6" s="11">
        <f t="shared" si="8"/>
        <v>3.7599795178083685E-2</v>
      </c>
      <c r="AC6" s="11">
        <f t="shared" si="9"/>
        <v>2.0294207604954789E-2</v>
      </c>
      <c r="AD6" s="11">
        <f t="shared" si="10"/>
        <v>0.75770536052439952</v>
      </c>
      <c r="AE6" s="11">
        <f t="shared" si="11"/>
        <v>1.3170369693423065E-3</v>
      </c>
      <c r="AF6" s="11">
        <f>'T calculator'!AG6</f>
        <v>914.0710456802318</v>
      </c>
      <c r="AG6" s="54">
        <v>15000</v>
      </c>
      <c r="AH6" s="11"/>
      <c r="AI6" s="11"/>
      <c r="AJ6" s="11"/>
    </row>
    <row r="7" spans="1:36">
      <c r="A7" s="1"/>
      <c r="B7" s="1"/>
      <c r="C7" s="19">
        <f>'Spinel-- no zeroes'!C7</f>
        <v>0</v>
      </c>
      <c r="D7" s="19"/>
      <c r="E7" s="1">
        <f>'Spinel-- no zeroes'!AF7</f>
        <v>1.7809556570040356E-4</v>
      </c>
      <c r="F7" s="1">
        <f>'Spinel-- no zeroes'!AG7</f>
        <v>1.297833707117908E-3</v>
      </c>
      <c r="G7" s="1">
        <f>'Spinel-- no zeroes'!AH7</f>
        <v>1.5997651746679777</v>
      </c>
      <c r="H7" s="1">
        <f>'Spinel-- no zeroes'!AI7</f>
        <v>0.36082824168547772</v>
      </c>
      <c r="I7" s="1">
        <f>'Spinel-- no zeroes'!AJ7</f>
        <v>3.9996609513720284E-2</v>
      </c>
      <c r="J7" s="1">
        <f>'Spinel-- no zeroes'!AK7</f>
        <v>0.24005965853459235</v>
      </c>
      <c r="K7" s="1">
        <f>'Spinel-- no zeroes'!AL7</f>
        <v>2.6659930057279643E-3</v>
      </c>
      <c r="L7" s="1">
        <f>'Spinel-- no zeroes'!AM7</f>
        <v>0.74665751975327177</v>
      </c>
      <c r="M7" s="1">
        <f>'Spinel-- no zeroes'!AN7</f>
        <v>1.0264300752711062E-4</v>
      </c>
      <c r="N7" s="1">
        <f>'Spinel-- no zeroes'!AO7</f>
        <v>0</v>
      </c>
      <c r="O7" s="1">
        <f>'Spinel-- no zeroes'!AP7</f>
        <v>6.6772883524807078E-3</v>
      </c>
      <c r="P7" s="1"/>
      <c r="Q7" s="1">
        <f t="shared" si="0"/>
        <v>2.9982290577935942</v>
      </c>
      <c r="R7" s="1">
        <v>4</v>
      </c>
      <c r="S7" s="1"/>
      <c r="T7" s="11">
        <f t="shared" si="1"/>
        <v>0.74665751975327177</v>
      </c>
      <c r="U7" s="11">
        <f t="shared" si="2"/>
        <v>0.18041412084273886</v>
      </c>
      <c r="V7" s="11">
        <f t="shared" si="3"/>
        <v>1.297833707117908E-3</v>
      </c>
      <c r="W7" s="11">
        <f t="shared" si="4"/>
        <v>1.9998304756860142E-2</v>
      </c>
      <c r="X7" s="11">
        <f t="shared" si="5"/>
        <v>3.7051565520757529E-2</v>
      </c>
      <c r="Y7" s="11">
        <f t="shared" si="6"/>
        <v>0.9854193445807462</v>
      </c>
      <c r="Z7" s="11"/>
      <c r="AA7" s="11">
        <f t="shared" si="7"/>
        <v>0.18308359972321972</v>
      </c>
      <c r="AB7" s="11">
        <f t="shared" si="8"/>
        <v>3.7599795178083685E-2</v>
      </c>
      <c r="AC7" s="11">
        <f t="shared" si="9"/>
        <v>2.0294207604954789E-2</v>
      </c>
      <c r="AD7" s="11">
        <f t="shared" si="10"/>
        <v>0.75770536052439952</v>
      </c>
      <c r="AE7" s="11">
        <f t="shared" si="11"/>
        <v>1.3170369693423065E-3</v>
      </c>
      <c r="AF7" s="11">
        <f>'T calculator'!AG7</f>
        <v>914.0710456802318</v>
      </c>
      <c r="AG7" s="54">
        <v>15000</v>
      </c>
      <c r="AH7" s="11"/>
      <c r="AI7" s="11"/>
      <c r="AJ7" s="11"/>
    </row>
    <row r="8" spans="1:36">
      <c r="A8" s="1"/>
      <c r="B8" s="1"/>
      <c r="C8" s="19">
        <f>'Spinel-- no zeroes'!C8</f>
        <v>0</v>
      </c>
      <c r="D8" s="19"/>
      <c r="E8" s="1">
        <f>'Spinel-- no zeroes'!AF8</f>
        <v>1.7809556570040356E-4</v>
      </c>
      <c r="F8" s="1">
        <f>'Spinel-- no zeroes'!AG8</f>
        <v>1.297833707117908E-3</v>
      </c>
      <c r="G8" s="1">
        <f>'Spinel-- no zeroes'!AH8</f>
        <v>1.5997651746679777</v>
      </c>
      <c r="H8" s="1">
        <f>'Spinel-- no zeroes'!AI8</f>
        <v>0.36082824168547772</v>
      </c>
      <c r="I8" s="1">
        <f>'Spinel-- no zeroes'!AJ8</f>
        <v>3.9996609513720284E-2</v>
      </c>
      <c r="J8" s="1">
        <f>'Spinel-- no zeroes'!AK8</f>
        <v>0.24005965853459235</v>
      </c>
      <c r="K8" s="1">
        <f>'Spinel-- no zeroes'!AL8</f>
        <v>2.6659930057279643E-3</v>
      </c>
      <c r="L8" s="1">
        <f>'Spinel-- no zeroes'!AM8</f>
        <v>0.74665751975327177</v>
      </c>
      <c r="M8" s="1">
        <f>'Spinel-- no zeroes'!AN8</f>
        <v>1.0264300752711062E-4</v>
      </c>
      <c r="N8" s="1">
        <f>'Spinel-- no zeroes'!AO8</f>
        <v>0</v>
      </c>
      <c r="O8" s="1">
        <f>'Spinel-- no zeroes'!AP8</f>
        <v>6.6772883524807078E-3</v>
      </c>
      <c r="P8" s="1"/>
      <c r="Q8" s="1">
        <f t="shared" si="0"/>
        <v>2.9982290577935942</v>
      </c>
      <c r="R8" s="1">
        <v>4</v>
      </c>
      <c r="S8" s="1"/>
      <c r="T8" s="11">
        <f t="shared" si="1"/>
        <v>0.74665751975327177</v>
      </c>
      <c r="U8" s="11">
        <f t="shared" si="2"/>
        <v>0.18041412084273886</v>
      </c>
      <c r="V8" s="11">
        <f t="shared" si="3"/>
        <v>1.297833707117908E-3</v>
      </c>
      <c r="W8" s="11">
        <f t="shared" si="4"/>
        <v>1.9998304756860142E-2</v>
      </c>
      <c r="X8" s="11">
        <f t="shared" si="5"/>
        <v>3.7051565520757529E-2</v>
      </c>
      <c r="Y8" s="11">
        <f t="shared" si="6"/>
        <v>0.9854193445807462</v>
      </c>
      <c r="Z8" s="11"/>
      <c r="AA8" s="11">
        <f t="shared" si="7"/>
        <v>0.18308359972321972</v>
      </c>
      <c r="AB8" s="11">
        <f t="shared" si="8"/>
        <v>3.7599795178083685E-2</v>
      </c>
      <c r="AC8" s="11">
        <f t="shared" si="9"/>
        <v>2.0294207604954789E-2</v>
      </c>
      <c r="AD8" s="11">
        <f t="shared" si="10"/>
        <v>0.75770536052439952</v>
      </c>
      <c r="AE8" s="11">
        <f t="shared" si="11"/>
        <v>1.3170369693423065E-3</v>
      </c>
      <c r="AF8" s="11">
        <f>'T calculator'!AG8</f>
        <v>914.0710456802318</v>
      </c>
      <c r="AG8" s="54">
        <v>15000</v>
      </c>
      <c r="AH8" s="11"/>
      <c r="AI8" s="11"/>
      <c r="AJ8" s="11"/>
    </row>
    <row r="9" spans="1:36">
      <c r="A9" s="1"/>
      <c r="B9" s="1"/>
      <c r="C9" s="19">
        <f>'Spinel-- no zeroes'!C9</f>
        <v>0</v>
      </c>
      <c r="D9" s="19"/>
      <c r="E9" s="1">
        <f>'Spinel-- no zeroes'!AF9</f>
        <v>1.7809556570040356E-4</v>
      </c>
      <c r="F9" s="1">
        <f>'Spinel-- no zeroes'!AG9</f>
        <v>1.297833707117908E-3</v>
      </c>
      <c r="G9" s="1">
        <f>'Spinel-- no zeroes'!AH9</f>
        <v>1.5997651746679777</v>
      </c>
      <c r="H9" s="1">
        <f>'Spinel-- no zeroes'!AI9</f>
        <v>0.36082824168547772</v>
      </c>
      <c r="I9" s="1">
        <f>'Spinel-- no zeroes'!AJ9</f>
        <v>3.9996609513720284E-2</v>
      </c>
      <c r="J9" s="1">
        <f>'Spinel-- no zeroes'!AK9</f>
        <v>0.24005965853459235</v>
      </c>
      <c r="K9" s="1">
        <f>'Spinel-- no zeroes'!AL9</f>
        <v>2.6659930057279643E-3</v>
      </c>
      <c r="L9" s="1">
        <f>'Spinel-- no zeroes'!AM9</f>
        <v>0.74665751975327177</v>
      </c>
      <c r="M9" s="1">
        <f>'Spinel-- no zeroes'!AN9</f>
        <v>1.0264300752711062E-4</v>
      </c>
      <c r="N9" s="1">
        <f>'Spinel-- no zeroes'!AO9</f>
        <v>0</v>
      </c>
      <c r="O9" s="1">
        <f>'Spinel-- no zeroes'!AP9</f>
        <v>6.6772883524807078E-3</v>
      </c>
      <c r="P9" s="1"/>
      <c r="Q9" s="1">
        <f t="shared" si="0"/>
        <v>2.9982290577935942</v>
      </c>
      <c r="R9" s="1">
        <v>4</v>
      </c>
      <c r="S9" s="1"/>
      <c r="T9" s="11">
        <f t="shared" si="1"/>
        <v>0.74665751975327177</v>
      </c>
      <c r="U9" s="11">
        <f t="shared" si="2"/>
        <v>0.18041412084273886</v>
      </c>
      <c r="V9" s="11">
        <f t="shared" si="3"/>
        <v>1.297833707117908E-3</v>
      </c>
      <c r="W9" s="11">
        <f t="shared" si="4"/>
        <v>1.9998304756860142E-2</v>
      </c>
      <c r="X9" s="11">
        <f t="shared" si="5"/>
        <v>3.7051565520757529E-2</v>
      </c>
      <c r="Y9" s="11">
        <f t="shared" si="6"/>
        <v>0.9854193445807462</v>
      </c>
      <c r="Z9" s="11"/>
      <c r="AA9" s="11">
        <f t="shared" si="7"/>
        <v>0.18308359972321972</v>
      </c>
      <c r="AB9" s="11">
        <f t="shared" si="8"/>
        <v>3.7599795178083685E-2</v>
      </c>
      <c r="AC9" s="11">
        <f t="shared" si="9"/>
        <v>2.0294207604954789E-2</v>
      </c>
      <c r="AD9" s="11">
        <f t="shared" si="10"/>
        <v>0.75770536052439952</v>
      </c>
      <c r="AE9" s="11">
        <f t="shared" si="11"/>
        <v>1.3170369693423065E-3</v>
      </c>
      <c r="AF9" s="11">
        <f>'T calculator'!AG9</f>
        <v>914.0710456802318</v>
      </c>
      <c r="AG9" s="54">
        <v>15000</v>
      </c>
      <c r="AH9" s="11"/>
      <c r="AI9" s="11"/>
      <c r="AJ9" s="11"/>
    </row>
    <row r="10" spans="1:36">
      <c r="A10" s="1"/>
      <c r="B10" s="1"/>
      <c r="C10" s="19">
        <f>'Spinel-- no zeroes'!C10</f>
        <v>0</v>
      </c>
      <c r="D10" s="19"/>
      <c r="E10" s="1">
        <f>'Spinel-- no zeroes'!AF10</f>
        <v>1.7809556570040356E-4</v>
      </c>
      <c r="F10" s="1">
        <f>'Spinel-- no zeroes'!AG10</f>
        <v>1.297833707117908E-3</v>
      </c>
      <c r="G10" s="1">
        <f>'Spinel-- no zeroes'!AH10</f>
        <v>1.5997651746679777</v>
      </c>
      <c r="H10" s="1">
        <f>'Spinel-- no zeroes'!AI10</f>
        <v>0.36082824168547772</v>
      </c>
      <c r="I10" s="1">
        <f>'Spinel-- no zeroes'!AJ10</f>
        <v>3.9996609513720284E-2</v>
      </c>
      <c r="J10" s="1">
        <f>'Spinel-- no zeroes'!AK10</f>
        <v>0.24005965853459235</v>
      </c>
      <c r="K10" s="1">
        <f>'Spinel-- no zeroes'!AL10</f>
        <v>2.6659930057279643E-3</v>
      </c>
      <c r="L10" s="1">
        <f>'Spinel-- no zeroes'!AM10</f>
        <v>0.74665751975327177</v>
      </c>
      <c r="M10" s="1">
        <f>'Spinel-- no zeroes'!AN10</f>
        <v>1.0264300752711062E-4</v>
      </c>
      <c r="N10" s="1">
        <f>'Spinel-- no zeroes'!AO10</f>
        <v>0</v>
      </c>
      <c r="O10" s="1">
        <f>'Spinel-- no zeroes'!AP10</f>
        <v>6.6772883524807078E-3</v>
      </c>
      <c r="P10" s="1"/>
      <c r="Q10" s="1">
        <f t="shared" si="0"/>
        <v>2.9982290577935942</v>
      </c>
      <c r="R10" s="1">
        <v>4</v>
      </c>
      <c r="S10" s="1"/>
      <c r="T10" s="11">
        <f t="shared" si="1"/>
        <v>0.74665751975327177</v>
      </c>
      <c r="U10" s="11">
        <f t="shared" si="2"/>
        <v>0.18041412084273886</v>
      </c>
      <c r="V10" s="11">
        <f t="shared" si="3"/>
        <v>1.297833707117908E-3</v>
      </c>
      <c r="W10" s="11">
        <f t="shared" si="4"/>
        <v>1.9998304756860142E-2</v>
      </c>
      <c r="X10" s="11">
        <f t="shared" si="5"/>
        <v>3.7051565520757529E-2</v>
      </c>
      <c r="Y10" s="11">
        <f t="shared" si="6"/>
        <v>0.9854193445807462</v>
      </c>
      <c r="Z10" s="11"/>
      <c r="AA10" s="11">
        <f t="shared" si="7"/>
        <v>0.18308359972321972</v>
      </c>
      <c r="AB10" s="11">
        <f t="shared" si="8"/>
        <v>3.7599795178083685E-2</v>
      </c>
      <c r="AC10" s="11">
        <f t="shared" si="9"/>
        <v>2.0294207604954789E-2</v>
      </c>
      <c r="AD10" s="11">
        <f t="shared" si="10"/>
        <v>0.75770536052439952</v>
      </c>
      <c r="AE10" s="11">
        <f t="shared" si="11"/>
        <v>1.3170369693423065E-3</v>
      </c>
      <c r="AF10" s="11">
        <f>'T calculator'!AG10</f>
        <v>914.0710456802318</v>
      </c>
      <c r="AG10" s="54">
        <v>15000</v>
      </c>
      <c r="AH10" s="11"/>
      <c r="AI10" s="11"/>
      <c r="AJ10" s="11"/>
    </row>
    <row r="11" spans="1:36">
      <c r="A11" s="1"/>
      <c r="B11" s="1"/>
      <c r="C11" s="19">
        <f>'Spinel-- no zeroes'!C11</f>
        <v>0</v>
      </c>
      <c r="D11" s="19"/>
      <c r="E11" s="1">
        <f>'Spinel-- no zeroes'!AF11</f>
        <v>1.7809556570040356E-4</v>
      </c>
      <c r="F11" s="1">
        <f>'Spinel-- no zeroes'!AG11</f>
        <v>1.297833707117908E-3</v>
      </c>
      <c r="G11" s="1">
        <f>'Spinel-- no zeroes'!AH11</f>
        <v>1.5997651746679777</v>
      </c>
      <c r="H11" s="1">
        <f>'Spinel-- no zeroes'!AI11</f>
        <v>0.36082824168547772</v>
      </c>
      <c r="I11" s="1">
        <f>'Spinel-- no zeroes'!AJ11</f>
        <v>3.9996609513720284E-2</v>
      </c>
      <c r="J11" s="1">
        <f>'Spinel-- no zeroes'!AK11</f>
        <v>0.24005965853459235</v>
      </c>
      <c r="K11" s="1">
        <f>'Spinel-- no zeroes'!AL11</f>
        <v>2.6659930057279643E-3</v>
      </c>
      <c r="L11" s="1">
        <f>'Spinel-- no zeroes'!AM11</f>
        <v>0.74665751975327177</v>
      </c>
      <c r="M11" s="1">
        <f>'Spinel-- no zeroes'!AN11</f>
        <v>1.0264300752711062E-4</v>
      </c>
      <c r="N11" s="1">
        <f>'Spinel-- no zeroes'!AO11</f>
        <v>0</v>
      </c>
      <c r="O11" s="1">
        <f>'Spinel-- no zeroes'!AP11</f>
        <v>6.6772883524807078E-3</v>
      </c>
      <c r="P11" s="1"/>
      <c r="Q11" s="1">
        <f t="shared" si="0"/>
        <v>2.9982290577935942</v>
      </c>
      <c r="R11" s="1">
        <v>4</v>
      </c>
      <c r="S11" s="1"/>
      <c r="T11" s="11">
        <f t="shared" si="1"/>
        <v>0.74665751975327177</v>
      </c>
      <c r="U11" s="11">
        <f t="shared" si="2"/>
        <v>0.18041412084273886</v>
      </c>
      <c r="V11" s="11">
        <f t="shared" si="3"/>
        <v>1.297833707117908E-3</v>
      </c>
      <c r="W11" s="11">
        <f t="shared" si="4"/>
        <v>1.9998304756860142E-2</v>
      </c>
      <c r="X11" s="11">
        <f t="shared" si="5"/>
        <v>3.7051565520757529E-2</v>
      </c>
      <c r="Y11" s="11">
        <f t="shared" si="6"/>
        <v>0.9854193445807462</v>
      </c>
      <c r="Z11" s="11"/>
      <c r="AA11" s="11">
        <f t="shared" si="7"/>
        <v>0.18308359972321972</v>
      </c>
      <c r="AB11" s="11">
        <f t="shared" si="8"/>
        <v>3.7599795178083685E-2</v>
      </c>
      <c r="AC11" s="11">
        <f t="shared" si="9"/>
        <v>2.0294207604954789E-2</v>
      </c>
      <c r="AD11" s="11">
        <f t="shared" si="10"/>
        <v>0.75770536052439952</v>
      </c>
      <c r="AE11" s="11">
        <f t="shared" si="11"/>
        <v>1.3170369693423065E-3</v>
      </c>
      <c r="AF11" s="11">
        <f>'T calculator'!AG11</f>
        <v>914.0710456802318</v>
      </c>
      <c r="AG11" s="54">
        <v>15000</v>
      </c>
      <c r="AH11" s="11"/>
      <c r="AI11" s="11"/>
      <c r="AJ11" s="11"/>
    </row>
    <row r="12" spans="1:36">
      <c r="A12" s="1"/>
      <c r="B12" s="1"/>
      <c r="C12" s="19">
        <f>'Spinel-- no zeroes'!C12</f>
        <v>0</v>
      </c>
      <c r="D12" s="19"/>
      <c r="E12" s="1">
        <f>'Spinel-- no zeroes'!AF12</f>
        <v>1.7809556570040356E-4</v>
      </c>
      <c r="F12" s="1">
        <f>'Spinel-- no zeroes'!AG12</f>
        <v>1.297833707117908E-3</v>
      </c>
      <c r="G12" s="1">
        <f>'Spinel-- no zeroes'!AH12</f>
        <v>1.5997651746679777</v>
      </c>
      <c r="H12" s="1">
        <f>'Spinel-- no zeroes'!AI12</f>
        <v>0.36082824168547772</v>
      </c>
      <c r="I12" s="1">
        <f>'Spinel-- no zeroes'!AJ12</f>
        <v>3.9996609513720284E-2</v>
      </c>
      <c r="J12" s="1">
        <f>'Spinel-- no zeroes'!AK12</f>
        <v>0.24005965853459235</v>
      </c>
      <c r="K12" s="1">
        <f>'Spinel-- no zeroes'!AL12</f>
        <v>2.6659930057279643E-3</v>
      </c>
      <c r="L12" s="1">
        <f>'Spinel-- no zeroes'!AM12</f>
        <v>0.74665751975327177</v>
      </c>
      <c r="M12" s="1">
        <f>'Spinel-- no zeroes'!AN12</f>
        <v>1.0264300752711062E-4</v>
      </c>
      <c r="N12" s="1">
        <f>'Spinel-- no zeroes'!AO12</f>
        <v>0</v>
      </c>
      <c r="O12" s="1">
        <f>'Spinel-- no zeroes'!AP12</f>
        <v>6.6772883524807078E-3</v>
      </c>
      <c r="P12" s="1"/>
      <c r="Q12" s="1">
        <f t="shared" ref="Q12:Q50" si="12">SUM(E12:O12)</f>
        <v>2.9982290577935942</v>
      </c>
      <c r="R12" s="1">
        <v>4</v>
      </c>
      <c r="S12" s="1"/>
      <c r="T12" s="11">
        <f t="shared" ref="T12:T50" si="13">L12</f>
        <v>0.74665751975327177</v>
      </c>
      <c r="U12" s="11">
        <f t="shared" ref="U12:U50" si="14">H12/2</f>
        <v>0.18041412084273886</v>
      </c>
      <c r="V12" s="11">
        <f t="shared" ref="V12:V50" si="15">F12</f>
        <v>1.297833707117908E-3</v>
      </c>
      <c r="W12" s="11">
        <f t="shared" ref="W12:W50" si="16">I12/2</f>
        <v>1.9998304756860142E-2</v>
      </c>
      <c r="X12" s="11">
        <f t="shared" ref="X12:X50" si="17">J12-(U12+2*V12+W12)</f>
        <v>3.7051565520757529E-2</v>
      </c>
      <c r="Y12" s="11">
        <f t="shared" ref="Y12:Y50" si="18">SUM(T12:X12)</f>
        <v>0.9854193445807462</v>
      </c>
      <c r="Z12" s="11"/>
      <c r="AA12" s="11">
        <f t="shared" ref="AA12:AA50" si="19">U12/Y12</f>
        <v>0.18308359972321972</v>
      </c>
      <c r="AB12" s="11">
        <f t="shared" ref="AB12:AB50" si="20">X12/Y12</f>
        <v>3.7599795178083685E-2</v>
      </c>
      <c r="AC12" s="11">
        <f t="shared" ref="AC12:AC50" si="21">W12/Y12</f>
        <v>2.0294207604954789E-2</v>
      </c>
      <c r="AD12" s="11">
        <f t="shared" ref="AD12:AD50" si="22">T12/Y12</f>
        <v>0.75770536052439952</v>
      </c>
      <c r="AE12" s="11">
        <f t="shared" ref="AE12:AE50" si="23">V12/Y12</f>
        <v>1.3170369693423065E-3</v>
      </c>
      <c r="AF12" s="11">
        <f>'T calculator'!AG12</f>
        <v>914.0710456802318</v>
      </c>
      <c r="AG12" s="54">
        <v>15000</v>
      </c>
      <c r="AH12" s="11"/>
      <c r="AI12" s="11"/>
      <c r="AJ12" s="11"/>
    </row>
    <row r="13" spans="1:36">
      <c r="A13" s="1"/>
      <c r="B13" s="1"/>
      <c r="C13" s="19">
        <f>'Spinel-- no zeroes'!C13</f>
        <v>0</v>
      </c>
      <c r="D13" s="19"/>
      <c r="E13" s="1">
        <f>'Spinel-- no zeroes'!AF13</f>
        <v>1.7809556570040356E-4</v>
      </c>
      <c r="F13" s="1">
        <f>'Spinel-- no zeroes'!AG13</f>
        <v>1.297833707117908E-3</v>
      </c>
      <c r="G13" s="1">
        <f>'Spinel-- no zeroes'!AH13</f>
        <v>1.5997651746679777</v>
      </c>
      <c r="H13" s="1">
        <f>'Spinel-- no zeroes'!AI13</f>
        <v>0.36082824168547772</v>
      </c>
      <c r="I13" s="1">
        <f>'Spinel-- no zeroes'!AJ13</f>
        <v>3.9996609513720284E-2</v>
      </c>
      <c r="J13" s="1">
        <f>'Spinel-- no zeroes'!AK13</f>
        <v>0.24005965853459235</v>
      </c>
      <c r="K13" s="1">
        <f>'Spinel-- no zeroes'!AL13</f>
        <v>2.6659930057279643E-3</v>
      </c>
      <c r="L13" s="1">
        <f>'Spinel-- no zeroes'!AM13</f>
        <v>0.74665751975327177</v>
      </c>
      <c r="M13" s="1">
        <f>'Spinel-- no zeroes'!AN13</f>
        <v>1.0264300752711062E-4</v>
      </c>
      <c r="N13" s="1">
        <f>'Spinel-- no zeroes'!AO13</f>
        <v>0</v>
      </c>
      <c r="O13" s="1">
        <f>'Spinel-- no zeroes'!AP13</f>
        <v>6.6772883524807078E-3</v>
      </c>
      <c r="P13" s="1"/>
      <c r="Q13" s="1">
        <f t="shared" si="12"/>
        <v>2.9982290577935942</v>
      </c>
      <c r="R13" s="1">
        <v>4</v>
      </c>
      <c r="S13" s="1"/>
      <c r="T13" s="11">
        <f t="shared" si="13"/>
        <v>0.74665751975327177</v>
      </c>
      <c r="U13" s="11">
        <f t="shared" si="14"/>
        <v>0.18041412084273886</v>
      </c>
      <c r="V13" s="11">
        <f t="shared" si="15"/>
        <v>1.297833707117908E-3</v>
      </c>
      <c r="W13" s="11">
        <f t="shared" si="16"/>
        <v>1.9998304756860142E-2</v>
      </c>
      <c r="X13" s="11">
        <f t="shared" si="17"/>
        <v>3.7051565520757529E-2</v>
      </c>
      <c r="Y13" s="11">
        <f t="shared" si="18"/>
        <v>0.9854193445807462</v>
      </c>
      <c r="Z13" s="11"/>
      <c r="AA13" s="11">
        <f t="shared" si="19"/>
        <v>0.18308359972321972</v>
      </c>
      <c r="AB13" s="11">
        <f t="shared" si="20"/>
        <v>3.7599795178083685E-2</v>
      </c>
      <c r="AC13" s="11">
        <f t="shared" si="21"/>
        <v>2.0294207604954789E-2</v>
      </c>
      <c r="AD13" s="11">
        <f t="shared" si="22"/>
        <v>0.75770536052439952</v>
      </c>
      <c r="AE13" s="11">
        <f t="shared" si="23"/>
        <v>1.3170369693423065E-3</v>
      </c>
      <c r="AF13" s="11">
        <f>'T calculator'!AG13</f>
        <v>914.0710456802318</v>
      </c>
      <c r="AG13" s="54">
        <v>15000</v>
      </c>
      <c r="AH13" s="11"/>
      <c r="AI13" s="11"/>
      <c r="AJ13" s="11"/>
    </row>
    <row r="14" spans="1:36">
      <c r="A14" s="1"/>
      <c r="B14" s="1"/>
      <c r="C14" s="19">
        <f>'Spinel-- no zeroes'!C14</f>
        <v>0</v>
      </c>
      <c r="D14" s="19"/>
      <c r="E14" s="1">
        <f>'Spinel-- no zeroes'!AF14</f>
        <v>1.7809556570040356E-4</v>
      </c>
      <c r="F14" s="1">
        <f>'Spinel-- no zeroes'!AG14</f>
        <v>1.297833707117908E-3</v>
      </c>
      <c r="G14" s="1">
        <f>'Spinel-- no zeroes'!AH14</f>
        <v>1.5997651746679777</v>
      </c>
      <c r="H14" s="1">
        <f>'Spinel-- no zeroes'!AI14</f>
        <v>0.36082824168547772</v>
      </c>
      <c r="I14" s="1">
        <f>'Spinel-- no zeroes'!AJ14</f>
        <v>3.9996609513720284E-2</v>
      </c>
      <c r="J14" s="1">
        <f>'Spinel-- no zeroes'!AK14</f>
        <v>0.24005965853459235</v>
      </c>
      <c r="K14" s="1">
        <f>'Spinel-- no zeroes'!AL14</f>
        <v>2.6659930057279643E-3</v>
      </c>
      <c r="L14" s="1">
        <f>'Spinel-- no zeroes'!AM14</f>
        <v>0.74665751975327177</v>
      </c>
      <c r="M14" s="1">
        <f>'Spinel-- no zeroes'!AN14</f>
        <v>1.0264300752711062E-4</v>
      </c>
      <c r="N14" s="1">
        <f>'Spinel-- no zeroes'!AO14</f>
        <v>0</v>
      </c>
      <c r="O14" s="1">
        <f>'Spinel-- no zeroes'!AP14</f>
        <v>6.6772883524807078E-3</v>
      </c>
      <c r="P14" s="1"/>
      <c r="Q14" s="1">
        <f t="shared" si="12"/>
        <v>2.9982290577935942</v>
      </c>
      <c r="R14" s="1">
        <v>4</v>
      </c>
      <c r="S14" s="1"/>
      <c r="T14" s="11">
        <f t="shared" si="13"/>
        <v>0.74665751975327177</v>
      </c>
      <c r="U14" s="11">
        <f t="shared" si="14"/>
        <v>0.18041412084273886</v>
      </c>
      <c r="V14" s="11">
        <f t="shared" si="15"/>
        <v>1.297833707117908E-3</v>
      </c>
      <c r="W14" s="11">
        <f t="shared" si="16"/>
        <v>1.9998304756860142E-2</v>
      </c>
      <c r="X14" s="11">
        <f t="shared" si="17"/>
        <v>3.7051565520757529E-2</v>
      </c>
      <c r="Y14" s="11">
        <f t="shared" si="18"/>
        <v>0.9854193445807462</v>
      </c>
      <c r="Z14" s="11"/>
      <c r="AA14" s="11">
        <f t="shared" si="19"/>
        <v>0.18308359972321972</v>
      </c>
      <c r="AB14" s="11">
        <f t="shared" si="20"/>
        <v>3.7599795178083685E-2</v>
      </c>
      <c r="AC14" s="11">
        <f t="shared" si="21"/>
        <v>2.0294207604954789E-2</v>
      </c>
      <c r="AD14" s="11">
        <f t="shared" si="22"/>
        <v>0.75770536052439952</v>
      </c>
      <c r="AE14" s="11">
        <f t="shared" si="23"/>
        <v>1.3170369693423065E-3</v>
      </c>
      <c r="AF14" s="11">
        <f>'T calculator'!AG14</f>
        <v>914.0710456802318</v>
      </c>
      <c r="AG14" s="54">
        <v>15000</v>
      </c>
      <c r="AH14" s="11"/>
      <c r="AI14" s="11"/>
      <c r="AJ14" s="11"/>
    </row>
    <row r="15" spans="1:36">
      <c r="A15" s="1"/>
      <c r="B15" s="1"/>
      <c r="C15" s="19">
        <f>'Spinel-- no zeroes'!C15</f>
        <v>0</v>
      </c>
      <c r="D15" s="19"/>
      <c r="E15" s="1">
        <f>'Spinel-- no zeroes'!AF15</f>
        <v>1.7809556570040356E-4</v>
      </c>
      <c r="F15" s="1">
        <f>'Spinel-- no zeroes'!AG15</f>
        <v>1.297833707117908E-3</v>
      </c>
      <c r="G15" s="1">
        <f>'Spinel-- no zeroes'!AH15</f>
        <v>1.5997651746679777</v>
      </c>
      <c r="H15" s="1">
        <f>'Spinel-- no zeroes'!AI15</f>
        <v>0.36082824168547772</v>
      </c>
      <c r="I15" s="1">
        <f>'Spinel-- no zeroes'!AJ15</f>
        <v>3.9996609513720284E-2</v>
      </c>
      <c r="J15" s="1">
        <f>'Spinel-- no zeroes'!AK15</f>
        <v>0.24005965853459235</v>
      </c>
      <c r="K15" s="1">
        <f>'Spinel-- no zeroes'!AL15</f>
        <v>2.6659930057279643E-3</v>
      </c>
      <c r="L15" s="1">
        <f>'Spinel-- no zeroes'!AM15</f>
        <v>0.74665751975327177</v>
      </c>
      <c r="M15" s="1">
        <f>'Spinel-- no zeroes'!AN15</f>
        <v>1.0264300752711062E-4</v>
      </c>
      <c r="N15" s="1">
        <f>'Spinel-- no zeroes'!AO15</f>
        <v>0</v>
      </c>
      <c r="O15" s="1">
        <f>'Spinel-- no zeroes'!AP15</f>
        <v>6.6772883524807078E-3</v>
      </c>
      <c r="P15" s="1"/>
      <c r="Q15" s="1">
        <f t="shared" si="12"/>
        <v>2.9982290577935942</v>
      </c>
      <c r="R15" s="1">
        <v>4</v>
      </c>
      <c r="S15" s="1"/>
      <c r="T15" s="11">
        <f t="shared" si="13"/>
        <v>0.74665751975327177</v>
      </c>
      <c r="U15" s="11">
        <f t="shared" si="14"/>
        <v>0.18041412084273886</v>
      </c>
      <c r="V15" s="11">
        <f t="shared" si="15"/>
        <v>1.297833707117908E-3</v>
      </c>
      <c r="W15" s="11">
        <f t="shared" si="16"/>
        <v>1.9998304756860142E-2</v>
      </c>
      <c r="X15" s="11">
        <f t="shared" si="17"/>
        <v>3.7051565520757529E-2</v>
      </c>
      <c r="Y15" s="11">
        <f t="shared" si="18"/>
        <v>0.9854193445807462</v>
      </c>
      <c r="Z15" s="11"/>
      <c r="AA15" s="11">
        <f t="shared" si="19"/>
        <v>0.18308359972321972</v>
      </c>
      <c r="AB15" s="11">
        <f t="shared" si="20"/>
        <v>3.7599795178083685E-2</v>
      </c>
      <c r="AC15" s="11">
        <f t="shared" si="21"/>
        <v>2.0294207604954789E-2</v>
      </c>
      <c r="AD15" s="11">
        <f t="shared" si="22"/>
        <v>0.75770536052439952</v>
      </c>
      <c r="AE15" s="11">
        <f t="shared" si="23"/>
        <v>1.3170369693423065E-3</v>
      </c>
      <c r="AF15" s="11">
        <f>'T calculator'!AG15</f>
        <v>914.0710456802318</v>
      </c>
      <c r="AG15" s="54">
        <v>15000</v>
      </c>
      <c r="AH15" s="11"/>
      <c r="AI15" s="11"/>
      <c r="AJ15" s="11"/>
    </row>
    <row r="16" spans="1:36">
      <c r="A16" s="1"/>
      <c r="B16" s="1"/>
      <c r="C16" s="19">
        <f>'Spinel-- no zeroes'!C16</f>
        <v>0</v>
      </c>
      <c r="D16" s="19"/>
      <c r="E16" s="1">
        <f>'Spinel-- no zeroes'!AF16</f>
        <v>1.7809556570040356E-4</v>
      </c>
      <c r="F16" s="1">
        <f>'Spinel-- no zeroes'!AG16</f>
        <v>1.297833707117908E-3</v>
      </c>
      <c r="G16" s="1">
        <f>'Spinel-- no zeroes'!AH16</f>
        <v>1.5997651746679777</v>
      </c>
      <c r="H16" s="1">
        <f>'Spinel-- no zeroes'!AI16</f>
        <v>0.36082824168547772</v>
      </c>
      <c r="I16" s="1">
        <f>'Spinel-- no zeroes'!AJ16</f>
        <v>3.9996609513720284E-2</v>
      </c>
      <c r="J16" s="1">
        <f>'Spinel-- no zeroes'!AK16</f>
        <v>0.24005965853459235</v>
      </c>
      <c r="K16" s="1">
        <f>'Spinel-- no zeroes'!AL16</f>
        <v>2.6659930057279643E-3</v>
      </c>
      <c r="L16" s="1">
        <f>'Spinel-- no zeroes'!AM16</f>
        <v>0.74665751975327177</v>
      </c>
      <c r="M16" s="1">
        <f>'Spinel-- no zeroes'!AN16</f>
        <v>1.0264300752711062E-4</v>
      </c>
      <c r="N16" s="1">
        <f>'Spinel-- no zeroes'!AO16</f>
        <v>0</v>
      </c>
      <c r="O16" s="1">
        <f>'Spinel-- no zeroes'!AP16</f>
        <v>6.6772883524807078E-3</v>
      </c>
      <c r="P16" s="1"/>
      <c r="Q16" s="1">
        <f t="shared" si="12"/>
        <v>2.9982290577935942</v>
      </c>
      <c r="R16" s="1">
        <v>4</v>
      </c>
      <c r="S16" s="1"/>
      <c r="T16" s="11">
        <f t="shared" si="13"/>
        <v>0.74665751975327177</v>
      </c>
      <c r="U16" s="11">
        <f t="shared" si="14"/>
        <v>0.18041412084273886</v>
      </c>
      <c r="V16" s="11">
        <f t="shared" si="15"/>
        <v>1.297833707117908E-3</v>
      </c>
      <c r="W16" s="11">
        <f t="shared" si="16"/>
        <v>1.9998304756860142E-2</v>
      </c>
      <c r="X16" s="11">
        <f t="shared" si="17"/>
        <v>3.7051565520757529E-2</v>
      </c>
      <c r="Y16" s="11">
        <f t="shared" si="18"/>
        <v>0.9854193445807462</v>
      </c>
      <c r="Z16" s="11"/>
      <c r="AA16" s="11">
        <f t="shared" si="19"/>
        <v>0.18308359972321972</v>
      </c>
      <c r="AB16" s="11">
        <f t="shared" si="20"/>
        <v>3.7599795178083685E-2</v>
      </c>
      <c r="AC16" s="11">
        <f t="shared" si="21"/>
        <v>2.0294207604954789E-2</v>
      </c>
      <c r="AD16" s="11">
        <f t="shared" si="22"/>
        <v>0.75770536052439952</v>
      </c>
      <c r="AE16" s="11">
        <f t="shared" si="23"/>
        <v>1.3170369693423065E-3</v>
      </c>
      <c r="AF16" s="11">
        <f>'T calculator'!AG16</f>
        <v>914.0710456802318</v>
      </c>
      <c r="AG16" s="54">
        <v>15000</v>
      </c>
      <c r="AH16" s="11"/>
      <c r="AI16" s="11"/>
      <c r="AJ16" s="11"/>
    </row>
    <row r="17" spans="1:36">
      <c r="A17" s="1"/>
      <c r="B17" s="1"/>
      <c r="C17" s="19"/>
      <c r="D17" s="1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54"/>
      <c r="AH17" s="11"/>
      <c r="AI17" s="11"/>
      <c r="AJ17" s="11"/>
    </row>
    <row r="18" spans="1:36">
      <c r="A18" s="1"/>
      <c r="B18" s="1"/>
      <c r="C18" s="19">
        <f>'Spinel-- no zeroes'!C18</f>
        <v>0</v>
      </c>
      <c r="D18" s="19"/>
      <c r="E18" s="1">
        <f>'Spinel-- no zeroes'!AF18</f>
        <v>1.7809556570040356E-4</v>
      </c>
      <c r="F18" s="1">
        <f>'Spinel-- no zeroes'!AG18</f>
        <v>1.297833707117908E-3</v>
      </c>
      <c r="G18" s="1">
        <f>'Spinel-- no zeroes'!AH18</f>
        <v>1.5997651746679777</v>
      </c>
      <c r="H18" s="1">
        <f>'Spinel-- no zeroes'!AI18</f>
        <v>0.36082824168547772</v>
      </c>
      <c r="I18" s="1">
        <f>'Spinel-- no zeroes'!AJ18</f>
        <v>3.9996609513720284E-2</v>
      </c>
      <c r="J18" s="1">
        <f>'Spinel-- no zeroes'!AK18</f>
        <v>0.28005965853459236</v>
      </c>
      <c r="K18" s="1">
        <f>'Spinel-- no zeroes'!AL18</f>
        <v>2.6659930057279643E-3</v>
      </c>
      <c r="L18" s="1">
        <f>'Spinel-- no zeroes'!AM18</f>
        <v>0.70665751975327173</v>
      </c>
      <c r="M18" s="1">
        <f>'Spinel-- no zeroes'!AN18</f>
        <v>1.0264300752711062E-4</v>
      </c>
      <c r="N18" s="1">
        <f>'Spinel-- no zeroes'!AO18</f>
        <v>0</v>
      </c>
      <c r="O18" s="1">
        <f>'Spinel-- no zeroes'!AP18</f>
        <v>6.6772883524807078E-3</v>
      </c>
      <c r="P18" s="1"/>
      <c r="Q18" s="1">
        <f t="shared" si="12"/>
        <v>2.9982290577935942</v>
      </c>
      <c r="R18" s="1">
        <v>4</v>
      </c>
      <c r="S18" s="1"/>
      <c r="T18" s="11">
        <f t="shared" si="13"/>
        <v>0.70665751975327173</v>
      </c>
      <c r="U18" s="11">
        <f t="shared" si="14"/>
        <v>0.18041412084273886</v>
      </c>
      <c r="V18" s="11">
        <f t="shared" si="15"/>
        <v>1.297833707117908E-3</v>
      </c>
      <c r="W18" s="11">
        <f t="shared" si="16"/>
        <v>1.9998304756860142E-2</v>
      </c>
      <c r="X18" s="11">
        <f t="shared" si="17"/>
        <v>7.7051565520757537E-2</v>
      </c>
      <c r="Y18" s="11">
        <f t="shared" si="18"/>
        <v>0.9854193445807462</v>
      </c>
      <c r="Z18" s="11"/>
      <c r="AA18" s="11">
        <f t="shared" si="19"/>
        <v>0.18308359972321972</v>
      </c>
      <c r="AB18" s="11">
        <f t="shared" si="20"/>
        <v>7.8191651041252572E-2</v>
      </c>
      <c r="AC18" s="11">
        <f t="shared" si="21"/>
        <v>2.0294207604954789E-2</v>
      </c>
      <c r="AD18" s="11">
        <f t="shared" si="22"/>
        <v>0.71711350466123058</v>
      </c>
      <c r="AE18" s="11">
        <f t="shared" si="23"/>
        <v>1.3170369693423065E-3</v>
      </c>
      <c r="AF18" s="11">
        <f>'T calculator'!AG18</f>
        <v>786.25616159673848</v>
      </c>
      <c r="AG18" s="54">
        <f>(AF18-300)*10</f>
        <v>4862.5616159673846</v>
      </c>
      <c r="AH18" s="11"/>
      <c r="AI18" s="11"/>
      <c r="AJ18" s="11"/>
    </row>
    <row r="19" spans="1:36">
      <c r="A19" s="1"/>
      <c r="B19" s="1"/>
      <c r="C19" s="19">
        <f>'Spinel-- no zeroes'!C19</f>
        <v>0</v>
      </c>
      <c r="D19" s="19"/>
      <c r="E19" s="1">
        <f>'Spinel-- no zeroes'!AF19</f>
        <v>1.7809556570040356E-4</v>
      </c>
      <c r="F19" s="1">
        <f>'Spinel-- no zeroes'!AG19</f>
        <v>1.297833707117908E-3</v>
      </c>
      <c r="G19" s="1">
        <f>'Spinel-- no zeroes'!AH19</f>
        <v>1.5997651746679777</v>
      </c>
      <c r="H19" s="1">
        <f>'Spinel-- no zeroes'!AI19</f>
        <v>0.36082824168547772</v>
      </c>
      <c r="I19" s="1">
        <f>'Spinel-- no zeroes'!AJ19</f>
        <v>3.9996609513720284E-2</v>
      </c>
      <c r="J19" s="1">
        <f>'Spinel-- no zeroes'!AK19</f>
        <v>0.27005965853459235</v>
      </c>
      <c r="K19" s="1">
        <f>'Spinel-- no zeroes'!AL19</f>
        <v>2.6659930057279643E-3</v>
      </c>
      <c r="L19" s="1">
        <f>'Spinel-- no zeroes'!AM19</f>
        <v>0.71665751975327174</v>
      </c>
      <c r="M19" s="1">
        <f>'Spinel-- no zeroes'!AN19</f>
        <v>1.0264300752711062E-4</v>
      </c>
      <c r="N19" s="1">
        <f>'Spinel-- no zeroes'!AO19</f>
        <v>0</v>
      </c>
      <c r="O19" s="1">
        <f>'Spinel-- no zeroes'!AP19</f>
        <v>6.6772883524807078E-3</v>
      </c>
      <c r="P19" s="1"/>
      <c r="Q19" s="1">
        <f t="shared" si="12"/>
        <v>2.9982290577935942</v>
      </c>
      <c r="R19" s="1">
        <v>4</v>
      </c>
      <c r="S19" s="1"/>
      <c r="T19" s="11">
        <f t="shared" si="13"/>
        <v>0.71665751975327174</v>
      </c>
      <c r="U19" s="11">
        <f t="shared" si="14"/>
        <v>0.18041412084273886</v>
      </c>
      <c r="V19" s="11">
        <f t="shared" si="15"/>
        <v>1.297833707117908E-3</v>
      </c>
      <c r="W19" s="11">
        <f t="shared" si="16"/>
        <v>1.9998304756860142E-2</v>
      </c>
      <c r="X19" s="11">
        <f t="shared" si="17"/>
        <v>6.7051565520757528E-2</v>
      </c>
      <c r="Y19" s="11">
        <f t="shared" si="18"/>
        <v>0.9854193445807462</v>
      </c>
      <c r="Z19" s="11"/>
      <c r="AA19" s="11">
        <f t="shared" si="19"/>
        <v>0.18308359972321972</v>
      </c>
      <c r="AB19" s="11">
        <f t="shared" si="20"/>
        <v>6.8043687075460352E-2</v>
      </c>
      <c r="AC19" s="11">
        <f t="shared" si="21"/>
        <v>2.0294207604954789E-2</v>
      </c>
      <c r="AD19" s="11">
        <f t="shared" si="22"/>
        <v>0.72726146862702279</v>
      </c>
      <c r="AE19" s="11">
        <f t="shared" si="23"/>
        <v>1.3170369693423065E-3</v>
      </c>
      <c r="AF19" s="11">
        <f>'T calculator'!AG19</f>
        <v>814.47566812711773</v>
      </c>
      <c r="AG19" s="54">
        <f t="shared" ref="AG19:AG30" si="24">(AF19-300)*10</f>
        <v>5144.7566812711775</v>
      </c>
      <c r="AH19" s="11"/>
      <c r="AI19" s="11"/>
      <c r="AJ19" s="11"/>
    </row>
    <row r="20" spans="1:36" s="74" customFormat="1">
      <c r="A20" s="72"/>
      <c r="B20" s="72"/>
      <c r="C20" s="45">
        <f>'Spinel-- no zeroes'!C20</f>
        <v>0</v>
      </c>
      <c r="D20" s="45"/>
      <c r="E20" s="72">
        <f>'Spinel-- no zeroes'!AF20</f>
        <v>1.7809556570040356E-4</v>
      </c>
      <c r="F20" s="72">
        <f>'Spinel-- no zeroes'!AG20</f>
        <v>1.297833707117908E-3</v>
      </c>
      <c r="G20" s="72">
        <f>'Spinel-- no zeroes'!AH20</f>
        <v>1.5997651746679777</v>
      </c>
      <c r="H20" s="72">
        <f>'Spinel-- no zeroes'!AI20</f>
        <v>0.36082824168547772</v>
      </c>
      <c r="I20" s="72">
        <f>'Spinel-- no zeroes'!AJ20</f>
        <v>3.9996609513720284E-2</v>
      </c>
      <c r="J20" s="72">
        <f>'Spinel-- no zeroes'!AK20</f>
        <v>0.26005965853459234</v>
      </c>
      <c r="K20" s="72">
        <f>'Spinel-- no zeroes'!AL20</f>
        <v>2.6659930057279643E-3</v>
      </c>
      <c r="L20" s="72">
        <f>'Spinel-- no zeroes'!AM20</f>
        <v>0.72665751975327175</v>
      </c>
      <c r="M20" s="72">
        <f>'Spinel-- no zeroes'!AN20</f>
        <v>1.0264300752711062E-4</v>
      </c>
      <c r="N20" s="72">
        <f>'Spinel-- no zeroes'!AO20</f>
        <v>0</v>
      </c>
      <c r="O20" s="72">
        <f>'Spinel-- no zeroes'!AP20</f>
        <v>6.6772883524807078E-3</v>
      </c>
      <c r="P20" s="72"/>
      <c r="Q20" s="72">
        <f t="shared" si="12"/>
        <v>2.9982290577935942</v>
      </c>
      <c r="R20" s="72">
        <v>4</v>
      </c>
      <c r="S20" s="72"/>
      <c r="T20" s="73">
        <f t="shared" si="13"/>
        <v>0.72665751975327175</v>
      </c>
      <c r="U20" s="73">
        <f t="shared" si="14"/>
        <v>0.18041412084273886</v>
      </c>
      <c r="V20" s="73">
        <f t="shared" si="15"/>
        <v>1.297833707117908E-3</v>
      </c>
      <c r="W20" s="73">
        <f t="shared" si="16"/>
        <v>1.9998304756860142E-2</v>
      </c>
      <c r="X20" s="73">
        <f t="shared" si="17"/>
        <v>5.7051565520757519E-2</v>
      </c>
      <c r="Y20" s="73">
        <f t="shared" si="18"/>
        <v>0.9854193445807462</v>
      </c>
      <c r="Z20" s="73"/>
      <c r="AA20" s="73">
        <f t="shared" si="19"/>
        <v>0.18308359972321972</v>
      </c>
      <c r="AB20" s="73">
        <f t="shared" si="20"/>
        <v>5.7895723109668118E-2</v>
      </c>
      <c r="AC20" s="73">
        <f t="shared" si="21"/>
        <v>2.0294207604954789E-2</v>
      </c>
      <c r="AD20" s="73">
        <f t="shared" si="22"/>
        <v>0.737409432592815</v>
      </c>
      <c r="AE20" s="73">
        <f t="shared" si="23"/>
        <v>1.3170369693423065E-3</v>
      </c>
      <c r="AF20" s="73">
        <f>'T calculator'!AG20</f>
        <v>844.95429902941498</v>
      </c>
      <c r="AG20" s="54">
        <f t="shared" si="24"/>
        <v>5449.5429902941496</v>
      </c>
      <c r="AH20" s="73"/>
      <c r="AI20" s="73"/>
      <c r="AJ20" s="73"/>
    </row>
    <row r="21" spans="1:36">
      <c r="A21" s="1"/>
      <c r="B21" s="1"/>
      <c r="C21" s="19">
        <f>'Spinel-- no zeroes'!C21</f>
        <v>0</v>
      </c>
      <c r="D21" s="19"/>
      <c r="E21" s="1">
        <f>'Spinel-- no zeroes'!AF21</f>
        <v>1.7809556570040356E-4</v>
      </c>
      <c r="F21" s="1">
        <f>'Spinel-- no zeroes'!AG21</f>
        <v>1.297833707117908E-3</v>
      </c>
      <c r="G21" s="1">
        <f>'Spinel-- no zeroes'!AH21</f>
        <v>1.5997651746679777</v>
      </c>
      <c r="H21" s="1">
        <f>'Spinel-- no zeroes'!AI21</f>
        <v>0.36082824168547772</v>
      </c>
      <c r="I21" s="1">
        <f>'Spinel-- no zeroes'!AJ21</f>
        <v>3.9996609513720284E-2</v>
      </c>
      <c r="J21" s="1">
        <f>'Spinel-- no zeroes'!AK21</f>
        <v>0.25005965853459233</v>
      </c>
      <c r="K21" s="1">
        <f>'Spinel-- no zeroes'!AL21</f>
        <v>2.6659930057279643E-3</v>
      </c>
      <c r="L21" s="1">
        <f>'Spinel-- no zeroes'!AM21</f>
        <v>0.73665751975327176</v>
      </c>
      <c r="M21" s="1">
        <f>'Spinel-- no zeroes'!AN21</f>
        <v>1.0264300752711062E-4</v>
      </c>
      <c r="N21" s="1">
        <f>'Spinel-- no zeroes'!AO21</f>
        <v>0</v>
      </c>
      <c r="O21" s="1">
        <f>'Spinel-- no zeroes'!AP21</f>
        <v>6.6772883524807078E-3</v>
      </c>
      <c r="P21" s="1"/>
      <c r="Q21" s="1">
        <f t="shared" si="12"/>
        <v>2.9982290577935942</v>
      </c>
      <c r="R21" s="1">
        <v>4</v>
      </c>
      <c r="S21" s="1"/>
      <c r="T21" s="11">
        <f t="shared" si="13"/>
        <v>0.73665751975327176</v>
      </c>
      <c r="U21" s="11">
        <f t="shared" si="14"/>
        <v>0.18041412084273886</v>
      </c>
      <c r="V21" s="11">
        <f t="shared" si="15"/>
        <v>1.297833707117908E-3</v>
      </c>
      <c r="W21" s="11">
        <f t="shared" si="16"/>
        <v>1.9998304756860142E-2</v>
      </c>
      <c r="X21" s="11">
        <f t="shared" si="17"/>
        <v>4.705156552075751E-2</v>
      </c>
      <c r="Y21" s="11">
        <f t="shared" si="18"/>
        <v>0.9854193445807462</v>
      </c>
      <c r="Z21" s="11"/>
      <c r="AA21" s="11">
        <f t="shared" si="19"/>
        <v>0.18308359972321972</v>
      </c>
      <c r="AB21" s="11">
        <f t="shared" si="20"/>
        <v>4.7747759143875891E-2</v>
      </c>
      <c r="AC21" s="11">
        <f t="shared" si="21"/>
        <v>2.0294207604954789E-2</v>
      </c>
      <c r="AD21" s="11">
        <f t="shared" si="22"/>
        <v>0.74755739655860731</v>
      </c>
      <c r="AE21" s="11">
        <f t="shared" si="23"/>
        <v>1.3170369693423065E-3</v>
      </c>
      <c r="AF21" s="11">
        <f>'T calculator'!AG21</f>
        <v>878.02049811586414</v>
      </c>
      <c r="AG21" s="54">
        <f t="shared" si="24"/>
        <v>5780.2049811586412</v>
      </c>
      <c r="AH21" s="11"/>
      <c r="AI21" s="11"/>
      <c r="AJ21" s="11"/>
    </row>
    <row r="22" spans="1:36">
      <c r="A22" s="1"/>
      <c r="B22" s="1"/>
      <c r="C22" s="19">
        <f>'Spinel-- no zeroes'!C22</f>
        <v>0</v>
      </c>
      <c r="D22" s="19"/>
      <c r="E22" s="1">
        <f>'Spinel-- no zeroes'!AF22</f>
        <v>1.7809556570040356E-4</v>
      </c>
      <c r="F22" s="1">
        <f>'Spinel-- no zeroes'!AG22</f>
        <v>1.297833707117908E-3</v>
      </c>
      <c r="G22" s="1">
        <f>'Spinel-- no zeroes'!AH22</f>
        <v>1.5997651746679777</v>
      </c>
      <c r="H22" s="1">
        <f>'Spinel-- no zeroes'!AI22</f>
        <v>0.36082824168547772</v>
      </c>
      <c r="I22" s="1">
        <f>'Spinel-- no zeroes'!AJ22</f>
        <v>3.9996609513720284E-2</v>
      </c>
      <c r="J22" s="1">
        <f>'Spinel-- no zeroes'!AK22</f>
        <v>0.24005965853459232</v>
      </c>
      <c r="K22" s="1">
        <f>'Spinel-- no zeroes'!AL22</f>
        <v>2.6659930057279643E-3</v>
      </c>
      <c r="L22" s="1">
        <f>'Spinel-- no zeroes'!AM22</f>
        <v>0.74665751975327177</v>
      </c>
      <c r="M22" s="1">
        <f>'Spinel-- no zeroes'!AN22</f>
        <v>1.0264300752711062E-4</v>
      </c>
      <c r="N22" s="1">
        <f>'Spinel-- no zeroes'!AO22</f>
        <v>0</v>
      </c>
      <c r="O22" s="1">
        <f>'Spinel-- no zeroes'!AP22</f>
        <v>6.6772883524807078E-3</v>
      </c>
      <c r="P22" s="1"/>
      <c r="Q22" s="1">
        <f t="shared" si="12"/>
        <v>2.9982290577935942</v>
      </c>
      <c r="R22" s="1">
        <v>4</v>
      </c>
      <c r="S22" s="1"/>
      <c r="T22" s="11">
        <f t="shared" si="13"/>
        <v>0.74665751975327177</v>
      </c>
      <c r="U22" s="11">
        <f t="shared" si="14"/>
        <v>0.18041412084273886</v>
      </c>
      <c r="V22" s="11">
        <f t="shared" si="15"/>
        <v>1.297833707117908E-3</v>
      </c>
      <c r="W22" s="11">
        <f t="shared" si="16"/>
        <v>1.9998304756860142E-2</v>
      </c>
      <c r="X22" s="11">
        <f t="shared" si="17"/>
        <v>3.7051565520757501E-2</v>
      </c>
      <c r="Y22" s="11">
        <f t="shared" si="18"/>
        <v>0.9854193445807462</v>
      </c>
      <c r="Z22" s="11"/>
      <c r="AA22" s="11">
        <f t="shared" si="19"/>
        <v>0.18308359972321972</v>
      </c>
      <c r="AB22" s="11">
        <f t="shared" si="20"/>
        <v>3.7599795178083657E-2</v>
      </c>
      <c r="AC22" s="11">
        <f t="shared" si="21"/>
        <v>2.0294207604954789E-2</v>
      </c>
      <c r="AD22" s="11">
        <f t="shared" si="22"/>
        <v>0.75770536052439952</v>
      </c>
      <c r="AE22" s="11">
        <f t="shared" si="23"/>
        <v>1.3170369693423065E-3</v>
      </c>
      <c r="AF22" s="11">
        <f>'T calculator'!AG22</f>
        <v>914.0710456802318</v>
      </c>
      <c r="AG22" s="54">
        <f t="shared" si="24"/>
        <v>6140.7104568023178</v>
      </c>
      <c r="AH22" s="11"/>
      <c r="AI22" s="11"/>
      <c r="AJ22" s="11"/>
    </row>
    <row r="23" spans="1:36">
      <c r="A23" s="1"/>
      <c r="B23" s="1"/>
      <c r="C23" s="19">
        <f>'Spinel-- no zeroes'!C23</f>
        <v>0</v>
      </c>
      <c r="D23" s="19"/>
      <c r="E23" s="1">
        <f>'Spinel-- no zeroes'!AF23</f>
        <v>1.7809556570040356E-4</v>
      </c>
      <c r="F23" s="1">
        <f>'Spinel-- no zeroes'!AG23</f>
        <v>1.297833707117908E-3</v>
      </c>
      <c r="G23" s="1">
        <f>'Spinel-- no zeroes'!AH23</f>
        <v>1.5997651746679777</v>
      </c>
      <c r="H23" s="1">
        <f>'Spinel-- no zeroes'!AI23</f>
        <v>0.36082824168547772</v>
      </c>
      <c r="I23" s="1">
        <f>'Spinel-- no zeroes'!AJ23</f>
        <v>3.9996609513720284E-2</v>
      </c>
      <c r="J23" s="1">
        <f>'Spinel-- no zeroes'!AK23</f>
        <v>0.23005965853459232</v>
      </c>
      <c r="K23" s="1">
        <f>'Spinel-- no zeroes'!AL23</f>
        <v>2.6659930057279643E-3</v>
      </c>
      <c r="L23" s="1">
        <f>'Spinel-- no zeroes'!AM23</f>
        <v>0.75665751975327178</v>
      </c>
      <c r="M23" s="1">
        <f>'Spinel-- no zeroes'!AN23</f>
        <v>1.0264300752711062E-4</v>
      </c>
      <c r="N23" s="1">
        <f>'Spinel-- no zeroes'!AO23</f>
        <v>0</v>
      </c>
      <c r="O23" s="1">
        <f>'Spinel-- no zeroes'!AP23</f>
        <v>6.6772883524807078E-3</v>
      </c>
      <c r="P23" s="1"/>
      <c r="Q23" s="1">
        <f t="shared" si="12"/>
        <v>2.9982290577935942</v>
      </c>
      <c r="R23" s="1">
        <v>4</v>
      </c>
      <c r="S23" s="1"/>
      <c r="T23" s="11">
        <f t="shared" si="13"/>
        <v>0.75665751975327178</v>
      </c>
      <c r="U23" s="11">
        <f t="shared" si="14"/>
        <v>0.18041412084273886</v>
      </c>
      <c r="V23" s="11">
        <f t="shared" si="15"/>
        <v>1.297833707117908E-3</v>
      </c>
      <c r="W23" s="11">
        <f t="shared" si="16"/>
        <v>1.9998304756860142E-2</v>
      </c>
      <c r="X23" s="11">
        <f t="shared" si="17"/>
        <v>2.7051565520757492E-2</v>
      </c>
      <c r="Y23" s="11">
        <f t="shared" si="18"/>
        <v>0.9854193445807462</v>
      </c>
      <c r="Z23" s="11"/>
      <c r="AA23" s="11">
        <f t="shared" si="19"/>
        <v>0.18308359972321972</v>
      </c>
      <c r="AB23" s="11">
        <f t="shared" si="20"/>
        <v>2.745183121229143E-2</v>
      </c>
      <c r="AC23" s="11">
        <f t="shared" si="21"/>
        <v>2.0294207604954789E-2</v>
      </c>
      <c r="AD23" s="11">
        <f t="shared" si="22"/>
        <v>0.76785332449019172</v>
      </c>
      <c r="AE23" s="11">
        <f t="shared" si="23"/>
        <v>1.3170369693423065E-3</v>
      </c>
      <c r="AF23" s="11">
        <f>'T calculator'!AG23</f>
        <v>953.59008563576197</v>
      </c>
      <c r="AG23" s="54">
        <f t="shared" si="24"/>
        <v>6535.9008563576199</v>
      </c>
      <c r="AH23" s="11"/>
      <c r="AI23" s="11"/>
      <c r="AJ23" s="11"/>
    </row>
    <row r="24" spans="1:36">
      <c r="A24" s="1"/>
      <c r="B24" s="1"/>
      <c r="C24" s="19">
        <f>'Spinel-- no zeroes'!C24</f>
        <v>0</v>
      </c>
      <c r="D24" s="19"/>
      <c r="E24" s="1">
        <f>'Spinel-- no zeroes'!AF24</f>
        <v>1.7809556570040356E-4</v>
      </c>
      <c r="F24" s="1">
        <f>'Spinel-- no zeroes'!AG24</f>
        <v>1.297833707117908E-3</v>
      </c>
      <c r="G24" s="1">
        <f>'Spinel-- no zeroes'!AH24</f>
        <v>1.5997651746679777</v>
      </c>
      <c r="H24" s="1">
        <f>'Spinel-- no zeroes'!AI24</f>
        <v>0.36082824168547772</v>
      </c>
      <c r="I24" s="1">
        <f>'Spinel-- no zeroes'!AJ24</f>
        <v>3.9996609513720284E-2</v>
      </c>
      <c r="J24" s="1">
        <f>'Spinel-- no zeroes'!AK24</f>
        <v>0.22005965853459231</v>
      </c>
      <c r="K24" s="1">
        <f>'Spinel-- no zeroes'!AL24</f>
        <v>2.6659930057279643E-3</v>
      </c>
      <c r="L24" s="1">
        <f>'Spinel-- no zeroes'!AM24</f>
        <v>0.76665751975327179</v>
      </c>
      <c r="M24" s="1">
        <f>'Spinel-- no zeroes'!AN24</f>
        <v>1.0264300752711062E-4</v>
      </c>
      <c r="N24" s="1">
        <f>'Spinel-- no zeroes'!AO24</f>
        <v>0</v>
      </c>
      <c r="O24" s="1">
        <f>'Spinel-- no zeroes'!AP24</f>
        <v>6.6772883524807078E-3</v>
      </c>
      <c r="P24" s="1"/>
      <c r="Q24" s="1">
        <f t="shared" si="12"/>
        <v>2.9982290577935942</v>
      </c>
      <c r="R24" s="1">
        <v>4</v>
      </c>
      <c r="S24" s="1"/>
      <c r="T24" s="11">
        <f t="shared" si="13"/>
        <v>0.76665751975327179</v>
      </c>
      <c r="U24" s="11">
        <f t="shared" si="14"/>
        <v>0.18041412084273886</v>
      </c>
      <c r="V24" s="11">
        <f t="shared" si="15"/>
        <v>1.297833707117908E-3</v>
      </c>
      <c r="W24" s="11">
        <f t="shared" si="16"/>
        <v>1.9998304756860142E-2</v>
      </c>
      <c r="X24" s="11">
        <f t="shared" si="17"/>
        <v>1.7051565520757483E-2</v>
      </c>
      <c r="Y24" s="11">
        <f t="shared" si="18"/>
        <v>0.9854193445807462</v>
      </c>
      <c r="Z24" s="11"/>
      <c r="AA24" s="11">
        <f t="shared" si="19"/>
        <v>0.18308359972321972</v>
      </c>
      <c r="AB24" s="11">
        <f t="shared" si="20"/>
        <v>1.73038672464992E-2</v>
      </c>
      <c r="AC24" s="11">
        <f t="shared" si="21"/>
        <v>2.0294207604954789E-2</v>
      </c>
      <c r="AD24" s="11">
        <f t="shared" si="22"/>
        <v>0.77800128845598393</v>
      </c>
      <c r="AE24" s="11">
        <f t="shared" si="23"/>
        <v>1.3170369693423065E-3</v>
      </c>
      <c r="AF24" s="11">
        <f>'T calculator'!AG24</f>
        <v>997.17492939720648</v>
      </c>
      <c r="AG24" s="54">
        <f t="shared" si="24"/>
        <v>6971.7492939720651</v>
      </c>
      <c r="AH24" s="11"/>
      <c r="AI24" s="11"/>
      <c r="AJ24" s="11"/>
    </row>
    <row r="25" spans="1:36">
      <c r="A25" s="1"/>
      <c r="B25" s="1"/>
      <c r="C25" s="19">
        <f>'Spinel-- no zeroes'!C25</f>
        <v>0</v>
      </c>
      <c r="D25" s="19"/>
      <c r="E25" s="1">
        <f>'Spinel-- no zeroes'!AF25</f>
        <v>1.7809556570040356E-4</v>
      </c>
      <c r="F25" s="1">
        <f>'Spinel-- no zeroes'!AG25</f>
        <v>1.297833707117908E-3</v>
      </c>
      <c r="G25" s="1">
        <f>'Spinel-- no zeroes'!AH25</f>
        <v>1.5997651746679777</v>
      </c>
      <c r="H25" s="1">
        <f>'Spinel-- no zeroes'!AI25</f>
        <v>0.36082824168547772</v>
      </c>
      <c r="I25" s="1">
        <f>'Spinel-- no zeroes'!AJ25</f>
        <v>3.9996609513720284E-2</v>
      </c>
      <c r="J25" s="1">
        <f>'Spinel-- no zeroes'!AK25</f>
        <v>0.2100596585345923</v>
      </c>
      <c r="K25" s="1">
        <f>'Spinel-- no zeroes'!AL25</f>
        <v>2.6659930057279643E-3</v>
      </c>
      <c r="L25" s="1">
        <f>'Spinel-- no zeroes'!AM25</f>
        <v>0.7766575197532718</v>
      </c>
      <c r="M25" s="1">
        <f>'Spinel-- no zeroes'!AN25</f>
        <v>1.0264300752711062E-4</v>
      </c>
      <c r="N25" s="1">
        <f>'Spinel-- no zeroes'!AO25</f>
        <v>0</v>
      </c>
      <c r="O25" s="1">
        <f>'Spinel-- no zeroes'!AP25</f>
        <v>6.6772883524807078E-3</v>
      </c>
      <c r="P25" s="1"/>
      <c r="Q25" s="1">
        <f t="shared" si="12"/>
        <v>2.9982290577935942</v>
      </c>
      <c r="R25" s="1">
        <v>4</v>
      </c>
      <c r="S25" s="1"/>
      <c r="T25" s="11">
        <f t="shared" si="13"/>
        <v>0.7766575197532718</v>
      </c>
      <c r="U25" s="11">
        <f t="shared" si="14"/>
        <v>0.18041412084273886</v>
      </c>
      <c r="V25" s="11">
        <f t="shared" si="15"/>
        <v>1.297833707117908E-3</v>
      </c>
      <c r="W25" s="11">
        <f t="shared" si="16"/>
        <v>1.9998304756860142E-2</v>
      </c>
      <c r="X25" s="11">
        <f t="shared" si="17"/>
        <v>7.0515655207574746E-3</v>
      </c>
      <c r="Y25" s="11">
        <f t="shared" si="18"/>
        <v>0.9854193445807462</v>
      </c>
      <c r="Z25" s="11"/>
      <c r="AA25" s="11">
        <f t="shared" si="19"/>
        <v>0.18308359972321972</v>
      </c>
      <c r="AB25" s="11">
        <f t="shared" si="20"/>
        <v>7.1559032807069706E-3</v>
      </c>
      <c r="AC25" s="11">
        <f t="shared" si="21"/>
        <v>2.0294207604954789E-2</v>
      </c>
      <c r="AD25" s="11">
        <f t="shared" si="22"/>
        <v>0.78814925242177625</v>
      </c>
      <c r="AE25" s="11">
        <f t="shared" si="23"/>
        <v>1.3170369693423065E-3</v>
      </c>
      <c r="AF25" s="11">
        <f>'T calculator'!AG25</f>
        <v>1045.5716418484008</v>
      </c>
      <c r="AG25" s="54">
        <f t="shared" si="24"/>
        <v>7455.7164184840076</v>
      </c>
      <c r="AH25" s="11"/>
      <c r="AI25" s="11"/>
      <c r="AJ25" s="11"/>
    </row>
    <row r="26" spans="1:36">
      <c r="A26" s="1"/>
      <c r="B26" s="1"/>
      <c r="C26" s="19">
        <f>'Spinel-- no zeroes'!C26</f>
        <v>0</v>
      </c>
      <c r="D26" s="19"/>
      <c r="E26" s="1">
        <f>'Spinel-- no zeroes'!AF26</f>
        <v>1.7809556570040356E-4</v>
      </c>
      <c r="F26" s="1">
        <f>'Spinel-- no zeroes'!AG26</f>
        <v>1.297833707117908E-3</v>
      </c>
      <c r="G26" s="1">
        <f>'Spinel-- no zeroes'!AH26</f>
        <v>1.5997651746679777</v>
      </c>
      <c r="H26" s="1">
        <f>'Spinel-- no zeroes'!AI26</f>
        <v>0.36082824168547772</v>
      </c>
      <c r="I26" s="1">
        <f>'Spinel-- no zeroes'!AJ26</f>
        <v>3.9996609513720284E-2</v>
      </c>
      <c r="J26" s="1">
        <f>'Spinel-- no zeroes'!AK26</f>
        <v>0.20005965853459229</v>
      </c>
      <c r="K26" s="1">
        <f>'Spinel-- no zeroes'!AL26</f>
        <v>2.6659930057279643E-3</v>
      </c>
      <c r="L26" s="1">
        <f>'Spinel-- no zeroes'!AM26</f>
        <v>0.78665751975327181</v>
      </c>
      <c r="M26" s="1">
        <f>'Spinel-- no zeroes'!AN26</f>
        <v>1.0264300752711062E-4</v>
      </c>
      <c r="N26" s="1">
        <f>'Spinel-- no zeroes'!AO26</f>
        <v>0</v>
      </c>
      <c r="O26" s="1">
        <f>'Spinel-- no zeroes'!AP26</f>
        <v>6.6772883524807078E-3</v>
      </c>
      <c r="P26" s="1"/>
      <c r="Q26" s="1">
        <f t="shared" si="12"/>
        <v>2.9982290577935942</v>
      </c>
      <c r="R26" s="1">
        <v>4</v>
      </c>
      <c r="S26" s="1"/>
      <c r="T26" s="11">
        <f t="shared" si="13"/>
        <v>0.78665751975327181</v>
      </c>
      <c r="U26" s="11">
        <f t="shared" si="14"/>
        <v>0.18041412084273886</v>
      </c>
      <c r="V26" s="11">
        <f t="shared" si="15"/>
        <v>1.297833707117908E-3</v>
      </c>
      <c r="W26" s="11">
        <f t="shared" si="16"/>
        <v>1.9998304756860142E-2</v>
      </c>
      <c r="X26" s="11">
        <f t="shared" si="17"/>
        <v>-2.9484344792425343E-3</v>
      </c>
      <c r="Y26" s="11">
        <f t="shared" si="18"/>
        <v>0.9854193445807462</v>
      </c>
      <c r="Z26" s="11"/>
      <c r="AA26" s="11">
        <f t="shared" si="19"/>
        <v>0.18308359972321972</v>
      </c>
      <c r="AB26" s="11">
        <f t="shared" si="20"/>
        <v>-2.9920606850852589E-3</v>
      </c>
      <c r="AC26" s="11">
        <f t="shared" si="21"/>
        <v>2.0294207604954789E-2</v>
      </c>
      <c r="AD26" s="11">
        <f t="shared" si="22"/>
        <v>0.79829721638756845</v>
      </c>
      <c r="AE26" s="11">
        <f t="shared" si="23"/>
        <v>1.3170369693423065E-3</v>
      </c>
      <c r="AF26" s="11">
        <f>'T calculator'!AG26</f>
        <v>1099.7250447029228</v>
      </c>
      <c r="AG26" s="54">
        <f t="shared" si="24"/>
        <v>7997.2504470292279</v>
      </c>
      <c r="AH26" s="11"/>
      <c r="AI26" s="11"/>
      <c r="AJ26" s="11"/>
    </row>
    <row r="27" spans="1:36">
      <c r="A27" s="1"/>
      <c r="B27" s="1"/>
      <c r="C27" s="19">
        <f>'Spinel-- no zeroes'!C27</f>
        <v>0</v>
      </c>
      <c r="D27" s="19"/>
      <c r="E27" s="1">
        <f>'Spinel-- no zeroes'!AF27</f>
        <v>1.7809556570040356E-4</v>
      </c>
      <c r="F27" s="1">
        <f>'Spinel-- no zeroes'!AG27</f>
        <v>1.297833707117908E-3</v>
      </c>
      <c r="G27" s="1">
        <f>'Spinel-- no zeroes'!AH27</f>
        <v>1.5997651746679777</v>
      </c>
      <c r="H27" s="1">
        <f>'Spinel-- no zeroes'!AI27</f>
        <v>0.36082824168547772</v>
      </c>
      <c r="I27" s="1">
        <f>'Spinel-- no zeroes'!AJ27</f>
        <v>3.9996609513720284E-2</v>
      </c>
      <c r="J27" s="1">
        <f>'Spinel-- no zeroes'!AK27</f>
        <v>0.19005965853459228</v>
      </c>
      <c r="K27" s="1">
        <f>'Spinel-- no zeroes'!AL27</f>
        <v>2.6659930057279643E-3</v>
      </c>
      <c r="L27" s="1">
        <f>'Spinel-- no zeroes'!AM27</f>
        <v>0.79665751975327181</v>
      </c>
      <c r="M27" s="1">
        <f>'Spinel-- no zeroes'!AN27</f>
        <v>1.0264300752711062E-4</v>
      </c>
      <c r="N27" s="1">
        <f>'Spinel-- no zeroes'!AO27</f>
        <v>0</v>
      </c>
      <c r="O27" s="1">
        <f>'Spinel-- no zeroes'!AP27</f>
        <v>6.6772883524807078E-3</v>
      </c>
      <c r="P27" s="1"/>
      <c r="Q27" s="1">
        <f t="shared" si="12"/>
        <v>2.9982290577935942</v>
      </c>
      <c r="R27" s="1">
        <v>4</v>
      </c>
      <c r="S27" s="1"/>
      <c r="T27" s="11">
        <f t="shared" si="13"/>
        <v>0.79665751975327181</v>
      </c>
      <c r="U27" s="11">
        <f t="shared" si="14"/>
        <v>0.18041412084273886</v>
      </c>
      <c r="V27" s="11">
        <f t="shared" si="15"/>
        <v>1.297833707117908E-3</v>
      </c>
      <c r="W27" s="11">
        <f t="shared" si="16"/>
        <v>1.9998304756860142E-2</v>
      </c>
      <c r="X27" s="11">
        <f t="shared" si="17"/>
        <v>-1.2948434479242543E-2</v>
      </c>
      <c r="Y27" s="11">
        <f t="shared" si="18"/>
        <v>0.9854193445807462</v>
      </c>
      <c r="Z27" s="11"/>
      <c r="AA27" s="11">
        <f t="shared" si="19"/>
        <v>0.18308359972321972</v>
      </c>
      <c r="AB27" s="11">
        <f t="shared" si="20"/>
        <v>-1.3140024650877489E-2</v>
      </c>
      <c r="AC27" s="11">
        <f t="shared" si="21"/>
        <v>2.0294207604954789E-2</v>
      </c>
      <c r="AD27" s="11">
        <f t="shared" si="22"/>
        <v>0.80844518035336066</v>
      </c>
      <c r="AE27" s="11">
        <f t="shared" si="23"/>
        <v>1.3170369693423065E-3</v>
      </c>
      <c r="AF27" s="11">
        <f>'T calculator'!AG27</f>
        <v>1160.8504708974001</v>
      </c>
      <c r="AG27" s="54">
        <f t="shared" si="24"/>
        <v>8608.5047089740001</v>
      </c>
      <c r="AH27" s="11"/>
      <c r="AI27" s="11"/>
      <c r="AJ27" s="11"/>
    </row>
    <row r="28" spans="1:36">
      <c r="A28" s="1"/>
      <c r="B28" s="1"/>
      <c r="C28" s="19">
        <f>'Spinel-- no zeroes'!C28</f>
        <v>0</v>
      </c>
      <c r="D28" s="19"/>
      <c r="E28" s="1">
        <f>'Spinel-- no zeroes'!AF28</f>
        <v>1.7809556570040356E-4</v>
      </c>
      <c r="F28" s="1">
        <f>'Spinel-- no zeroes'!AG28</f>
        <v>1.297833707117908E-3</v>
      </c>
      <c r="G28" s="1">
        <f>'Spinel-- no zeroes'!AH28</f>
        <v>1.5997651746679777</v>
      </c>
      <c r="H28" s="1">
        <f>'Spinel-- no zeroes'!AI28</f>
        <v>0.36082824168547772</v>
      </c>
      <c r="I28" s="1">
        <f>'Spinel-- no zeroes'!AJ28</f>
        <v>3.9996609513720284E-2</v>
      </c>
      <c r="J28" s="1">
        <f>'Spinel-- no zeroes'!AK28</f>
        <v>0.18005965853459227</v>
      </c>
      <c r="K28" s="1">
        <f>'Spinel-- no zeroes'!AL28</f>
        <v>2.6659930057279643E-3</v>
      </c>
      <c r="L28" s="1">
        <f>'Spinel-- no zeroes'!AM28</f>
        <v>0.80665751975327182</v>
      </c>
      <c r="M28" s="1">
        <f>'Spinel-- no zeroes'!AN28</f>
        <v>1.0264300752711062E-4</v>
      </c>
      <c r="N28" s="1">
        <f>'Spinel-- no zeroes'!AO28</f>
        <v>0</v>
      </c>
      <c r="O28" s="1">
        <f>'Spinel-- no zeroes'!AP28</f>
        <v>6.6772883524807078E-3</v>
      </c>
      <c r="P28" s="1"/>
      <c r="Q28" s="1">
        <f t="shared" si="12"/>
        <v>2.9982290577935942</v>
      </c>
      <c r="R28" s="1">
        <v>4</v>
      </c>
      <c r="S28" s="1"/>
      <c r="T28" s="11">
        <f t="shared" si="13"/>
        <v>0.80665751975327182</v>
      </c>
      <c r="U28" s="11">
        <f t="shared" si="14"/>
        <v>0.18041412084273886</v>
      </c>
      <c r="V28" s="11">
        <f t="shared" si="15"/>
        <v>1.297833707117908E-3</v>
      </c>
      <c r="W28" s="11">
        <f t="shared" si="16"/>
        <v>1.9998304756860142E-2</v>
      </c>
      <c r="X28" s="11">
        <f t="shared" si="17"/>
        <v>-2.2948434479242552E-2</v>
      </c>
      <c r="Y28" s="11">
        <f t="shared" si="18"/>
        <v>0.9854193445807462</v>
      </c>
      <c r="Z28" s="11"/>
      <c r="AA28" s="11">
        <f t="shared" si="19"/>
        <v>0.18308359972321972</v>
      </c>
      <c r="AB28" s="11">
        <f t="shared" si="20"/>
        <v>-2.3287988616669718E-2</v>
      </c>
      <c r="AC28" s="11">
        <f t="shared" si="21"/>
        <v>2.0294207604954789E-2</v>
      </c>
      <c r="AD28" s="11">
        <f t="shared" si="22"/>
        <v>0.81859314431915287</v>
      </c>
      <c r="AE28" s="11">
        <f t="shared" si="23"/>
        <v>1.3170369693423065E-3</v>
      </c>
      <c r="AF28" s="11">
        <f>'T calculator'!AG28</f>
        <v>1230.5392102903593</v>
      </c>
      <c r="AG28" s="54">
        <f t="shared" si="24"/>
        <v>9305.3921029035919</v>
      </c>
      <c r="AH28" s="11"/>
      <c r="AI28" s="11"/>
      <c r="AJ28" s="11"/>
    </row>
    <row r="29" spans="1:36">
      <c r="A29" s="1"/>
      <c r="B29" s="1"/>
      <c r="C29" s="19">
        <f>'Spinel-- no zeroes'!C29</f>
        <v>0</v>
      </c>
      <c r="D29" s="19"/>
      <c r="E29" s="1">
        <f>'Spinel-- no zeroes'!AF29</f>
        <v>1.7809556570040356E-4</v>
      </c>
      <c r="F29" s="1">
        <f>'Spinel-- no zeroes'!AG29</f>
        <v>1.297833707117908E-3</v>
      </c>
      <c r="G29" s="1">
        <f>'Spinel-- no zeroes'!AH29</f>
        <v>1.5997651746679777</v>
      </c>
      <c r="H29" s="1">
        <f>'Spinel-- no zeroes'!AI29</f>
        <v>0.36082824168547772</v>
      </c>
      <c r="I29" s="1">
        <f>'Spinel-- no zeroes'!AJ29</f>
        <v>3.9996609513720284E-2</v>
      </c>
      <c r="J29" s="1">
        <f>'Spinel-- no zeroes'!AK29</f>
        <v>0.17005965853459226</v>
      </c>
      <c r="K29" s="1">
        <f>'Spinel-- no zeroes'!AL29</f>
        <v>2.6659930057279643E-3</v>
      </c>
      <c r="L29" s="1">
        <f>'Spinel-- no zeroes'!AM29</f>
        <v>0.81665751975327183</v>
      </c>
      <c r="M29" s="1">
        <f>'Spinel-- no zeroes'!AN29</f>
        <v>1.0264300752711062E-4</v>
      </c>
      <c r="N29" s="1">
        <f>'Spinel-- no zeroes'!AO29</f>
        <v>0</v>
      </c>
      <c r="O29" s="1">
        <f>'Spinel-- no zeroes'!AP29</f>
        <v>6.6772883524807078E-3</v>
      </c>
      <c r="P29" s="1"/>
      <c r="Q29" s="1">
        <f t="shared" si="12"/>
        <v>2.9982290577935942</v>
      </c>
      <c r="R29" s="1">
        <v>4</v>
      </c>
      <c r="S29" s="1"/>
      <c r="T29" s="11">
        <f t="shared" si="13"/>
        <v>0.81665751975327183</v>
      </c>
      <c r="U29" s="11">
        <f t="shared" si="14"/>
        <v>0.18041412084273886</v>
      </c>
      <c r="V29" s="11">
        <f t="shared" si="15"/>
        <v>1.297833707117908E-3</v>
      </c>
      <c r="W29" s="11">
        <f t="shared" si="16"/>
        <v>1.9998304756860142E-2</v>
      </c>
      <c r="X29" s="11">
        <f t="shared" si="17"/>
        <v>-3.2948434479242561E-2</v>
      </c>
      <c r="Y29" s="11">
        <f t="shared" si="18"/>
        <v>0.9854193445807462</v>
      </c>
      <c r="Z29" s="11"/>
      <c r="AA29" s="11">
        <f t="shared" si="19"/>
        <v>0.18308359972321972</v>
      </c>
      <c r="AB29" s="11">
        <f t="shared" si="20"/>
        <v>-3.3435952582461945E-2</v>
      </c>
      <c r="AC29" s="11">
        <f t="shared" si="21"/>
        <v>2.0294207604954789E-2</v>
      </c>
      <c r="AD29" s="11">
        <f t="shared" si="22"/>
        <v>0.82874110828494507</v>
      </c>
      <c r="AE29" s="11">
        <f t="shared" si="23"/>
        <v>1.3170369693423065E-3</v>
      </c>
      <c r="AF29" s="11">
        <f>'T calculator'!AG29</f>
        <v>1310.9177306185829</v>
      </c>
      <c r="AG29" s="54">
        <f t="shared" si="24"/>
        <v>10109.177306185829</v>
      </c>
      <c r="AH29" s="11"/>
      <c r="AI29" s="11"/>
      <c r="AJ29" s="11"/>
    </row>
    <row r="30" spans="1:36">
      <c r="A30" s="1"/>
      <c r="B30" s="1"/>
      <c r="C30" s="19">
        <f>'Spinel-- no zeroes'!C30</f>
        <v>0</v>
      </c>
      <c r="D30" s="19"/>
      <c r="E30" s="1">
        <f>'Spinel-- no zeroes'!AF30</f>
        <v>1.7809556570040356E-4</v>
      </c>
      <c r="F30" s="1">
        <f>'Spinel-- no zeroes'!AG30</f>
        <v>1.297833707117908E-3</v>
      </c>
      <c r="G30" s="1">
        <f>'Spinel-- no zeroes'!AH30</f>
        <v>1.5997651746679777</v>
      </c>
      <c r="H30" s="1">
        <f>'Spinel-- no zeroes'!AI30</f>
        <v>0.36082824168547772</v>
      </c>
      <c r="I30" s="1">
        <f>'Spinel-- no zeroes'!AJ30</f>
        <v>3.9996609513720284E-2</v>
      </c>
      <c r="J30" s="1">
        <f>'Spinel-- no zeroes'!AK30</f>
        <v>0.16005965853459236</v>
      </c>
      <c r="K30" s="1">
        <f>'Spinel-- no zeroes'!AL30</f>
        <v>2.6659930057279643E-3</v>
      </c>
      <c r="L30" s="1">
        <f>'Spinel-- no zeroes'!AM30</f>
        <v>0.82665751975327173</v>
      </c>
      <c r="M30" s="1">
        <f>'Spinel-- no zeroes'!AN30</f>
        <v>1.0264300752711062E-4</v>
      </c>
      <c r="N30" s="1">
        <f>'Spinel-- no zeroes'!AO30</f>
        <v>0</v>
      </c>
      <c r="O30" s="1">
        <f>'Spinel-- no zeroes'!AP30</f>
        <v>6.6772883524807078E-3</v>
      </c>
      <c r="P30" s="1"/>
      <c r="Q30" s="1">
        <f t="shared" si="12"/>
        <v>2.9982290577935937</v>
      </c>
      <c r="R30" s="1">
        <v>4</v>
      </c>
      <c r="S30" s="1"/>
      <c r="T30" s="11">
        <f t="shared" si="13"/>
        <v>0.82665751975327173</v>
      </c>
      <c r="U30" s="11">
        <f t="shared" si="14"/>
        <v>0.18041412084273886</v>
      </c>
      <c r="V30" s="11">
        <f t="shared" si="15"/>
        <v>1.297833707117908E-3</v>
      </c>
      <c r="W30" s="11">
        <f t="shared" si="16"/>
        <v>1.9998304756860142E-2</v>
      </c>
      <c r="X30" s="11">
        <f t="shared" si="17"/>
        <v>-4.2948434479242459E-2</v>
      </c>
      <c r="Y30" s="11">
        <f t="shared" si="18"/>
        <v>0.98541934458074609</v>
      </c>
      <c r="Z30" s="11"/>
      <c r="AA30" s="11">
        <f t="shared" si="19"/>
        <v>0.18308359972321975</v>
      </c>
      <c r="AB30" s="11">
        <f t="shared" si="20"/>
        <v>-4.3583916548254067E-2</v>
      </c>
      <c r="AC30" s="11">
        <f t="shared" si="21"/>
        <v>2.0294207604954789E-2</v>
      </c>
      <c r="AD30" s="11">
        <f t="shared" si="22"/>
        <v>0.83888907225073728</v>
      </c>
      <c r="AE30" s="11">
        <f t="shared" si="23"/>
        <v>1.3170369693423067E-3</v>
      </c>
      <c r="AF30" s="11">
        <f>'T calculator'!AG30</f>
        <v>1404.8957398392049</v>
      </c>
      <c r="AG30" s="54">
        <f t="shared" si="24"/>
        <v>11048.957398392049</v>
      </c>
      <c r="AH30" s="11"/>
      <c r="AI30" s="11"/>
      <c r="AJ30" s="11"/>
    </row>
    <row r="31" spans="1:36">
      <c r="A31" s="1"/>
      <c r="B31" s="1"/>
      <c r="C31" s="19"/>
      <c r="D31" s="19"/>
      <c r="E31" s="1"/>
      <c r="F31" s="1"/>
      <c r="G31" s="1"/>
      <c r="H31" s="1"/>
      <c r="I31" s="1"/>
      <c r="J31" s="71"/>
      <c r="K31" s="1"/>
      <c r="L31" s="1"/>
      <c r="M31" s="1"/>
      <c r="N31" s="1"/>
      <c r="O31" s="1"/>
      <c r="P31" s="1"/>
      <c r="Q31" s="1"/>
      <c r="R31" s="1"/>
      <c r="S31" s="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54"/>
      <c r="AH31" s="11"/>
      <c r="AI31" s="11"/>
      <c r="AJ31" s="11"/>
    </row>
    <row r="32" spans="1:36">
      <c r="A32" s="1"/>
      <c r="B32" s="1"/>
      <c r="C32" s="19">
        <f>'Spinel-- no zeroes'!C32</f>
        <v>0</v>
      </c>
      <c r="D32" s="19"/>
      <c r="E32" s="1">
        <f>'Spinel-- no zeroes'!AF32</f>
        <v>1.7809556570040356E-4</v>
      </c>
      <c r="F32" s="1">
        <f>'Spinel-- no zeroes'!AG32</f>
        <v>1.297833707117908E-3</v>
      </c>
      <c r="G32" s="1">
        <f>'Spinel-- no zeroes'!AH32</f>
        <v>1.6397349442431788</v>
      </c>
      <c r="H32" s="1">
        <f>'Spinel-- no zeroes'!AI32</f>
        <v>0.36082824168547772</v>
      </c>
      <c r="I32" s="1">
        <f>'Spinel-- no zeroes'!AJ32</f>
        <v>2.6839938519158966E-5</v>
      </c>
      <c r="J32" s="1">
        <f>'Spinel-- no zeroes'!AK32</f>
        <v>0.24005965853459235</v>
      </c>
      <c r="K32" s="1">
        <f>'Spinel-- no zeroes'!AL32</f>
        <v>2.6659930057279643E-3</v>
      </c>
      <c r="L32" s="1">
        <f>'Spinel-- no zeroes'!AM32</f>
        <v>0.74665751975327177</v>
      </c>
      <c r="M32" s="1">
        <f>'Spinel-- no zeroes'!AN32</f>
        <v>1.0264300752711062E-4</v>
      </c>
      <c r="N32" s="1">
        <f>'Spinel-- no zeroes'!AO32</f>
        <v>0</v>
      </c>
      <c r="O32" s="1">
        <f>'Spinel-- no zeroes'!AP32</f>
        <v>6.6772883524807078E-3</v>
      </c>
      <c r="P32" s="1"/>
      <c r="Q32" s="1">
        <f t="shared" si="12"/>
        <v>2.9982290577935942</v>
      </c>
      <c r="R32" s="1">
        <v>4</v>
      </c>
      <c r="S32" s="1"/>
      <c r="T32" s="11">
        <f t="shared" si="13"/>
        <v>0.74665751975327177</v>
      </c>
      <c r="U32" s="11">
        <f t="shared" si="14"/>
        <v>0.18041412084273886</v>
      </c>
      <c r="V32" s="11">
        <f t="shared" si="15"/>
        <v>1.297833707117908E-3</v>
      </c>
      <c r="W32" s="11">
        <f t="shared" si="16"/>
        <v>1.3419969259579483E-5</v>
      </c>
      <c r="X32" s="11">
        <f t="shared" si="17"/>
        <v>5.7036450308358105E-2</v>
      </c>
      <c r="Y32" s="11">
        <f t="shared" si="18"/>
        <v>0.98541934458074631</v>
      </c>
      <c r="Z32" s="11"/>
      <c r="AA32" s="11">
        <f t="shared" si="19"/>
        <v>0.18308359972321969</v>
      </c>
      <c r="AB32" s="11">
        <f t="shared" si="20"/>
        <v>5.7880384246591657E-2</v>
      </c>
      <c r="AC32" s="11">
        <f t="shared" si="21"/>
        <v>1.3618536446825189E-5</v>
      </c>
      <c r="AD32" s="11">
        <f t="shared" si="22"/>
        <v>0.75770536052439941</v>
      </c>
      <c r="AE32" s="11">
        <f t="shared" si="23"/>
        <v>1.3170369693423065E-3</v>
      </c>
      <c r="AF32" s="11">
        <f>'T calculator'!AG32</f>
        <v>887.32574874755949</v>
      </c>
      <c r="AG32" s="54">
        <f>(AF32-300)*10</f>
        <v>5873.2574874755946</v>
      </c>
      <c r="AH32" s="11"/>
      <c r="AI32" s="11"/>
      <c r="AJ32" s="11"/>
    </row>
    <row r="33" spans="1:36">
      <c r="A33" s="1"/>
      <c r="B33" s="1"/>
      <c r="C33" s="19">
        <f>'Spinel-- no zeroes'!C33</f>
        <v>0</v>
      </c>
      <c r="D33" s="19"/>
      <c r="E33" s="1">
        <f>'Spinel-- no zeroes'!AF33</f>
        <v>1.7809556570040356E-4</v>
      </c>
      <c r="F33" s="1">
        <f>'Spinel-- no zeroes'!AG33</f>
        <v>1.297833707117908E-3</v>
      </c>
      <c r="G33" s="1">
        <f>'Spinel-- no zeroes'!AH33</f>
        <v>1.5934258832568571</v>
      </c>
      <c r="H33" s="1">
        <f>'Spinel-- no zeroes'!AI33</f>
        <v>0.36082824168547772</v>
      </c>
      <c r="I33" s="1">
        <f>'Spinel-- no zeroes'!AJ33</f>
        <v>4.6335900924840898E-2</v>
      </c>
      <c r="J33" s="1">
        <f>'Spinel-- no zeroes'!AK33</f>
        <v>0.24005965853459235</v>
      </c>
      <c r="K33" s="1">
        <f>'Spinel-- no zeroes'!AL33</f>
        <v>2.6659930057279643E-3</v>
      </c>
      <c r="L33" s="1">
        <f>'Spinel-- no zeroes'!AM33</f>
        <v>0.74665751975327177</v>
      </c>
      <c r="M33" s="1">
        <f>'Spinel-- no zeroes'!AN33</f>
        <v>1.0264300752711062E-4</v>
      </c>
      <c r="N33" s="1">
        <f>'Spinel-- no zeroes'!AO33</f>
        <v>0</v>
      </c>
      <c r="O33" s="1">
        <f>'Spinel-- no zeroes'!AP33</f>
        <v>6.6772883524807078E-3</v>
      </c>
      <c r="P33" s="1"/>
      <c r="Q33" s="1">
        <f t="shared" si="12"/>
        <v>2.9982290577935942</v>
      </c>
      <c r="R33" s="1">
        <v>4</v>
      </c>
      <c r="S33" s="1"/>
      <c r="T33" s="11">
        <f t="shared" si="13"/>
        <v>0.74665751975327177</v>
      </c>
      <c r="U33" s="11">
        <f t="shared" si="14"/>
        <v>0.18041412084273886</v>
      </c>
      <c r="V33" s="11">
        <f t="shared" si="15"/>
        <v>1.297833707117908E-3</v>
      </c>
      <c r="W33" s="11">
        <f t="shared" si="16"/>
        <v>2.3167950462420449E-2</v>
      </c>
      <c r="X33" s="11">
        <f t="shared" si="17"/>
        <v>3.3881919815197226E-2</v>
      </c>
      <c r="Y33" s="11">
        <f t="shared" si="18"/>
        <v>0.9854193445807462</v>
      </c>
      <c r="Z33" s="11"/>
      <c r="AA33" s="11">
        <f t="shared" si="19"/>
        <v>0.18308359972321972</v>
      </c>
      <c r="AB33" s="11">
        <f t="shared" si="20"/>
        <v>3.4383250137648286E-2</v>
      </c>
      <c r="AC33" s="11">
        <f t="shared" si="21"/>
        <v>2.3510752645390192E-2</v>
      </c>
      <c r="AD33" s="11">
        <f t="shared" si="22"/>
        <v>0.75770536052439952</v>
      </c>
      <c r="AE33" s="11">
        <f t="shared" si="23"/>
        <v>1.3170369693423065E-3</v>
      </c>
      <c r="AF33" s="11">
        <f>'T calculator'!AG33</f>
        <v>918.42658951320789</v>
      </c>
      <c r="AG33" s="54">
        <f t="shared" ref="AG33:AG44" si="25">(AF33-300)*10</f>
        <v>6184.2658951320791</v>
      </c>
      <c r="AH33" s="11"/>
      <c r="AI33" s="11"/>
      <c r="AJ33" s="11"/>
    </row>
    <row r="34" spans="1:36">
      <c r="A34" s="1"/>
      <c r="B34" s="1"/>
      <c r="C34" s="19">
        <f>'Spinel-- no zeroes'!C34</f>
        <v>0</v>
      </c>
      <c r="D34" s="19"/>
      <c r="E34" s="1">
        <f>'Spinel-- no zeroes'!AF34</f>
        <v>1.7809556570040356E-4</v>
      </c>
      <c r="F34" s="1">
        <f>'Spinel-- no zeroes'!AG34</f>
        <v>1.297833707117908E-3</v>
      </c>
      <c r="G34" s="1">
        <f>'Spinel-- no zeroes'!AH34</f>
        <v>1.5471168222705356</v>
      </c>
      <c r="H34" s="1">
        <f>'Spinel-- no zeroes'!AI34</f>
        <v>0.36082824168547772</v>
      </c>
      <c r="I34" s="1">
        <f>'Spinel-- no zeroes'!AJ34</f>
        <v>9.2644961911162629E-2</v>
      </c>
      <c r="J34" s="1">
        <f>'Spinel-- no zeroes'!AK34</f>
        <v>0.24005965853459235</v>
      </c>
      <c r="K34" s="1">
        <f>'Spinel-- no zeroes'!AL34</f>
        <v>2.6659930057279643E-3</v>
      </c>
      <c r="L34" s="1">
        <f>'Spinel-- no zeroes'!AM34</f>
        <v>0.74665751975327177</v>
      </c>
      <c r="M34" s="1">
        <f>'Spinel-- no zeroes'!AN34</f>
        <v>1.0264300752711062E-4</v>
      </c>
      <c r="N34" s="1">
        <f>'Spinel-- no zeroes'!AO34</f>
        <v>0</v>
      </c>
      <c r="O34" s="1">
        <f>'Spinel-- no zeroes'!AP34</f>
        <v>6.6772883524807078E-3</v>
      </c>
      <c r="P34" s="1"/>
      <c r="Q34" s="1">
        <f t="shared" si="12"/>
        <v>2.9982290577935942</v>
      </c>
      <c r="R34" s="1">
        <v>4</v>
      </c>
      <c r="S34" s="1"/>
      <c r="T34" s="11">
        <f t="shared" si="13"/>
        <v>0.74665751975327177</v>
      </c>
      <c r="U34" s="11">
        <f t="shared" si="14"/>
        <v>0.18041412084273886</v>
      </c>
      <c r="V34" s="11">
        <f t="shared" si="15"/>
        <v>1.297833707117908E-3</v>
      </c>
      <c r="W34" s="11">
        <f t="shared" si="16"/>
        <v>4.6322480955581315E-2</v>
      </c>
      <c r="X34" s="11">
        <f t="shared" si="17"/>
        <v>1.0727389322036374E-2</v>
      </c>
      <c r="Y34" s="11">
        <f t="shared" si="18"/>
        <v>0.9854193445807462</v>
      </c>
      <c r="Z34" s="11"/>
      <c r="AA34" s="11">
        <f t="shared" si="19"/>
        <v>0.18308359972321972</v>
      </c>
      <c r="AB34" s="11">
        <f t="shared" si="20"/>
        <v>1.0886116028704935E-2</v>
      </c>
      <c r="AC34" s="11">
        <f t="shared" si="21"/>
        <v>4.700788675433356E-2</v>
      </c>
      <c r="AD34" s="11">
        <f t="shared" si="22"/>
        <v>0.75770536052439952</v>
      </c>
      <c r="AE34" s="11">
        <f t="shared" si="23"/>
        <v>1.3170369693423065E-3</v>
      </c>
      <c r="AF34" s="11">
        <f>'T calculator'!AG34</f>
        <v>951.2403464938244</v>
      </c>
      <c r="AG34" s="54">
        <f t="shared" si="25"/>
        <v>6512.4034649382438</v>
      </c>
      <c r="AH34" s="11"/>
      <c r="AI34" s="11"/>
      <c r="AJ34" s="11"/>
    </row>
    <row r="35" spans="1:36">
      <c r="A35" s="1"/>
      <c r="B35" s="1"/>
      <c r="C35" s="19">
        <f>'Spinel-- no zeroes'!C35</f>
        <v>0</v>
      </c>
      <c r="D35" s="19"/>
      <c r="E35" s="1">
        <f>'Spinel-- no zeroes'!AF35</f>
        <v>1.7809556570040356E-4</v>
      </c>
      <c r="F35" s="1">
        <f>'Spinel-- no zeroes'!AG35</f>
        <v>1.297833707117908E-3</v>
      </c>
      <c r="G35" s="1">
        <f>'Spinel-- no zeroes'!AH35</f>
        <v>1.5008077612842139</v>
      </c>
      <c r="H35" s="1">
        <f>'Spinel-- no zeroes'!AI35</f>
        <v>0.36082824168547772</v>
      </c>
      <c r="I35" s="1">
        <f>'Spinel-- no zeroes'!AJ35</f>
        <v>0.13895402289748437</v>
      </c>
      <c r="J35" s="1">
        <f>'Spinel-- no zeroes'!AK35</f>
        <v>0.24005965853459235</v>
      </c>
      <c r="K35" s="1">
        <f>'Spinel-- no zeroes'!AL35</f>
        <v>2.6659930057279643E-3</v>
      </c>
      <c r="L35" s="1">
        <f>'Spinel-- no zeroes'!AM35</f>
        <v>0.74665751975327177</v>
      </c>
      <c r="M35" s="1">
        <f>'Spinel-- no zeroes'!AN35</f>
        <v>1.0264300752711062E-4</v>
      </c>
      <c r="N35" s="1">
        <f>'Spinel-- no zeroes'!AO35</f>
        <v>0</v>
      </c>
      <c r="O35" s="1">
        <f>'Spinel-- no zeroes'!AP35</f>
        <v>6.6772883524807078E-3</v>
      </c>
      <c r="P35" s="1"/>
      <c r="Q35" s="1">
        <f t="shared" si="12"/>
        <v>2.9982290577935946</v>
      </c>
      <c r="R35" s="1">
        <v>4</v>
      </c>
      <c r="S35" s="1"/>
      <c r="T35" s="11">
        <f t="shared" si="13"/>
        <v>0.74665751975327177</v>
      </c>
      <c r="U35" s="11">
        <f t="shared" si="14"/>
        <v>0.18041412084273886</v>
      </c>
      <c r="V35" s="11">
        <f t="shared" si="15"/>
        <v>1.297833707117908E-3</v>
      </c>
      <c r="W35" s="11">
        <f t="shared" si="16"/>
        <v>6.9477011448742187E-2</v>
      </c>
      <c r="X35" s="11">
        <f t="shared" si="17"/>
        <v>-1.2427141171124506E-2</v>
      </c>
      <c r="Y35" s="11">
        <f t="shared" si="18"/>
        <v>0.9854193445807462</v>
      </c>
      <c r="Z35" s="11"/>
      <c r="AA35" s="11">
        <f t="shared" si="19"/>
        <v>0.18308359972321972</v>
      </c>
      <c r="AB35" s="11">
        <f t="shared" si="20"/>
        <v>-1.2611018080238443E-2</v>
      </c>
      <c r="AC35" s="11">
        <f t="shared" si="21"/>
        <v>7.0505020863276924E-2</v>
      </c>
      <c r="AD35" s="11">
        <f t="shared" si="22"/>
        <v>0.75770536052439952</v>
      </c>
      <c r="AE35" s="11">
        <f t="shared" si="23"/>
        <v>1.3170369693423065E-3</v>
      </c>
      <c r="AF35" s="11">
        <f>'T calculator'!AG35</f>
        <v>985.91253837924307</v>
      </c>
      <c r="AG35" s="54">
        <f t="shared" si="25"/>
        <v>6859.1253837924305</v>
      </c>
      <c r="AH35" s="11"/>
      <c r="AI35" s="11"/>
      <c r="AJ35" s="11"/>
    </row>
    <row r="36" spans="1:36">
      <c r="A36" s="1"/>
      <c r="B36" s="1"/>
      <c r="C36" s="19">
        <f>'Spinel-- no zeroes'!C36</f>
        <v>0</v>
      </c>
      <c r="D36" s="19"/>
      <c r="E36" s="1">
        <f>'Spinel-- no zeroes'!AF36</f>
        <v>1.7809556570040356E-4</v>
      </c>
      <c r="F36" s="1">
        <f>'Spinel-- no zeroes'!AG36</f>
        <v>1.297833707117908E-3</v>
      </c>
      <c r="G36" s="1">
        <f>'Spinel-- no zeroes'!AH36</f>
        <v>1.4544987002978922</v>
      </c>
      <c r="H36" s="1">
        <f>'Spinel-- no zeroes'!AI36</f>
        <v>0.36082824168547772</v>
      </c>
      <c r="I36" s="1">
        <f>'Spinel-- no zeroes'!AJ36</f>
        <v>0.18526308388380611</v>
      </c>
      <c r="J36" s="1">
        <f>'Spinel-- no zeroes'!AK36</f>
        <v>0.24005965853459235</v>
      </c>
      <c r="K36" s="1">
        <f>'Spinel-- no zeroes'!AL36</f>
        <v>2.6659930057279643E-3</v>
      </c>
      <c r="L36" s="1">
        <f>'Spinel-- no zeroes'!AM36</f>
        <v>0.74665751975327177</v>
      </c>
      <c r="M36" s="1">
        <f>'Spinel-- no zeroes'!AN36</f>
        <v>1.0264300752711062E-4</v>
      </c>
      <c r="N36" s="1">
        <f>'Spinel-- no zeroes'!AO36</f>
        <v>0</v>
      </c>
      <c r="O36" s="1">
        <f>'Spinel-- no zeroes'!AP36</f>
        <v>6.6772883524807078E-3</v>
      </c>
      <c r="P36" s="1"/>
      <c r="Q36" s="1">
        <f t="shared" si="12"/>
        <v>2.9982290577935946</v>
      </c>
      <c r="R36" s="1">
        <v>4</v>
      </c>
      <c r="S36" s="1"/>
      <c r="T36" s="11">
        <f t="shared" si="13"/>
        <v>0.74665751975327177</v>
      </c>
      <c r="U36" s="11">
        <f t="shared" si="14"/>
        <v>0.18041412084273886</v>
      </c>
      <c r="V36" s="11">
        <f t="shared" si="15"/>
        <v>1.297833707117908E-3</v>
      </c>
      <c r="W36" s="11">
        <f t="shared" si="16"/>
        <v>9.2631541941903053E-2</v>
      </c>
      <c r="X36" s="11">
        <f t="shared" si="17"/>
        <v>-3.5581671664285358E-2</v>
      </c>
      <c r="Y36" s="11">
        <f t="shared" si="18"/>
        <v>0.9854193445807462</v>
      </c>
      <c r="Z36" s="11"/>
      <c r="AA36" s="11">
        <f t="shared" si="19"/>
        <v>0.18308359972321972</v>
      </c>
      <c r="AB36" s="11">
        <f t="shared" si="20"/>
        <v>-3.6108152189181793E-2</v>
      </c>
      <c r="AC36" s="11">
        <f t="shared" si="21"/>
        <v>9.4002154972220295E-2</v>
      </c>
      <c r="AD36" s="11">
        <f t="shared" si="22"/>
        <v>0.75770536052439952</v>
      </c>
      <c r="AE36" s="11">
        <f t="shared" si="23"/>
        <v>1.3170369693423065E-3</v>
      </c>
      <c r="AF36" s="11">
        <f>'T calculator'!AG36</f>
        <v>1022.6056473793291</v>
      </c>
      <c r="AG36" s="54">
        <f t="shared" si="25"/>
        <v>7226.0564737932909</v>
      </c>
      <c r="AH36" s="11"/>
      <c r="AI36" s="11"/>
      <c r="AJ36" s="11"/>
    </row>
    <row r="37" spans="1:36">
      <c r="A37" s="1"/>
      <c r="B37" s="1"/>
      <c r="C37" s="19">
        <f>'Spinel-- no zeroes'!C37</f>
        <v>0</v>
      </c>
      <c r="D37" s="19"/>
      <c r="E37" s="1">
        <f>'Spinel-- no zeroes'!AF37</f>
        <v>1.7809556570040354E-4</v>
      </c>
      <c r="F37" s="1">
        <f>'Spinel-- no zeroes'!AG37</f>
        <v>1.2978337071179078E-3</v>
      </c>
      <c r="G37" s="1">
        <f>'Spinel-- no zeroes'!AH37</f>
        <v>1.4081896393115703</v>
      </c>
      <c r="H37" s="1">
        <f>'Spinel-- no zeroes'!AI37</f>
        <v>0.36082824168547767</v>
      </c>
      <c r="I37" s="1">
        <f>'Spinel-- no zeroes'!AJ37</f>
        <v>0.23157214487012781</v>
      </c>
      <c r="J37" s="1">
        <f>'Spinel-- no zeroes'!AK37</f>
        <v>0.24005965853459232</v>
      </c>
      <c r="K37" s="1">
        <f>'Spinel-- no zeroes'!AL37</f>
        <v>2.6659930057279639E-3</v>
      </c>
      <c r="L37" s="1">
        <f>'Spinel-- no zeroes'!AM37</f>
        <v>0.74665751975327155</v>
      </c>
      <c r="M37" s="1">
        <f>'Spinel-- no zeroes'!AN37</f>
        <v>1.0264300752711061E-4</v>
      </c>
      <c r="N37" s="1">
        <f>'Spinel-- no zeroes'!AO37</f>
        <v>0</v>
      </c>
      <c r="O37" s="1">
        <f>'Spinel-- no zeroes'!AP37</f>
        <v>6.6772883524807061E-3</v>
      </c>
      <c r="P37" s="1"/>
      <c r="Q37" s="1">
        <f t="shared" si="12"/>
        <v>2.9982290577935937</v>
      </c>
      <c r="R37" s="1">
        <v>4</v>
      </c>
      <c r="S37" s="1"/>
      <c r="T37" s="11">
        <f t="shared" si="13"/>
        <v>0.74665751975327155</v>
      </c>
      <c r="U37" s="11">
        <f t="shared" si="14"/>
        <v>0.18041412084273883</v>
      </c>
      <c r="V37" s="11">
        <f t="shared" si="15"/>
        <v>1.2978337071179078E-3</v>
      </c>
      <c r="W37" s="11">
        <f t="shared" si="16"/>
        <v>0.11578607243506391</v>
      </c>
      <c r="X37" s="11">
        <f t="shared" si="17"/>
        <v>-5.8736202157446238E-2</v>
      </c>
      <c r="Y37" s="11">
        <f t="shared" si="18"/>
        <v>0.98541934458074598</v>
      </c>
      <c r="Z37" s="11"/>
      <c r="AA37" s="11">
        <f t="shared" si="19"/>
        <v>0.18308359972321972</v>
      </c>
      <c r="AB37" s="11">
        <f t="shared" si="20"/>
        <v>-5.9605286298125185E-2</v>
      </c>
      <c r="AC37" s="11">
        <f t="shared" si="21"/>
        <v>0.11749928908116367</v>
      </c>
      <c r="AD37" s="11">
        <f t="shared" si="22"/>
        <v>0.75770536052439941</v>
      </c>
      <c r="AE37" s="11">
        <f t="shared" si="23"/>
        <v>1.3170369693423067E-3</v>
      </c>
      <c r="AF37" s="11">
        <f>'T calculator'!AG37</f>
        <v>1061.5016652803288</v>
      </c>
      <c r="AG37" s="54">
        <f t="shared" si="25"/>
        <v>7615.0166528032878</v>
      </c>
      <c r="AH37" s="11"/>
      <c r="AI37" s="11"/>
      <c r="AJ37" s="11"/>
    </row>
    <row r="38" spans="1:36">
      <c r="A38" s="1"/>
      <c r="B38" s="1"/>
      <c r="C38" s="19">
        <f>'Spinel-- no zeroes'!C38</f>
        <v>0</v>
      </c>
      <c r="D38" s="19"/>
      <c r="E38" s="1">
        <f>'Spinel-- no zeroes'!AF38</f>
        <v>1.7809556570040354E-4</v>
      </c>
      <c r="F38" s="1">
        <f>'Spinel-- no zeroes'!AG38</f>
        <v>1.2978337071179078E-3</v>
      </c>
      <c r="G38" s="1">
        <f>'Spinel-- no zeroes'!AH38</f>
        <v>1.3618805783252488</v>
      </c>
      <c r="H38" s="1">
        <f>'Spinel-- no zeroes'!AI38</f>
        <v>0.36082824168547767</v>
      </c>
      <c r="I38" s="1">
        <f>'Spinel-- no zeroes'!AJ38</f>
        <v>0.27788120585644954</v>
      </c>
      <c r="J38" s="1">
        <f>'Spinel-- no zeroes'!AK38</f>
        <v>0.24005965853459232</v>
      </c>
      <c r="K38" s="1">
        <f>'Spinel-- no zeroes'!AL38</f>
        <v>2.6659930057279639E-3</v>
      </c>
      <c r="L38" s="1">
        <f>'Spinel-- no zeroes'!AM38</f>
        <v>0.74665751975327155</v>
      </c>
      <c r="M38" s="1">
        <f>'Spinel-- no zeroes'!AN38</f>
        <v>1.0264300752711061E-4</v>
      </c>
      <c r="N38" s="1">
        <f>'Spinel-- no zeroes'!AO38</f>
        <v>0</v>
      </c>
      <c r="O38" s="1">
        <f>'Spinel-- no zeroes'!AP38</f>
        <v>6.6772883524807061E-3</v>
      </c>
      <c r="P38" s="1"/>
      <c r="Q38" s="1">
        <f t="shared" si="12"/>
        <v>2.9982290577935937</v>
      </c>
      <c r="R38" s="1">
        <v>4</v>
      </c>
      <c r="S38" s="1"/>
      <c r="T38" s="11">
        <f t="shared" si="13"/>
        <v>0.74665751975327155</v>
      </c>
      <c r="U38" s="11">
        <f t="shared" si="14"/>
        <v>0.18041412084273883</v>
      </c>
      <c r="V38" s="11">
        <f t="shared" si="15"/>
        <v>1.2978337071179078E-3</v>
      </c>
      <c r="W38" s="11">
        <f t="shared" si="16"/>
        <v>0.13894060292822477</v>
      </c>
      <c r="X38" s="11">
        <f t="shared" si="17"/>
        <v>-8.189073265060709E-2</v>
      </c>
      <c r="Y38" s="11">
        <f t="shared" si="18"/>
        <v>0.98541934458074598</v>
      </c>
      <c r="Z38" s="11"/>
      <c r="AA38" s="11">
        <f t="shared" si="19"/>
        <v>0.18308359972321972</v>
      </c>
      <c r="AB38" s="11">
        <f t="shared" si="20"/>
        <v>-8.3102420407068542E-2</v>
      </c>
      <c r="AC38" s="11">
        <f t="shared" si="21"/>
        <v>0.14099642319010705</v>
      </c>
      <c r="AD38" s="11">
        <f t="shared" si="22"/>
        <v>0.75770536052439941</v>
      </c>
      <c r="AE38" s="11">
        <f t="shared" si="23"/>
        <v>1.3170369693423067E-3</v>
      </c>
      <c r="AF38" s="11">
        <f>'T calculator'!AG38</f>
        <v>1102.8051122578481</v>
      </c>
      <c r="AG38" s="54">
        <f t="shared" si="25"/>
        <v>8028.0511225784812</v>
      </c>
      <c r="AH38" s="11"/>
      <c r="AI38" s="11"/>
      <c r="AJ38" s="11"/>
    </row>
    <row r="39" spans="1:36">
      <c r="A39" s="1"/>
      <c r="B39" s="1"/>
      <c r="C39" s="19">
        <f>'Spinel-- no zeroes'!C39</f>
        <v>0</v>
      </c>
      <c r="D39" s="19"/>
      <c r="E39" s="1">
        <f>'Spinel-- no zeroes'!AF39</f>
        <v>1.7809556570040354E-4</v>
      </c>
      <c r="F39" s="1">
        <f>'Spinel-- no zeroes'!AG39</f>
        <v>1.2978337071179078E-3</v>
      </c>
      <c r="G39" s="1">
        <f>'Spinel-- no zeroes'!AH39</f>
        <v>1.3155715173389271</v>
      </c>
      <c r="H39" s="1">
        <f>'Spinel-- no zeroes'!AI39</f>
        <v>0.36082824168547767</v>
      </c>
      <c r="I39" s="1">
        <f>'Spinel-- no zeroes'!AJ39</f>
        <v>0.32419026684277125</v>
      </c>
      <c r="J39" s="1">
        <f>'Spinel-- no zeroes'!AK39</f>
        <v>0.24005965853459232</v>
      </c>
      <c r="K39" s="1">
        <f>'Spinel-- no zeroes'!AL39</f>
        <v>2.6659930057279639E-3</v>
      </c>
      <c r="L39" s="1">
        <f>'Spinel-- no zeroes'!AM39</f>
        <v>0.74665751975327155</v>
      </c>
      <c r="M39" s="1">
        <f>'Spinel-- no zeroes'!AN39</f>
        <v>1.0264300752711061E-4</v>
      </c>
      <c r="N39" s="1">
        <f>'Spinel-- no zeroes'!AO39</f>
        <v>0</v>
      </c>
      <c r="O39" s="1">
        <f>'Spinel-- no zeroes'!AP39</f>
        <v>6.6772883524807061E-3</v>
      </c>
      <c r="P39" s="1"/>
      <c r="Q39" s="1">
        <f t="shared" si="12"/>
        <v>2.9982290577935937</v>
      </c>
      <c r="R39" s="1">
        <v>4</v>
      </c>
      <c r="S39" s="1"/>
      <c r="T39" s="11">
        <f t="shared" si="13"/>
        <v>0.74665751975327155</v>
      </c>
      <c r="U39" s="11">
        <f t="shared" si="14"/>
        <v>0.18041412084273883</v>
      </c>
      <c r="V39" s="11">
        <f t="shared" si="15"/>
        <v>1.2978337071179078E-3</v>
      </c>
      <c r="W39" s="11">
        <f t="shared" si="16"/>
        <v>0.16209513342138562</v>
      </c>
      <c r="X39" s="11">
        <f t="shared" si="17"/>
        <v>-0.10504526314376794</v>
      </c>
      <c r="Y39" s="11">
        <f t="shared" si="18"/>
        <v>0.98541934458074598</v>
      </c>
      <c r="Z39" s="11"/>
      <c r="AA39" s="11">
        <f t="shared" si="19"/>
        <v>0.18308359972321972</v>
      </c>
      <c r="AB39" s="11">
        <f t="shared" si="20"/>
        <v>-0.1065995545160119</v>
      </c>
      <c r="AC39" s="11">
        <f t="shared" si="21"/>
        <v>0.16449355729905038</v>
      </c>
      <c r="AD39" s="11">
        <f t="shared" si="22"/>
        <v>0.75770536052439941</v>
      </c>
      <c r="AE39" s="11">
        <f t="shared" si="23"/>
        <v>1.3170369693423067E-3</v>
      </c>
      <c r="AF39" s="11">
        <f>'T calculator'!AG39</f>
        <v>1146.7466341297891</v>
      </c>
      <c r="AG39" s="54">
        <f t="shared" si="25"/>
        <v>8467.4663412978916</v>
      </c>
      <c r="AH39" s="11"/>
      <c r="AI39" s="11"/>
      <c r="AJ39" s="11"/>
    </row>
    <row r="40" spans="1:36">
      <c r="A40" s="1"/>
      <c r="B40" s="1"/>
      <c r="C40" s="19">
        <f>'Spinel-- no zeroes'!C40</f>
        <v>0</v>
      </c>
      <c r="D40" s="19"/>
      <c r="E40" s="1">
        <f>'Spinel-- no zeroes'!AF40</f>
        <v>1.7809556570040354E-4</v>
      </c>
      <c r="F40" s="1">
        <f>'Spinel-- no zeroes'!AG40</f>
        <v>1.2978337071179078E-3</v>
      </c>
      <c r="G40" s="1">
        <f>'Spinel-- no zeroes'!AH40</f>
        <v>1.2692624563526054</v>
      </c>
      <c r="H40" s="1">
        <f>'Spinel-- no zeroes'!AI40</f>
        <v>0.36082824168547767</v>
      </c>
      <c r="I40" s="1">
        <f>'Spinel-- no zeroes'!AJ40</f>
        <v>0.37049932782909301</v>
      </c>
      <c r="J40" s="1">
        <f>'Spinel-- no zeroes'!AK40</f>
        <v>0.24005965853459232</v>
      </c>
      <c r="K40" s="1">
        <f>'Spinel-- no zeroes'!AL40</f>
        <v>2.6659930057279639E-3</v>
      </c>
      <c r="L40" s="1">
        <f>'Spinel-- no zeroes'!AM40</f>
        <v>0.74665751975327155</v>
      </c>
      <c r="M40" s="1">
        <f>'Spinel-- no zeroes'!AN40</f>
        <v>1.0264300752711061E-4</v>
      </c>
      <c r="N40" s="1">
        <f>'Spinel-- no zeroes'!AO40</f>
        <v>0</v>
      </c>
      <c r="O40" s="1">
        <f>'Spinel-- no zeroes'!AP40</f>
        <v>6.6772883524807061E-3</v>
      </c>
      <c r="P40" s="1"/>
      <c r="Q40" s="1">
        <f t="shared" si="12"/>
        <v>2.9982290577935937</v>
      </c>
      <c r="R40" s="1">
        <v>4</v>
      </c>
      <c r="S40" s="1"/>
      <c r="T40" s="11">
        <f t="shared" si="13"/>
        <v>0.74665751975327155</v>
      </c>
      <c r="U40" s="11">
        <f t="shared" si="14"/>
        <v>0.18041412084273883</v>
      </c>
      <c r="V40" s="11">
        <f t="shared" si="15"/>
        <v>1.2978337071179078E-3</v>
      </c>
      <c r="W40" s="11">
        <f t="shared" si="16"/>
        <v>0.1852496639145465</v>
      </c>
      <c r="X40" s="11">
        <f t="shared" si="17"/>
        <v>-0.12819979363692879</v>
      </c>
      <c r="Y40" s="11">
        <f t="shared" si="18"/>
        <v>0.98541934458074598</v>
      </c>
      <c r="Z40" s="11"/>
      <c r="AA40" s="11">
        <f t="shared" si="19"/>
        <v>0.18308359972321972</v>
      </c>
      <c r="AB40" s="11">
        <f t="shared" si="20"/>
        <v>-0.13009668862495524</v>
      </c>
      <c r="AC40" s="11">
        <f t="shared" si="21"/>
        <v>0.18799069140799377</v>
      </c>
      <c r="AD40" s="11">
        <f t="shared" si="22"/>
        <v>0.75770536052439941</v>
      </c>
      <c r="AE40" s="11">
        <f t="shared" si="23"/>
        <v>1.3170369693423067E-3</v>
      </c>
      <c r="AF40" s="11">
        <f>'T calculator'!AG40</f>
        <v>1193.587311623503</v>
      </c>
      <c r="AG40" s="54">
        <f t="shared" si="25"/>
        <v>8935.8731162350305</v>
      </c>
      <c r="AH40" s="11"/>
      <c r="AI40" s="11"/>
      <c r="AJ40" s="11"/>
    </row>
    <row r="41" spans="1:36">
      <c r="A41" s="1"/>
      <c r="B41" s="1"/>
      <c r="C41" s="19">
        <f>'Spinel-- no zeroes'!C41</f>
        <v>0</v>
      </c>
      <c r="D41" s="19"/>
      <c r="E41" s="1">
        <f>'Spinel-- no zeroes'!AF41</f>
        <v>1.7809556570040354E-4</v>
      </c>
      <c r="F41" s="1">
        <f>'Spinel-- no zeroes'!AG41</f>
        <v>1.2978337071179078E-3</v>
      </c>
      <c r="G41" s="1">
        <f>'Spinel-- no zeroes'!AH41</f>
        <v>1.2229533953662837</v>
      </c>
      <c r="H41" s="1">
        <f>'Spinel-- no zeroes'!AI41</f>
        <v>0.36082824168547767</v>
      </c>
      <c r="I41" s="1">
        <f>'Spinel-- no zeroes'!AJ41</f>
        <v>0.41680838881541471</v>
      </c>
      <c r="J41" s="1">
        <f>'Spinel-- no zeroes'!AK41</f>
        <v>0.24005965853459232</v>
      </c>
      <c r="K41" s="1">
        <f>'Spinel-- no zeroes'!AL41</f>
        <v>2.6659930057279639E-3</v>
      </c>
      <c r="L41" s="1">
        <f>'Spinel-- no zeroes'!AM41</f>
        <v>0.74665751975327155</v>
      </c>
      <c r="M41" s="1">
        <f>'Spinel-- no zeroes'!AN41</f>
        <v>1.0264300752711061E-4</v>
      </c>
      <c r="N41" s="1">
        <f>'Spinel-- no zeroes'!AO41</f>
        <v>0</v>
      </c>
      <c r="O41" s="1">
        <f>'Spinel-- no zeroes'!AP41</f>
        <v>6.6772883524807061E-3</v>
      </c>
      <c r="P41" s="1"/>
      <c r="Q41" s="1">
        <f t="shared" si="12"/>
        <v>2.9982290577935937</v>
      </c>
      <c r="R41" s="1">
        <v>4</v>
      </c>
      <c r="S41" s="1"/>
      <c r="T41" s="11">
        <f t="shared" si="13"/>
        <v>0.74665751975327155</v>
      </c>
      <c r="U41" s="11">
        <f t="shared" si="14"/>
        <v>0.18041412084273883</v>
      </c>
      <c r="V41" s="11">
        <f t="shared" si="15"/>
        <v>1.2978337071179078E-3</v>
      </c>
      <c r="W41" s="11">
        <f t="shared" si="16"/>
        <v>0.20840419440770735</v>
      </c>
      <c r="X41" s="11">
        <f t="shared" si="17"/>
        <v>-0.15135432413008965</v>
      </c>
      <c r="Y41" s="11">
        <f t="shared" si="18"/>
        <v>0.98541934458074598</v>
      </c>
      <c r="Z41" s="11"/>
      <c r="AA41" s="11">
        <f t="shared" si="19"/>
        <v>0.18308359972321972</v>
      </c>
      <c r="AB41" s="11">
        <f t="shared" si="20"/>
        <v>-0.1535938227338986</v>
      </c>
      <c r="AC41" s="11">
        <f t="shared" si="21"/>
        <v>0.21148782551693712</v>
      </c>
      <c r="AD41" s="11">
        <f t="shared" si="22"/>
        <v>0.75770536052439941</v>
      </c>
      <c r="AE41" s="11">
        <f t="shared" si="23"/>
        <v>1.3170369693423067E-3</v>
      </c>
      <c r="AF41" s="11">
        <f>'T calculator'!AG41</f>
        <v>1243.6238516856224</v>
      </c>
      <c r="AG41" s="54">
        <f t="shared" si="25"/>
        <v>9436.238516856225</v>
      </c>
      <c r="AH41" s="11"/>
      <c r="AI41" s="11"/>
      <c r="AJ41" s="11"/>
    </row>
    <row r="42" spans="1:36">
      <c r="A42" s="1"/>
      <c r="B42" s="1"/>
      <c r="C42" s="19">
        <f>'Spinel-- no zeroes'!C42</f>
        <v>0</v>
      </c>
      <c r="D42" s="19"/>
      <c r="E42" s="1">
        <f>'Spinel-- no zeroes'!AF42</f>
        <v>1.7809556570040351E-4</v>
      </c>
      <c r="F42" s="1">
        <f>'Spinel-- no zeroes'!AG42</f>
        <v>1.2978337071179076E-3</v>
      </c>
      <c r="G42" s="1">
        <f>'Spinel-- no zeroes'!AH42</f>
        <v>1.176644334379962</v>
      </c>
      <c r="H42" s="1">
        <f>'Spinel-- no zeroes'!AI42</f>
        <v>0.36082824168547761</v>
      </c>
      <c r="I42" s="1">
        <f>'Spinel-- no zeroes'!AJ42</f>
        <v>0.46311744980173636</v>
      </c>
      <c r="J42" s="1">
        <f>'Spinel-- no zeroes'!AK42</f>
        <v>0.24005965853459227</v>
      </c>
      <c r="K42" s="1">
        <f>'Spinel-- no zeroes'!AL42</f>
        <v>2.6659930057279634E-3</v>
      </c>
      <c r="L42" s="1">
        <f>'Spinel-- no zeroes'!AM42</f>
        <v>0.74665751975327144</v>
      </c>
      <c r="M42" s="1">
        <f>'Spinel-- no zeroes'!AN42</f>
        <v>1.0264300752711059E-4</v>
      </c>
      <c r="N42" s="1">
        <f>'Spinel-- no zeroes'!AO42</f>
        <v>0</v>
      </c>
      <c r="O42" s="1">
        <f>'Spinel-- no zeroes'!AP42</f>
        <v>6.6772883524807052E-3</v>
      </c>
      <c r="P42" s="1"/>
      <c r="Q42" s="1">
        <f t="shared" si="12"/>
        <v>2.9982290577935937</v>
      </c>
      <c r="R42" s="1">
        <v>4</v>
      </c>
      <c r="S42" s="1"/>
      <c r="T42" s="11">
        <f t="shared" si="13"/>
        <v>0.74665751975327144</v>
      </c>
      <c r="U42" s="11">
        <f t="shared" si="14"/>
        <v>0.18041412084273881</v>
      </c>
      <c r="V42" s="11">
        <f t="shared" si="15"/>
        <v>1.2978337071179076E-3</v>
      </c>
      <c r="W42" s="11">
        <f t="shared" si="16"/>
        <v>0.23155872490086818</v>
      </c>
      <c r="X42" s="11">
        <f t="shared" si="17"/>
        <v>-0.17450885462325055</v>
      </c>
      <c r="Y42" s="11">
        <f t="shared" si="18"/>
        <v>0.98541934458074576</v>
      </c>
      <c r="Z42" s="11"/>
      <c r="AA42" s="11">
        <f t="shared" si="19"/>
        <v>0.18308359972321975</v>
      </c>
      <c r="AB42" s="11">
        <f t="shared" si="20"/>
        <v>-0.17709095684284207</v>
      </c>
      <c r="AC42" s="11">
        <f t="shared" si="21"/>
        <v>0.23498495962588051</v>
      </c>
      <c r="AD42" s="11">
        <f t="shared" si="22"/>
        <v>0.75770536052439952</v>
      </c>
      <c r="AE42" s="11">
        <f t="shared" si="23"/>
        <v>1.3170369693423067E-3</v>
      </c>
      <c r="AF42" s="11">
        <f>'T calculator'!AG42</f>
        <v>1297.1948789050102</v>
      </c>
      <c r="AG42" s="54">
        <f t="shared" si="25"/>
        <v>9971.9487890501023</v>
      </c>
      <c r="AH42" s="11"/>
      <c r="AI42" s="11"/>
      <c r="AJ42" s="11"/>
    </row>
    <row r="43" spans="1:36">
      <c r="A43" s="1"/>
      <c r="B43" s="1"/>
      <c r="C43" s="19">
        <f>'Spinel-- no zeroes'!C43</f>
        <v>0</v>
      </c>
      <c r="D43" s="19"/>
      <c r="E43" s="1">
        <f>'Spinel-- no zeroes'!AF43</f>
        <v>1.7809556570040351E-4</v>
      </c>
      <c r="F43" s="1">
        <f>'Spinel-- no zeroes'!AG43</f>
        <v>1.2978337071179076E-3</v>
      </c>
      <c r="G43" s="1">
        <f>'Spinel-- no zeroes'!AH43</f>
        <v>1.1303352733936403</v>
      </c>
      <c r="H43" s="1">
        <f>'Spinel-- no zeroes'!AI43</f>
        <v>0.36082824168547761</v>
      </c>
      <c r="I43" s="1">
        <f>'Spinel-- no zeroes'!AJ43</f>
        <v>0.50942651078805812</v>
      </c>
      <c r="J43" s="1">
        <f>'Spinel-- no zeroes'!AK43</f>
        <v>0.24005965853459227</v>
      </c>
      <c r="K43" s="1">
        <f>'Spinel-- no zeroes'!AL43</f>
        <v>2.6659930057279634E-3</v>
      </c>
      <c r="L43" s="1">
        <f>'Spinel-- no zeroes'!AM43</f>
        <v>0.74665751975327144</v>
      </c>
      <c r="M43" s="1">
        <f>'Spinel-- no zeroes'!AN43</f>
        <v>1.0264300752711059E-4</v>
      </c>
      <c r="N43" s="1">
        <f>'Spinel-- no zeroes'!AO43</f>
        <v>0</v>
      </c>
      <c r="O43" s="1">
        <f>'Spinel-- no zeroes'!AP43</f>
        <v>6.6772883524807052E-3</v>
      </c>
      <c r="P43" s="1"/>
      <c r="Q43" s="1">
        <f t="shared" si="12"/>
        <v>2.9982290577935937</v>
      </c>
      <c r="R43" s="1">
        <v>4</v>
      </c>
      <c r="S43" s="1"/>
      <c r="T43" s="11">
        <f t="shared" si="13"/>
        <v>0.74665751975327144</v>
      </c>
      <c r="U43" s="11">
        <f t="shared" si="14"/>
        <v>0.18041412084273881</v>
      </c>
      <c r="V43" s="11">
        <f t="shared" si="15"/>
        <v>1.2978337071179076E-3</v>
      </c>
      <c r="W43" s="11">
        <f t="shared" si="16"/>
        <v>0.25471325539402906</v>
      </c>
      <c r="X43" s="11">
        <f t="shared" si="17"/>
        <v>-0.19766338511641141</v>
      </c>
      <c r="Y43" s="11">
        <f t="shared" si="18"/>
        <v>0.98541934458074576</v>
      </c>
      <c r="Z43" s="11"/>
      <c r="AA43" s="11">
        <f t="shared" si="19"/>
        <v>0.18308359972321975</v>
      </c>
      <c r="AB43" s="11">
        <f t="shared" si="20"/>
        <v>-0.20058809095178542</v>
      </c>
      <c r="AC43" s="11">
        <f t="shared" si="21"/>
        <v>0.25848209373482389</v>
      </c>
      <c r="AD43" s="11">
        <f t="shared" si="22"/>
        <v>0.75770536052439952</v>
      </c>
      <c r="AE43" s="11">
        <f t="shared" si="23"/>
        <v>1.3170369693423067E-3</v>
      </c>
      <c r="AF43" s="11">
        <f>'T calculator'!AG43</f>
        <v>1354.6886089914969</v>
      </c>
      <c r="AG43" s="54">
        <f t="shared" si="25"/>
        <v>10546.886089914969</v>
      </c>
      <c r="AH43" s="11"/>
      <c r="AI43" s="11"/>
      <c r="AJ43" s="11"/>
    </row>
    <row r="44" spans="1:36">
      <c r="A44" s="1"/>
      <c r="B44" s="1"/>
      <c r="C44" s="19">
        <f>'Spinel-- no zeroes'!C44</f>
        <v>0</v>
      </c>
      <c r="D44" s="19"/>
      <c r="E44" s="1">
        <f>'Spinel-- no zeroes'!AF44</f>
        <v>1.7809556570040356E-4</v>
      </c>
      <c r="F44" s="1">
        <f>'Spinel-- no zeroes'!AG44</f>
        <v>1.297833707117908E-3</v>
      </c>
      <c r="G44" s="1">
        <f>'Spinel-- no zeroes'!AH44</f>
        <v>1.0840262124073179</v>
      </c>
      <c r="H44" s="1">
        <f>'Spinel-- no zeroes'!AI44</f>
        <v>0.36082824168547772</v>
      </c>
      <c r="I44" s="1">
        <f>'Spinel-- no zeroes'!AJ44</f>
        <v>0.55573557177438004</v>
      </c>
      <c r="J44" s="1">
        <f>'Spinel-- no zeroes'!AK44</f>
        <v>0.24005965853459235</v>
      </c>
      <c r="K44" s="1">
        <f>'Spinel-- no zeroes'!AL44</f>
        <v>2.6659930057279643E-3</v>
      </c>
      <c r="L44" s="1">
        <f>'Spinel-- no zeroes'!AM44</f>
        <v>0.74665751975327177</v>
      </c>
      <c r="M44" s="1">
        <f>'Spinel-- no zeroes'!AN44</f>
        <v>1.0264300752711062E-4</v>
      </c>
      <c r="N44" s="1">
        <f>'Spinel-- no zeroes'!AO44</f>
        <v>0</v>
      </c>
      <c r="O44" s="1">
        <f>'Spinel-- no zeroes'!AP44</f>
        <v>6.6772883524807078E-3</v>
      </c>
      <c r="P44" s="1"/>
      <c r="Q44" s="1">
        <f t="shared" si="12"/>
        <v>2.9982290577935942</v>
      </c>
      <c r="R44" s="1">
        <v>4</v>
      </c>
      <c r="S44" s="1"/>
      <c r="T44" s="11">
        <f t="shared" si="13"/>
        <v>0.74665751975327177</v>
      </c>
      <c r="U44" s="11">
        <f t="shared" si="14"/>
        <v>0.18041412084273886</v>
      </c>
      <c r="V44" s="11">
        <f t="shared" si="15"/>
        <v>1.297833707117908E-3</v>
      </c>
      <c r="W44" s="11">
        <f t="shared" si="16"/>
        <v>0.27786778588719002</v>
      </c>
      <c r="X44" s="11">
        <f t="shared" si="17"/>
        <v>-0.22081791560957234</v>
      </c>
      <c r="Y44" s="11">
        <f t="shared" si="18"/>
        <v>0.98541934458074631</v>
      </c>
      <c r="Z44" s="11"/>
      <c r="AA44" s="11">
        <f t="shared" si="19"/>
        <v>0.18308359972321969</v>
      </c>
      <c r="AB44" s="11">
        <f t="shared" si="20"/>
        <v>-0.22408522506072873</v>
      </c>
      <c r="AC44" s="11">
        <f t="shared" si="21"/>
        <v>0.28197922784376722</v>
      </c>
      <c r="AD44" s="11">
        <f t="shared" si="22"/>
        <v>0.75770536052439941</v>
      </c>
      <c r="AE44" s="11">
        <f t="shared" si="23"/>
        <v>1.3170369693423065E-3</v>
      </c>
      <c r="AF44" s="11">
        <f>'T calculator'!AG44</f>
        <v>1416.5522719716987</v>
      </c>
      <c r="AG44" s="54">
        <f t="shared" si="25"/>
        <v>11165.522719716988</v>
      </c>
      <c r="AH44" s="11"/>
      <c r="AI44" s="11"/>
      <c r="AJ44" s="11"/>
    </row>
    <row r="45" spans="1:36">
      <c r="A45" s="1"/>
      <c r="B45" s="1"/>
      <c r="C45" s="19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54"/>
      <c r="AH45" s="11"/>
      <c r="AI45" s="11"/>
      <c r="AJ45" s="11"/>
    </row>
    <row r="46" spans="1:36">
      <c r="A46" s="1"/>
      <c r="B46" s="1"/>
      <c r="C46" s="19"/>
      <c r="D46" s="1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54"/>
      <c r="AH46" s="11"/>
      <c r="AI46" s="11"/>
      <c r="AJ46" s="11"/>
    </row>
    <row r="47" spans="1:36">
      <c r="A47" s="1"/>
      <c r="B47" s="1"/>
      <c r="C47" s="19">
        <f>'Spinel-- no zeroes'!C47</f>
        <v>0</v>
      </c>
      <c r="D47" s="19"/>
      <c r="E47" s="1">
        <f>'Spinel-- no zeroes'!AF47</f>
        <v>1.7253415410099313E-4</v>
      </c>
      <c r="F47" s="1">
        <f>'Spinel-- no zeroes'!AG47</f>
        <v>1.2573060982216074E-3</v>
      </c>
      <c r="G47" s="1">
        <f>'Spinel-- no zeroes'!AH47</f>
        <v>1.6122633555818919</v>
      </c>
      <c r="H47" s="1">
        <f>'Spinel-- no zeroes'!AI47</f>
        <v>0.34956061488740109</v>
      </c>
      <c r="I47" s="1">
        <f>'Spinel-- no zeroes'!AJ47</f>
        <v>3.8747630589332671E-2</v>
      </c>
      <c r="J47" s="1">
        <f>'Spinel-- no zeroes'!AK47</f>
        <v>0.23256328677331742</v>
      </c>
      <c r="K47" s="1">
        <f>'Spinel-- no zeroes'!AL47</f>
        <v>2.5827417222516291E-3</v>
      </c>
      <c r="L47" s="1">
        <f>'Spinel-- no zeroes'!AM47</f>
        <v>0.75456867578192721</v>
      </c>
      <c r="M47" s="1">
        <f>'Spinel-- no zeroes'!AN47</f>
        <v>9.9437762015159323E-5</v>
      </c>
      <c r="N47" s="1">
        <f>'Spinel-- no zeroes'!AO47</f>
        <v>0</v>
      </c>
      <c r="O47" s="1">
        <f>'Spinel-- no zeroes'!AP47</f>
        <v>6.468775867905072E-3</v>
      </c>
      <c r="P47" s="1"/>
      <c r="Q47" s="1">
        <f t="shared" si="12"/>
        <v>2.9982843592183643</v>
      </c>
      <c r="R47" s="1">
        <v>4</v>
      </c>
      <c r="S47" s="1"/>
      <c r="T47" s="11">
        <f t="shared" si="13"/>
        <v>0.75456867578192721</v>
      </c>
      <c r="U47" s="11">
        <f t="shared" si="14"/>
        <v>0.17478030744370054</v>
      </c>
      <c r="V47" s="11">
        <f t="shared" si="15"/>
        <v>1.2573060982216074E-3</v>
      </c>
      <c r="W47" s="11">
        <f t="shared" si="16"/>
        <v>1.9373815294666336E-2</v>
      </c>
      <c r="X47" s="11">
        <f t="shared" si="17"/>
        <v>3.5894551838507316E-2</v>
      </c>
      <c r="Y47" s="11">
        <f t="shared" si="18"/>
        <v>0.98587465645702299</v>
      </c>
      <c r="Z47" s="11"/>
      <c r="AA47" s="11">
        <f t="shared" si="19"/>
        <v>0.17728451208170368</v>
      </c>
      <c r="AB47" s="11">
        <f t="shared" si="20"/>
        <v>3.6408839200211311E-2</v>
      </c>
      <c r="AC47" s="11">
        <f t="shared" si="21"/>
        <v>1.9651398043125268E-2</v>
      </c>
      <c r="AD47" s="11">
        <f t="shared" si="22"/>
        <v>0.76537993023743067</v>
      </c>
      <c r="AE47" s="11">
        <f t="shared" si="23"/>
        <v>1.2753204375290856E-3</v>
      </c>
      <c r="AF47" s="11">
        <f>'T calculator'!AG47</f>
        <v>934.43916467524343</v>
      </c>
      <c r="AG47" s="54">
        <v>15000</v>
      </c>
      <c r="AH47" s="11"/>
      <c r="AI47" s="11"/>
      <c r="AJ47" s="11"/>
    </row>
    <row r="48" spans="1:36">
      <c r="A48" s="1"/>
      <c r="B48" s="1"/>
      <c r="C48" s="19">
        <f>'Spinel-- no zeroes'!C48</f>
        <v>0</v>
      </c>
      <c r="D48" s="19"/>
      <c r="E48" s="1">
        <f>'Spinel-- no zeroes'!AF48</f>
        <v>1.7809556570040356E-4</v>
      </c>
      <c r="F48" s="1">
        <f>'Spinel-- no zeroes'!AG48</f>
        <v>1.297833707117908E-3</v>
      </c>
      <c r="G48" s="1">
        <f>'Spinel-- no zeroes'!AH48</f>
        <v>1.5997651746679777</v>
      </c>
      <c r="H48" s="1">
        <f>'Spinel-- no zeroes'!AI48</f>
        <v>0.36082824168547772</v>
      </c>
      <c r="I48" s="1">
        <f>'Spinel-- no zeroes'!AJ48</f>
        <v>3.9996609513720284E-2</v>
      </c>
      <c r="J48" s="1">
        <f>'Spinel-- no zeroes'!AK48</f>
        <v>0.24005965853459235</v>
      </c>
      <c r="K48" s="1">
        <f>'Spinel-- no zeroes'!AL48</f>
        <v>2.6659930057279643E-3</v>
      </c>
      <c r="L48" s="1">
        <f>'Spinel-- no zeroes'!AM48</f>
        <v>0.74665751975327177</v>
      </c>
      <c r="M48" s="1">
        <f>'Spinel-- no zeroes'!AN48</f>
        <v>1.0264300752711062E-4</v>
      </c>
      <c r="N48" s="1">
        <f>'Spinel-- no zeroes'!AO48</f>
        <v>0</v>
      </c>
      <c r="O48" s="1">
        <f>'Spinel-- no zeroes'!AP48</f>
        <v>6.6772883524807078E-3</v>
      </c>
      <c r="P48" s="1"/>
      <c r="Q48" s="1">
        <f t="shared" si="12"/>
        <v>2.9982290577935942</v>
      </c>
      <c r="R48" s="1">
        <v>4</v>
      </c>
      <c r="S48" s="1"/>
      <c r="T48" s="11">
        <f t="shared" si="13"/>
        <v>0.74665751975327177</v>
      </c>
      <c r="U48" s="11">
        <f t="shared" si="14"/>
        <v>0.18041412084273886</v>
      </c>
      <c r="V48" s="11">
        <f t="shared" si="15"/>
        <v>1.297833707117908E-3</v>
      </c>
      <c r="W48" s="11">
        <f t="shared" si="16"/>
        <v>1.9998304756860142E-2</v>
      </c>
      <c r="X48" s="11">
        <f t="shared" si="17"/>
        <v>3.7051565520757529E-2</v>
      </c>
      <c r="Y48" s="11">
        <f t="shared" si="18"/>
        <v>0.9854193445807462</v>
      </c>
      <c r="Z48" s="11"/>
      <c r="AA48" s="11">
        <f t="shared" si="19"/>
        <v>0.18308359972321972</v>
      </c>
      <c r="AB48" s="11">
        <f t="shared" si="20"/>
        <v>3.7599795178083685E-2</v>
      </c>
      <c r="AC48" s="11">
        <f t="shared" si="21"/>
        <v>2.0294207604954789E-2</v>
      </c>
      <c r="AD48" s="11">
        <f t="shared" si="22"/>
        <v>0.75770536052439952</v>
      </c>
      <c r="AE48" s="11">
        <f t="shared" si="23"/>
        <v>1.3170369693423065E-3</v>
      </c>
      <c r="AF48" s="11">
        <f>'T calculator'!AG48</f>
        <v>914.0710456802318</v>
      </c>
      <c r="AG48" s="54">
        <v>15000</v>
      </c>
      <c r="AH48" s="11"/>
      <c r="AI48" s="11"/>
      <c r="AJ48" s="11"/>
    </row>
    <row r="49" spans="1:40">
      <c r="A49" s="1"/>
      <c r="B49" s="1"/>
      <c r="C49" s="19">
        <f>'Spinel-- no zeroes'!C49</f>
        <v>0</v>
      </c>
      <c r="D49" s="19"/>
      <c r="E49" s="1">
        <f>'Spinel-- no zeroes'!AF49</f>
        <v>1.7809556570040356E-4</v>
      </c>
      <c r="F49" s="1">
        <f>'Spinel-- no zeroes'!AG49</f>
        <v>1.297833707117908E-3</v>
      </c>
      <c r="G49" s="1">
        <f>'Spinel-- no zeroes'!AH49</f>
        <v>1.5997651746679777</v>
      </c>
      <c r="H49" s="1">
        <f>'Spinel-- no zeroes'!AI49</f>
        <v>0.36082824168547772</v>
      </c>
      <c r="I49" s="1">
        <f>'Spinel-- no zeroes'!AJ49</f>
        <v>3.9996609513720284E-2</v>
      </c>
      <c r="J49" s="1">
        <f>'Spinel-- no zeroes'!AK49</f>
        <v>0.24005965853459235</v>
      </c>
      <c r="K49" s="1">
        <f>'Spinel-- no zeroes'!AL49</f>
        <v>2.6659930057279643E-3</v>
      </c>
      <c r="L49" s="1">
        <f>'Spinel-- no zeroes'!AM49</f>
        <v>0.74665751975327177</v>
      </c>
      <c r="M49" s="1">
        <f>'Spinel-- no zeroes'!AN49</f>
        <v>1.0264300752711062E-4</v>
      </c>
      <c r="N49" s="1">
        <f>'Spinel-- no zeroes'!AO49</f>
        <v>0</v>
      </c>
      <c r="O49" s="1">
        <f>'Spinel-- no zeroes'!AP49</f>
        <v>6.6772883524807078E-3</v>
      </c>
      <c r="P49" s="1"/>
      <c r="Q49" s="1">
        <f t="shared" si="12"/>
        <v>2.9982290577935942</v>
      </c>
      <c r="R49" s="1">
        <v>4</v>
      </c>
      <c r="S49" s="1"/>
      <c r="T49" s="11">
        <f t="shared" si="13"/>
        <v>0.74665751975327177</v>
      </c>
      <c r="U49" s="11">
        <f t="shared" si="14"/>
        <v>0.18041412084273886</v>
      </c>
      <c r="V49" s="11">
        <f t="shared" si="15"/>
        <v>1.297833707117908E-3</v>
      </c>
      <c r="W49" s="11">
        <f t="shared" si="16"/>
        <v>1.9998304756860142E-2</v>
      </c>
      <c r="X49" s="11">
        <f t="shared" si="17"/>
        <v>3.7051565520757529E-2</v>
      </c>
      <c r="Y49" s="11">
        <f t="shared" si="18"/>
        <v>0.9854193445807462</v>
      </c>
      <c r="Z49" s="11"/>
      <c r="AA49" s="11">
        <f t="shared" si="19"/>
        <v>0.18308359972321972</v>
      </c>
      <c r="AB49" s="11">
        <f t="shared" si="20"/>
        <v>3.7599795178083685E-2</v>
      </c>
      <c r="AC49" s="11">
        <f t="shared" si="21"/>
        <v>2.0294207604954789E-2</v>
      </c>
      <c r="AD49" s="11">
        <f t="shared" si="22"/>
        <v>0.75770536052439952</v>
      </c>
      <c r="AE49" s="11">
        <f t="shared" si="23"/>
        <v>1.3170369693423065E-3</v>
      </c>
      <c r="AF49" s="11">
        <f>'T calculator'!AG49</f>
        <v>914.0710456802318</v>
      </c>
      <c r="AG49" s="54">
        <v>15000</v>
      </c>
      <c r="AH49" s="11"/>
      <c r="AI49" s="11"/>
      <c r="AJ49" s="11"/>
    </row>
    <row r="50" spans="1:40">
      <c r="A50" s="1"/>
      <c r="B50" s="1"/>
      <c r="C50" s="19">
        <f>'Spinel-- no zeroes'!C50</f>
        <v>0</v>
      </c>
      <c r="D50" s="19"/>
      <c r="E50" s="1">
        <f>'Spinel-- no zeroes'!AF50</f>
        <v>1.7809556570040356E-4</v>
      </c>
      <c r="F50" s="1">
        <f>'Spinel-- no zeroes'!AG50</f>
        <v>1.297833707117908E-3</v>
      </c>
      <c r="G50" s="1">
        <f>'Spinel-- no zeroes'!AH50</f>
        <v>1.5997651746679777</v>
      </c>
      <c r="H50" s="1">
        <f>'Spinel-- no zeroes'!AI50</f>
        <v>0.36082824168547772</v>
      </c>
      <c r="I50" s="1">
        <f>'Spinel-- no zeroes'!AJ50</f>
        <v>3.9996609513720284E-2</v>
      </c>
      <c r="J50" s="1">
        <f>'Spinel-- no zeroes'!AK50</f>
        <v>0.24005965853459235</v>
      </c>
      <c r="K50" s="1">
        <f>'Spinel-- no zeroes'!AL50</f>
        <v>2.6659930057279643E-3</v>
      </c>
      <c r="L50" s="1">
        <f>'Spinel-- no zeroes'!AM50</f>
        <v>0.74665751975327177</v>
      </c>
      <c r="M50" s="1">
        <f>'Spinel-- no zeroes'!AN50</f>
        <v>1.0264300752711062E-4</v>
      </c>
      <c r="N50" s="1">
        <f>'Spinel-- no zeroes'!AO50</f>
        <v>0</v>
      </c>
      <c r="O50" s="1">
        <f>'Spinel-- no zeroes'!AP50</f>
        <v>6.6772883524807078E-3</v>
      </c>
      <c r="P50" s="1"/>
      <c r="Q50" s="1">
        <f t="shared" si="12"/>
        <v>2.9982290577935942</v>
      </c>
      <c r="R50" s="1">
        <v>4</v>
      </c>
      <c r="S50" s="1"/>
      <c r="T50" s="11">
        <f t="shared" si="13"/>
        <v>0.74665751975327177</v>
      </c>
      <c r="U50" s="11">
        <f t="shared" si="14"/>
        <v>0.18041412084273886</v>
      </c>
      <c r="V50" s="11">
        <f t="shared" si="15"/>
        <v>1.297833707117908E-3</v>
      </c>
      <c r="W50" s="11">
        <f t="shared" si="16"/>
        <v>1.9998304756860142E-2</v>
      </c>
      <c r="X50" s="11">
        <f t="shared" si="17"/>
        <v>3.7051565520757529E-2</v>
      </c>
      <c r="Y50" s="11">
        <f t="shared" si="18"/>
        <v>0.9854193445807462</v>
      </c>
      <c r="Z50" s="11"/>
      <c r="AA50" s="11">
        <f t="shared" si="19"/>
        <v>0.18308359972321972</v>
      </c>
      <c r="AB50" s="11">
        <f t="shared" si="20"/>
        <v>3.7599795178083685E-2</v>
      </c>
      <c r="AC50" s="11">
        <f t="shared" si="21"/>
        <v>2.0294207604954789E-2</v>
      </c>
      <c r="AD50" s="11">
        <f t="shared" si="22"/>
        <v>0.75770536052439952</v>
      </c>
      <c r="AE50" s="11">
        <f t="shared" si="23"/>
        <v>1.3170369693423065E-3</v>
      </c>
      <c r="AF50" s="11">
        <f>'T calculator'!AG50</f>
        <v>914.0710456802318</v>
      </c>
      <c r="AG50" s="54">
        <v>15000</v>
      </c>
      <c r="AH50" s="11"/>
      <c r="AI50" s="11"/>
      <c r="AJ50" s="11"/>
    </row>
    <row r="51" spans="1:40">
      <c r="A51" s="1"/>
      <c r="B51" s="1"/>
      <c r="C51" s="19">
        <f>'Spinel-- no zeroes'!C51</f>
        <v>0</v>
      </c>
      <c r="D51" s="19"/>
      <c r="E51" s="1">
        <f>'Spinel-- no zeroes'!AF51</f>
        <v>1.7809556570040356E-4</v>
      </c>
      <c r="F51" s="1">
        <f>'Spinel-- no zeroes'!AG51</f>
        <v>1.297833707117908E-3</v>
      </c>
      <c r="G51" s="1">
        <f>'Spinel-- no zeroes'!AH51</f>
        <v>1.5997651746679777</v>
      </c>
      <c r="H51" s="1">
        <f>'Spinel-- no zeroes'!AI51</f>
        <v>0.36082824168547772</v>
      </c>
      <c r="I51" s="1">
        <f>'Spinel-- no zeroes'!AJ51</f>
        <v>3.9996609513720284E-2</v>
      </c>
      <c r="J51" s="1">
        <f>'Spinel-- no zeroes'!AK51</f>
        <v>0.24005965853459235</v>
      </c>
      <c r="K51" s="1">
        <f>'Spinel-- no zeroes'!AL51</f>
        <v>2.6659930057279643E-3</v>
      </c>
      <c r="L51" s="1">
        <f>'Spinel-- no zeroes'!AM51</f>
        <v>0.74665751975327177</v>
      </c>
      <c r="M51" s="1">
        <f>'Spinel-- no zeroes'!AN51</f>
        <v>1.0264300752711062E-4</v>
      </c>
      <c r="N51" s="1">
        <f>'Spinel-- no zeroes'!AO51</f>
        <v>0</v>
      </c>
      <c r="O51" s="1">
        <f>'Spinel-- no zeroes'!AP51</f>
        <v>6.6772883524807078E-3</v>
      </c>
      <c r="P51" s="1"/>
      <c r="Q51" s="1">
        <f t="shared" ref="Q51:Q58" si="26">SUM(E51:O51)</f>
        <v>2.9982290577935942</v>
      </c>
      <c r="R51" s="1">
        <v>4</v>
      </c>
      <c r="S51" s="1"/>
      <c r="T51" s="11">
        <f t="shared" ref="T51:T58" si="27">L51</f>
        <v>0.74665751975327177</v>
      </c>
      <c r="U51" s="11">
        <f t="shared" ref="U51:U58" si="28">H51/2</f>
        <v>0.18041412084273886</v>
      </c>
      <c r="V51" s="11">
        <f t="shared" ref="V51:V58" si="29">F51</f>
        <v>1.297833707117908E-3</v>
      </c>
      <c r="W51" s="11">
        <f t="shared" ref="W51:W58" si="30">I51/2</f>
        <v>1.9998304756860142E-2</v>
      </c>
      <c r="X51" s="11">
        <f t="shared" ref="X51:X58" si="31">J51-(U51+2*V51+W51)</f>
        <v>3.7051565520757529E-2</v>
      </c>
      <c r="Y51" s="11">
        <f t="shared" ref="Y51:Y58" si="32">SUM(T51:X51)</f>
        <v>0.9854193445807462</v>
      </c>
      <c r="Z51" s="11"/>
      <c r="AA51" s="11">
        <f t="shared" ref="AA51:AA58" si="33">U51/Y51</f>
        <v>0.18308359972321972</v>
      </c>
      <c r="AB51" s="11">
        <f t="shared" ref="AB51:AB58" si="34">X51/Y51</f>
        <v>3.7599795178083685E-2</v>
      </c>
      <c r="AC51" s="11">
        <f t="shared" ref="AC51:AC58" si="35">W51/Y51</f>
        <v>2.0294207604954789E-2</v>
      </c>
      <c r="AD51" s="11">
        <f t="shared" ref="AD51:AD58" si="36">T51/Y51</f>
        <v>0.75770536052439952</v>
      </c>
      <c r="AE51" s="11">
        <f t="shared" ref="AE51:AE58" si="37">V51/Y51</f>
        <v>1.3170369693423065E-3</v>
      </c>
      <c r="AF51" s="11">
        <f>'T calculator'!AG51</f>
        <v>914.0710456802318</v>
      </c>
      <c r="AG51" s="54">
        <v>15000</v>
      </c>
      <c r="AH51" s="11"/>
      <c r="AI51" s="11"/>
      <c r="AJ51" s="11"/>
    </row>
    <row r="52" spans="1:40">
      <c r="A52" s="1"/>
      <c r="B52" s="1"/>
      <c r="C52" s="19">
        <f>'Spinel-- no zeroes'!C52</f>
        <v>0</v>
      </c>
      <c r="D52" s="19"/>
      <c r="E52" s="1">
        <f>'Spinel-- no zeroes'!AF52</f>
        <v>1.7809556570040356E-4</v>
      </c>
      <c r="F52" s="1">
        <f>'Spinel-- no zeroes'!AG52</f>
        <v>1.297833707117908E-3</v>
      </c>
      <c r="G52" s="1">
        <f>'Spinel-- no zeroes'!AH52</f>
        <v>1.5997651746679777</v>
      </c>
      <c r="H52" s="1">
        <f>'Spinel-- no zeroes'!AI52</f>
        <v>0.36082824168547772</v>
      </c>
      <c r="I52" s="1">
        <f>'Spinel-- no zeroes'!AJ52</f>
        <v>3.9996609513720284E-2</v>
      </c>
      <c r="J52" s="1">
        <f>'Spinel-- no zeroes'!AK52</f>
        <v>0.24005965853459235</v>
      </c>
      <c r="K52" s="1">
        <f>'Spinel-- no zeroes'!AL52</f>
        <v>2.6659930057279643E-3</v>
      </c>
      <c r="L52" s="1">
        <f>'Spinel-- no zeroes'!AM52</f>
        <v>0.74665751975327177</v>
      </c>
      <c r="M52" s="1">
        <f>'Spinel-- no zeroes'!AN52</f>
        <v>1.0264300752711062E-4</v>
      </c>
      <c r="N52" s="1">
        <f>'Spinel-- no zeroes'!AO52</f>
        <v>0</v>
      </c>
      <c r="O52" s="1">
        <f>'Spinel-- no zeroes'!AP52</f>
        <v>6.6772883524807078E-3</v>
      </c>
      <c r="P52" s="1"/>
      <c r="Q52" s="1">
        <f t="shared" si="26"/>
        <v>2.9982290577935942</v>
      </c>
      <c r="R52" s="1">
        <v>4</v>
      </c>
      <c r="S52" s="1"/>
      <c r="T52" s="11">
        <f t="shared" si="27"/>
        <v>0.74665751975327177</v>
      </c>
      <c r="U52" s="11">
        <f t="shared" si="28"/>
        <v>0.18041412084273886</v>
      </c>
      <c r="V52" s="11">
        <f t="shared" si="29"/>
        <v>1.297833707117908E-3</v>
      </c>
      <c r="W52" s="11">
        <f t="shared" si="30"/>
        <v>1.9998304756860142E-2</v>
      </c>
      <c r="X52" s="11">
        <f t="shared" si="31"/>
        <v>3.7051565520757529E-2</v>
      </c>
      <c r="Y52" s="11">
        <f t="shared" si="32"/>
        <v>0.9854193445807462</v>
      </c>
      <c r="Z52" s="11"/>
      <c r="AA52" s="11">
        <f t="shared" si="33"/>
        <v>0.18308359972321972</v>
      </c>
      <c r="AB52" s="11">
        <f t="shared" si="34"/>
        <v>3.7599795178083685E-2</v>
      </c>
      <c r="AC52" s="11">
        <f t="shared" si="35"/>
        <v>2.0294207604954789E-2</v>
      </c>
      <c r="AD52" s="11">
        <f t="shared" si="36"/>
        <v>0.75770536052439952</v>
      </c>
      <c r="AE52" s="11">
        <f t="shared" si="37"/>
        <v>1.3170369693423065E-3</v>
      </c>
      <c r="AF52" s="11">
        <f>'T calculator'!AG52</f>
        <v>914.0710456802318</v>
      </c>
      <c r="AG52" s="54">
        <v>15000</v>
      </c>
      <c r="AH52" s="11"/>
      <c r="AI52" s="11"/>
      <c r="AJ52" s="11"/>
    </row>
    <row r="53" spans="1:40">
      <c r="A53" s="1"/>
      <c r="B53" s="1"/>
      <c r="C53" s="19">
        <f>'Spinel-- no zeroes'!C53</f>
        <v>0</v>
      </c>
      <c r="D53" s="19"/>
      <c r="E53" s="1">
        <f>'Spinel-- no zeroes'!AF53</f>
        <v>1.7809556570040356E-4</v>
      </c>
      <c r="F53" s="1">
        <f>'Spinel-- no zeroes'!AG53</f>
        <v>1.297833707117908E-3</v>
      </c>
      <c r="G53" s="1">
        <f>'Spinel-- no zeroes'!AH53</f>
        <v>1.5997651746679777</v>
      </c>
      <c r="H53" s="1">
        <f>'Spinel-- no zeroes'!AI53</f>
        <v>0.36082824168547772</v>
      </c>
      <c r="I53" s="1">
        <f>'Spinel-- no zeroes'!AJ53</f>
        <v>3.9996609513720284E-2</v>
      </c>
      <c r="J53" s="1">
        <f>'Spinel-- no zeroes'!AK53</f>
        <v>0.24005965853459235</v>
      </c>
      <c r="K53" s="1">
        <f>'Spinel-- no zeroes'!AL53</f>
        <v>2.6659930057279643E-3</v>
      </c>
      <c r="L53" s="1">
        <f>'Spinel-- no zeroes'!AM53</f>
        <v>0.74665751975327177</v>
      </c>
      <c r="M53" s="1">
        <f>'Spinel-- no zeroes'!AN53</f>
        <v>1.0264300752711062E-4</v>
      </c>
      <c r="N53" s="1">
        <f>'Spinel-- no zeroes'!AO53</f>
        <v>0</v>
      </c>
      <c r="O53" s="1">
        <f>'Spinel-- no zeroes'!AP53</f>
        <v>6.6772883524807078E-3</v>
      </c>
      <c r="P53" s="1"/>
      <c r="Q53" s="1">
        <f t="shared" si="26"/>
        <v>2.9982290577935942</v>
      </c>
      <c r="R53" s="1">
        <v>4</v>
      </c>
      <c r="S53" s="1"/>
      <c r="T53" s="11">
        <f t="shared" si="27"/>
        <v>0.74665751975327177</v>
      </c>
      <c r="U53" s="11">
        <f t="shared" si="28"/>
        <v>0.18041412084273886</v>
      </c>
      <c r="V53" s="11">
        <f t="shared" si="29"/>
        <v>1.297833707117908E-3</v>
      </c>
      <c r="W53" s="11">
        <f t="shared" si="30"/>
        <v>1.9998304756860142E-2</v>
      </c>
      <c r="X53" s="11">
        <f t="shared" si="31"/>
        <v>3.7051565520757529E-2</v>
      </c>
      <c r="Y53" s="11">
        <f t="shared" si="32"/>
        <v>0.9854193445807462</v>
      </c>
      <c r="Z53" s="11"/>
      <c r="AA53" s="11">
        <f t="shared" si="33"/>
        <v>0.18308359972321972</v>
      </c>
      <c r="AB53" s="11">
        <f t="shared" si="34"/>
        <v>3.7599795178083685E-2</v>
      </c>
      <c r="AC53" s="11">
        <f t="shared" si="35"/>
        <v>2.0294207604954789E-2</v>
      </c>
      <c r="AD53" s="11">
        <f t="shared" si="36"/>
        <v>0.75770536052439952</v>
      </c>
      <c r="AE53" s="11">
        <f t="shared" si="37"/>
        <v>1.3170369693423065E-3</v>
      </c>
      <c r="AF53" s="11">
        <f>'T calculator'!AG53</f>
        <v>914.0710456802318</v>
      </c>
      <c r="AG53" s="54">
        <v>15000</v>
      </c>
      <c r="AH53" s="11"/>
      <c r="AI53" s="11"/>
      <c r="AJ53" s="11"/>
    </row>
    <row r="54" spans="1:40">
      <c r="A54" s="1"/>
      <c r="B54" s="1"/>
      <c r="C54" s="19">
        <f>'Spinel-- no zeroes'!C54</f>
        <v>0</v>
      </c>
      <c r="D54" s="19"/>
      <c r="E54" s="1">
        <f>'Spinel-- no zeroes'!AF54</f>
        <v>1.7809556570040356E-4</v>
      </c>
      <c r="F54" s="1">
        <f>'Spinel-- no zeroes'!AG54</f>
        <v>1.297833707117908E-3</v>
      </c>
      <c r="G54" s="1">
        <f>'Spinel-- no zeroes'!AH54</f>
        <v>1.5997651746679777</v>
      </c>
      <c r="H54" s="1">
        <f>'Spinel-- no zeroes'!AI54</f>
        <v>0.36082824168547772</v>
      </c>
      <c r="I54" s="1">
        <f>'Spinel-- no zeroes'!AJ54</f>
        <v>3.9996609513720284E-2</v>
      </c>
      <c r="J54" s="1">
        <f>'Spinel-- no zeroes'!AK54</f>
        <v>0.24005965853459235</v>
      </c>
      <c r="K54" s="1">
        <f>'Spinel-- no zeroes'!AL54</f>
        <v>2.6659930057279643E-3</v>
      </c>
      <c r="L54" s="1">
        <f>'Spinel-- no zeroes'!AM54</f>
        <v>0.74665751975327177</v>
      </c>
      <c r="M54" s="1">
        <f>'Spinel-- no zeroes'!AN54</f>
        <v>1.0264300752711062E-4</v>
      </c>
      <c r="N54" s="1">
        <f>'Spinel-- no zeroes'!AO54</f>
        <v>0</v>
      </c>
      <c r="O54" s="1">
        <f>'Spinel-- no zeroes'!AP54</f>
        <v>6.6772883524807078E-3</v>
      </c>
      <c r="P54" s="1"/>
      <c r="Q54" s="1">
        <f t="shared" si="26"/>
        <v>2.9982290577935942</v>
      </c>
      <c r="R54" s="1">
        <v>4</v>
      </c>
      <c r="S54" s="1"/>
      <c r="T54" s="11">
        <f t="shared" si="27"/>
        <v>0.74665751975327177</v>
      </c>
      <c r="U54" s="11">
        <f t="shared" si="28"/>
        <v>0.18041412084273886</v>
      </c>
      <c r="V54" s="11">
        <f t="shared" si="29"/>
        <v>1.297833707117908E-3</v>
      </c>
      <c r="W54" s="11">
        <f t="shared" si="30"/>
        <v>1.9998304756860142E-2</v>
      </c>
      <c r="X54" s="11">
        <f t="shared" si="31"/>
        <v>3.7051565520757529E-2</v>
      </c>
      <c r="Y54" s="11">
        <f t="shared" si="32"/>
        <v>0.9854193445807462</v>
      </c>
      <c r="Z54" s="11"/>
      <c r="AA54" s="11">
        <f t="shared" si="33"/>
        <v>0.18308359972321972</v>
      </c>
      <c r="AB54" s="11">
        <f t="shared" si="34"/>
        <v>3.7599795178083685E-2</v>
      </c>
      <c r="AC54" s="11">
        <f t="shared" si="35"/>
        <v>2.0294207604954789E-2</v>
      </c>
      <c r="AD54" s="11">
        <f t="shared" si="36"/>
        <v>0.75770536052439952</v>
      </c>
      <c r="AE54" s="11">
        <f t="shared" si="37"/>
        <v>1.3170369693423065E-3</v>
      </c>
      <c r="AF54" s="11">
        <f>'T calculator'!AG54</f>
        <v>914.0710456802318</v>
      </c>
      <c r="AG54" s="54">
        <v>15000</v>
      </c>
      <c r="AH54" s="11"/>
      <c r="AI54" s="11"/>
      <c r="AJ54" s="11"/>
      <c r="AK54" s="2">
        <v>9.2996599999999995E-3</v>
      </c>
      <c r="AL54" s="83" t="s">
        <v>125</v>
      </c>
    </row>
    <row r="55" spans="1:40">
      <c r="A55" s="1"/>
      <c r="B55" s="1"/>
      <c r="C55" s="19">
        <f>'Spinel-- no zeroes'!C55</f>
        <v>0</v>
      </c>
      <c r="D55" s="19"/>
      <c r="E55" s="1">
        <f>'Spinel-- no zeroes'!AF55</f>
        <v>1.7809556570040356E-4</v>
      </c>
      <c r="F55" s="1">
        <f>'Spinel-- no zeroes'!AG55</f>
        <v>1.297833707117908E-3</v>
      </c>
      <c r="G55" s="1">
        <f>'Spinel-- no zeroes'!AH55</f>
        <v>1.5997651746679777</v>
      </c>
      <c r="H55" s="1">
        <f>'Spinel-- no zeroes'!AI55</f>
        <v>0.36082824168547772</v>
      </c>
      <c r="I55" s="1">
        <f>'Spinel-- no zeroes'!AJ55</f>
        <v>3.9996609513720284E-2</v>
      </c>
      <c r="J55" s="1">
        <f>'Spinel-- no zeroes'!AK55</f>
        <v>0.24005965853459235</v>
      </c>
      <c r="K55" s="1">
        <f>'Spinel-- no zeroes'!AL55</f>
        <v>2.6659930057279643E-3</v>
      </c>
      <c r="L55" s="1">
        <f>'Spinel-- no zeroes'!AM55</f>
        <v>0.74665751975327177</v>
      </c>
      <c r="M55" s="1">
        <f>'Spinel-- no zeroes'!AN55</f>
        <v>1.0264300752711062E-4</v>
      </c>
      <c r="N55" s="1">
        <f>'Spinel-- no zeroes'!AO55</f>
        <v>0</v>
      </c>
      <c r="O55" s="1">
        <f>'Spinel-- no zeroes'!AP55</f>
        <v>6.6772883524807078E-3</v>
      </c>
      <c r="P55" s="1"/>
      <c r="Q55" s="1">
        <f t="shared" si="26"/>
        <v>2.9982290577935942</v>
      </c>
      <c r="R55" s="1">
        <v>4</v>
      </c>
      <c r="S55" s="1"/>
      <c r="T55" s="11">
        <f t="shared" si="27"/>
        <v>0.74665751975327177</v>
      </c>
      <c r="U55" s="11">
        <f t="shared" si="28"/>
        <v>0.18041412084273886</v>
      </c>
      <c r="V55" s="11">
        <f t="shared" si="29"/>
        <v>1.297833707117908E-3</v>
      </c>
      <c r="W55" s="11">
        <f t="shared" si="30"/>
        <v>1.9998304756860142E-2</v>
      </c>
      <c r="X55" s="11">
        <f t="shared" si="31"/>
        <v>3.7051565520757529E-2</v>
      </c>
      <c r="Y55" s="11">
        <f t="shared" si="32"/>
        <v>0.9854193445807462</v>
      </c>
      <c r="Z55" s="11"/>
      <c r="AA55" s="11">
        <f t="shared" si="33"/>
        <v>0.18308359972321972</v>
      </c>
      <c r="AB55" s="11">
        <f t="shared" si="34"/>
        <v>3.7599795178083685E-2</v>
      </c>
      <c r="AC55" s="11">
        <f t="shared" si="35"/>
        <v>2.0294207604954789E-2</v>
      </c>
      <c r="AD55" s="11">
        <f t="shared" si="36"/>
        <v>0.75770536052439952</v>
      </c>
      <c r="AE55" s="11">
        <f t="shared" si="37"/>
        <v>1.3170369693423065E-3</v>
      </c>
      <c r="AF55" s="11">
        <f>'T calculator'!AG55</f>
        <v>914.0710456802318</v>
      </c>
      <c r="AG55" s="54">
        <v>15000</v>
      </c>
      <c r="AH55" s="11"/>
      <c r="AI55" s="11"/>
      <c r="AJ55" s="11"/>
      <c r="AK55" s="2">
        <v>1.1656400000000001E-2</v>
      </c>
      <c r="AL55" s="83" t="s">
        <v>126</v>
      </c>
      <c r="AN55" s="83" t="s">
        <v>127</v>
      </c>
    </row>
    <row r="56" spans="1:40">
      <c r="A56" s="1"/>
      <c r="B56" s="1"/>
      <c r="C56" s="19">
        <f>'Spinel-- no zeroes'!C56</f>
        <v>0</v>
      </c>
      <c r="D56" s="19"/>
      <c r="E56" s="1">
        <f>'Spinel-- no zeroes'!AF56</f>
        <v>1.7809556570040356E-4</v>
      </c>
      <c r="F56" s="1">
        <f>'Spinel-- no zeroes'!AG56</f>
        <v>1.297833707117908E-3</v>
      </c>
      <c r="G56" s="1">
        <f>'Spinel-- no zeroes'!AH56</f>
        <v>1.5997651746679777</v>
      </c>
      <c r="H56" s="1">
        <f>'Spinel-- no zeroes'!AI56</f>
        <v>0.36082824168547772</v>
      </c>
      <c r="I56" s="1">
        <f>'Spinel-- no zeroes'!AJ56</f>
        <v>3.9996609513720284E-2</v>
      </c>
      <c r="J56" s="1">
        <f>'Spinel-- no zeroes'!AK56</f>
        <v>0.24005965853459235</v>
      </c>
      <c r="K56" s="1">
        <f>'Spinel-- no zeroes'!AL56</f>
        <v>2.6659930057279643E-3</v>
      </c>
      <c r="L56" s="1">
        <f>'Spinel-- no zeroes'!AM56</f>
        <v>0.74665751975327177</v>
      </c>
      <c r="M56" s="1">
        <f>'Spinel-- no zeroes'!AN56</f>
        <v>1.0264300752711062E-4</v>
      </c>
      <c r="N56" s="1">
        <f>'Spinel-- no zeroes'!AO56</f>
        <v>0</v>
      </c>
      <c r="O56" s="1">
        <f>'Spinel-- no zeroes'!AP56</f>
        <v>6.6772883524807078E-3</v>
      </c>
      <c r="P56" s="1"/>
      <c r="Q56" s="1">
        <f t="shared" si="26"/>
        <v>2.9982290577935942</v>
      </c>
      <c r="R56" s="1">
        <v>4</v>
      </c>
      <c r="S56" s="1"/>
      <c r="T56" s="11">
        <f t="shared" si="27"/>
        <v>0.74665751975327177</v>
      </c>
      <c r="U56" s="11">
        <f t="shared" si="28"/>
        <v>0.18041412084273886</v>
      </c>
      <c r="V56" s="11">
        <f t="shared" si="29"/>
        <v>1.297833707117908E-3</v>
      </c>
      <c r="W56" s="11">
        <f t="shared" si="30"/>
        <v>1.9998304756860142E-2</v>
      </c>
      <c r="X56" s="11">
        <f t="shared" si="31"/>
        <v>3.7051565520757529E-2</v>
      </c>
      <c r="Y56" s="11">
        <f t="shared" si="32"/>
        <v>0.9854193445807462</v>
      </c>
      <c r="Z56" s="11"/>
      <c r="AA56" s="11">
        <f t="shared" si="33"/>
        <v>0.18308359972321972</v>
      </c>
      <c r="AB56" s="11">
        <f t="shared" si="34"/>
        <v>3.7599795178083685E-2</v>
      </c>
      <c r="AC56" s="11">
        <f t="shared" si="35"/>
        <v>2.0294207604954789E-2</v>
      </c>
      <c r="AD56" s="11">
        <f t="shared" si="36"/>
        <v>0.75770536052439952</v>
      </c>
      <c r="AE56" s="11">
        <f t="shared" si="37"/>
        <v>1.3170369693423065E-3</v>
      </c>
      <c r="AF56" s="11">
        <f>'T calculator'!AG56</f>
        <v>914.0710456802318</v>
      </c>
      <c r="AG56" s="54">
        <v>15000</v>
      </c>
      <c r="AH56" s="11"/>
      <c r="AI56" s="11"/>
      <c r="AJ56" s="11">
        <f>2*LOG10(AK56)</f>
        <v>-3.9515049592491889</v>
      </c>
      <c r="AK56" s="2">
        <v>1.0574200000000001E-2</v>
      </c>
      <c r="AL56" s="83" t="s">
        <v>125</v>
      </c>
    </row>
    <row r="57" spans="1:40">
      <c r="A57" s="1"/>
      <c r="B57" s="1"/>
      <c r="C57" s="19">
        <f>'Spinel-- no zeroes'!C57</f>
        <v>0</v>
      </c>
      <c r="D57" s="19"/>
      <c r="E57" s="1">
        <f>'Spinel-- no zeroes'!AF57</f>
        <v>1.7809556570040356E-4</v>
      </c>
      <c r="F57" s="1">
        <f>'Spinel-- no zeroes'!AG57</f>
        <v>1.297833707117908E-3</v>
      </c>
      <c r="G57" s="1">
        <f>'Spinel-- no zeroes'!AH57</f>
        <v>1.5997651746679777</v>
      </c>
      <c r="H57" s="1">
        <f>'Spinel-- no zeroes'!AI57</f>
        <v>0.36082824168547772</v>
      </c>
      <c r="I57" s="1">
        <f>'Spinel-- no zeroes'!AJ57</f>
        <v>3.9996609513720284E-2</v>
      </c>
      <c r="J57" s="1">
        <f>'Spinel-- no zeroes'!AK57</f>
        <v>0.24005965853459235</v>
      </c>
      <c r="K57" s="1">
        <f>'Spinel-- no zeroes'!AL57</f>
        <v>2.6659930057279643E-3</v>
      </c>
      <c r="L57" s="1">
        <f>'Spinel-- no zeroes'!AM57</f>
        <v>0.74665751975327177</v>
      </c>
      <c r="M57" s="1">
        <f>'Spinel-- no zeroes'!AN57</f>
        <v>1.0264300752711062E-4</v>
      </c>
      <c r="N57" s="1">
        <f>'Spinel-- no zeroes'!AO57</f>
        <v>0</v>
      </c>
      <c r="O57" s="1">
        <f>'Spinel-- no zeroes'!AP57</f>
        <v>6.6772883524807078E-3</v>
      </c>
      <c r="P57" s="1"/>
      <c r="Q57" s="1">
        <f t="shared" si="26"/>
        <v>2.9982290577935942</v>
      </c>
      <c r="R57" s="1">
        <v>4</v>
      </c>
      <c r="S57" s="1"/>
      <c r="T57" s="11">
        <f t="shared" si="27"/>
        <v>0.74665751975327177</v>
      </c>
      <c r="U57" s="11">
        <f t="shared" si="28"/>
        <v>0.18041412084273886</v>
      </c>
      <c r="V57" s="11">
        <f t="shared" si="29"/>
        <v>1.297833707117908E-3</v>
      </c>
      <c r="W57" s="11">
        <f t="shared" si="30"/>
        <v>1.9998304756860142E-2</v>
      </c>
      <c r="X57" s="11">
        <f t="shared" si="31"/>
        <v>3.7051565520757529E-2</v>
      </c>
      <c r="Y57" s="11">
        <f t="shared" si="32"/>
        <v>0.9854193445807462</v>
      </c>
      <c r="Z57" s="11"/>
      <c r="AA57" s="11">
        <f t="shared" si="33"/>
        <v>0.18308359972321972</v>
      </c>
      <c r="AB57" s="11">
        <f t="shared" si="34"/>
        <v>3.7599795178083685E-2</v>
      </c>
      <c r="AC57" s="11">
        <f t="shared" si="35"/>
        <v>2.0294207604954789E-2</v>
      </c>
      <c r="AD57" s="11">
        <f t="shared" si="36"/>
        <v>0.75770536052439952</v>
      </c>
      <c r="AE57" s="11">
        <f t="shared" si="37"/>
        <v>1.3170369693423065E-3</v>
      </c>
      <c r="AF57" s="11">
        <f>'T calculator'!AG57</f>
        <v>914.0710456802318</v>
      </c>
      <c r="AG57" s="54">
        <v>15000</v>
      </c>
      <c r="AH57" s="11"/>
      <c r="AI57" s="11"/>
      <c r="AJ57" s="11">
        <f>2*LOG10(AK57)</f>
        <v>-3.8858931992875201</v>
      </c>
      <c r="AK57" s="2">
        <v>1.14039E-2</v>
      </c>
      <c r="AL57" s="83" t="s">
        <v>126</v>
      </c>
      <c r="AN57" s="83" t="s">
        <v>127</v>
      </c>
    </row>
    <row r="58" spans="1:40">
      <c r="A58" s="1"/>
      <c r="B58" s="1"/>
      <c r="C58" s="19">
        <f>'Spinel-- no zeroes'!C58</f>
        <v>0</v>
      </c>
      <c r="D58" s="19"/>
      <c r="E58" s="1">
        <f>'Spinel-- no zeroes'!AF58</f>
        <v>1.7809556570040356E-4</v>
      </c>
      <c r="F58" s="1">
        <f>'Spinel-- no zeroes'!AG58</f>
        <v>1.297833707117908E-3</v>
      </c>
      <c r="G58" s="1">
        <f>'Spinel-- no zeroes'!AH58</f>
        <v>1.5997651746679777</v>
      </c>
      <c r="H58" s="1">
        <f>'Spinel-- no zeroes'!AI58</f>
        <v>0.36082824168547772</v>
      </c>
      <c r="I58" s="1">
        <f>'Spinel-- no zeroes'!AJ58</f>
        <v>3.9996609513720284E-2</v>
      </c>
      <c r="J58" s="1">
        <f>'Spinel-- no zeroes'!AK58</f>
        <v>0.24005965853459235</v>
      </c>
      <c r="K58" s="1">
        <f>'Spinel-- no zeroes'!AL58</f>
        <v>2.6659930057279643E-3</v>
      </c>
      <c r="L58" s="1">
        <f>'Spinel-- no zeroes'!AM58</f>
        <v>0.74665751975327177</v>
      </c>
      <c r="M58" s="1">
        <f>'Spinel-- no zeroes'!AN58</f>
        <v>1.0264300752711062E-4</v>
      </c>
      <c r="N58" s="1">
        <f>'Spinel-- no zeroes'!AO58</f>
        <v>0</v>
      </c>
      <c r="O58" s="1">
        <f>'Spinel-- no zeroes'!AP58</f>
        <v>6.6772883524807078E-3</v>
      </c>
      <c r="P58" s="1"/>
      <c r="Q58" s="1">
        <f t="shared" si="26"/>
        <v>2.9982290577935942</v>
      </c>
      <c r="R58" s="1">
        <v>4</v>
      </c>
      <c r="S58" s="1"/>
      <c r="T58" s="11">
        <f t="shared" si="27"/>
        <v>0.74665751975327177</v>
      </c>
      <c r="U58" s="11">
        <f t="shared" si="28"/>
        <v>0.18041412084273886</v>
      </c>
      <c r="V58" s="11">
        <f t="shared" si="29"/>
        <v>1.297833707117908E-3</v>
      </c>
      <c r="W58" s="11">
        <f t="shared" si="30"/>
        <v>1.9998304756860142E-2</v>
      </c>
      <c r="X58" s="11">
        <f t="shared" si="31"/>
        <v>3.7051565520757529E-2</v>
      </c>
      <c r="Y58" s="11">
        <f t="shared" si="32"/>
        <v>0.9854193445807462</v>
      </c>
      <c r="Z58" s="11"/>
      <c r="AA58" s="11">
        <f t="shared" si="33"/>
        <v>0.18308359972321972</v>
      </c>
      <c r="AB58" s="11">
        <f t="shared" si="34"/>
        <v>3.7599795178083685E-2</v>
      </c>
      <c r="AC58" s="11">
        <f t="shared" si="35"/>
        <v>2.0294207604954789E-2</v>
      </c>
      <c r="AD58" s="11">
        <f t="shared" si="36"/>
        <v>0.75770536052439952</v>
      </c>
      <c r="AE58" s="11">
        <f t="shared" si="37"/>
        <v>1.3170369693423065E-3</v>
      </c>
      <c r="AF58" s="11">
        <f>'T calculator'!AG58</f>
        <v>914.0710456802318</v>
      </c>
      <c r="AG58" s="54">
        <v>15000</v>
      </c>
      <c r="AH58" s="11"/>
      <c r="AI58" s="11"/>
      <c r="AJ58" s="11">
        <f>AJ57-AJ56</f>
        <v>6.5611759961668792E-2</v>
      </c>
    </row>
    <row r="59" spans="1:40">
      <c r="A59" s="1"/>
      <c r="B59" s="1"/>
      <c r="C59" s="19">
        <f>'Spinel-- no zeroes'!C59</f>
        <v>0</v>
      </c>
      <c r="D59" s="19"/>
      <c r="E59" s="1">
        <f>'Spinel-- no zeroes'!AF59</f>
        <v>1.8402744853379709E-4</v>
      </c>
      <c r="F59" s="1">
        <f>'Spinel-- no zeroes'!AG59</f>
        <v>1.3410610466509027E-3</v>
      </c>
      <c r="G59" s="1">
        <f>'Spinel-- no zeroes'!AH59</f>
        <v>1.5864344323759032</v>
      </c>
      <c r="H59" s="1">
        <f>'Spinel-- no zeroes'!AI59</f>
        <v>0.37284645698601143</v>
      </c>
      <c r="I59" s="1">
        <f>'Spinel-- no zeroes'!AJ59</f>
        <v>4.1328788675145986E-2</v>
      </c>
      <c r="J59" s="1">
        <f>'Spinel-- no zeroes'!AK59</f>
        <v>0.24805539813569608</v>
      </c>
      <c r="K59" s="1">
        <f>'Spinel-- no zeroes'!AL59</f>
        <v>2.7547900405245932E-3</v>
      </c>
      <c r="L59" s="1">
        <f>'Spinel-- no zeroes'!AM59</f>
        <v>0.73821936519487441</v>
      </c>
      <c r="M59" s="1">
        <f>'Spinel-- no zeroes'!AN59</f>
        <v>1.0606176920106616E-4</v>
      </c>
      <c r="N59" s="1">
        <f>'Spinel-- no zeroes'!AO59</f>
        <v>0</v>
      </c>
      <c r="O59" s="1">
        <f>'Spinel-- no zeroes'!AP59</f>
        <v>6.8996908137431614E-3</v>
      </c>
      <c r="P59" s="1"/>
      <c r="Q59" s="1">
        <f t="shared" ref="Q59" si="38">SUM(E59:O59)</f>
        <v>2.9981700724862845</v>
      </c>
      <c r="R59" s="1">
        <v>4</v>
      </c>
      <c r="S59" s="1"/>
      <c r="T59" s="11">
        <f t="shared" ref="T59" si="39">L59</f>
        <v>0.73821936519487441</v>
      </c>
      <c r="U59" s="11">
        <f t="shared" ref="U59" si="40">H59/2</f>
        <v>0.18642322849300572</v>
      </c>
      <c r="V59" s="11">
        <f t="shared" ref="V59" si="41">F59</f>
        <v>1.3410610466509027E-3</v>
      </c>
      <c r="W59" s="11">
        <f t="shared" ref="W59" si="42">I59/2</f>
        <v>2.0664394337572993E-2</v>
      </c>
      <c r="X59" s="11">
        <f t="shared" ref="X59" si="43">J59-(U59+2*V59+W59)</f>
        <v>3.8285653211815568E-2</v>
      </c>
      <c r="Y59" s="11">
        <f t="shared" ref="Y59" si="44">SUM(T59:X59)</f>
        <v>0.98493370228391952</v>
      </c>
      <c r="Z59" s="11"/>
      <c r="AA59" s="11">
        <f t="shared" ref="AA59" si="45">U59/Y59</f>
        <v>0.18927490049403028</v>
      </c>
      <c r="AB59" s="11">
        <f t="shared" ref="AB59" si="46">X59/Y59</f>
        <v>3.8871299787017796E-2</v>
      </c>
      <c r="AC59" s="11">
        <f t="shared" ref="AC59" si="47">W59/Y59</f>
        <v>2.0980492686619653E-2</v>
      </c>
      <c r="AD59" s="11">
        <f t="shared" ref="AD59" si="48">T59/Y59</f>
        <v>0.74951173209227173</v>
      </c>
      <c r="AE59" s="11">
        <f t="shared" ref="AE59" si="49">V59/Y59</f>
        <v>1.3615749400606102E-3</v>
      </c>
      <c r="AF59" s="11">
        <f>'T calculator'!AG59</f>
        <v>894.20552411951223</v>
      </c>
      <c r="AG59" s="54">
        <v>15000</v>
      </c>
      <c r="AH59" s="11"/>
      <c r="AI59" s="11"/>
      <c r="AJ59" s="11"/>
    </row>
    <row r="60" spans="1:40" ht="14" customHeight="1">
      <c r="A60" s="1"/>
      <c r="B60" s="1"/>
      <c r="C60" s="19"/>
      <c r="D60" s="1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40" ht="14" customHeight="1">
      <c r="A61" s="1"/>
      <c r="B61" s="1"/>
      <c r="C61" s="19"/>
      <c r="D61" s="1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40" ht="14" customHeight="1">
      <c r="A62" s="1"/>
      <c r="B62" s="1"/>
      <c r="C62" s="19"/>
      <c r="D62" s="1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40" ht="14" customHeight="1">
      <c r="A63" s="1"/>
      <c r="B63" s="1"/>
      <c r="C63" s="19"/>
      <c r="D63" s="1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40" ht="14" customHeight="1">
      <c r="A64" s="1"/>
      <c r="B64" s="1"/>
      <c r="C64" s="19"/>
      <c r="D64" s="1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4" customHeight="1">
      <c r="A65" s="1"/>
      <c r="B65" s="1"/>
      <c r="C65" s="19"/>
      <c r="D65" s="1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4" customHeight="1">
      <c r="A66" s="1"/>
      <c r="B66" s="1"/>
      <c r="C66" s="19"/>
      <c r="D66" s="1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4" customHeight="1">
      <c r="A67" s="1"/>
      <c r="B67" s="1"/>
      <c r="C67" s="19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4" customHeight="1">
      <c r="A68" s="1"/>
      <c r="B68" s="1"/>
      <c r="C68" s="19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4" customHeight="1">
      <c r="A69" s="1"/>
      <c r="B69" s="1"/>
      <c r="C69" s="19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4" customHeight="1">
      <c r="A70" s="1"/>
      <c r="B70" s="1"/>
      <c r="C70" s="19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4" customHeight="1">
      <c r="A71" s="1"/>
      <c r="B71" s="1"/>
      <c r="C71" s="19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4" customHeight="1">
      <c r="A72" s="1"/>
      <c r="B72" s="1"/>
      <c r="C72" s="19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workbookViewId="0">
      <pane xSplit="3" ySplit="3" topLeftCell="D27" activePane="bottomRight" state="frozen"/>
      <selection pane="topRight" activeCell="D1" sqref="D1"/>
      <selection pane="bottomLeft" activeCell="A3" sqref="A3"/>
      <selection pane="bottomRight" activeCell="A55" sqref="A55:XFD59"/>
    </sheetView>
  </sheetViews>
  <sheetFormatPr baseColWidth="10" defaultRowHeight="14" x14ac:dyDescent="0"/>
  <cols>
    <col min="15" max="15" width="10.83203125" style="44"/>
    <col min="17" max="17" width="10.83203125" style="24"/>
    <col min="30" max="31" width="10.83203125" style="8"/>
  </cols>
  <sheetData>
    <row r="1" spans="1:33" s="8" customFormat="1">
      <c r="D1" s="44"/>
      <c r="E1" s="44"/>
      <c r="F1" s="44"/>
      <c r="O1" s="44"/>
      <c r="Q1" s="24"/>
    </row>
    <row r="2" spans="1:33">
      <c r="A2" s="1"/>
      <c r="B2" s="1"/>
      <c r="C2" s="19"/>
      <c r="D2" s="1"/>
      <c r="E2" s="5"/>
      <c r="F2" s="5"/>
      <c r="G2" s="5"/>
      <c r="H2" s="5"/>
      <c r="I2" s="5"/>
      <c r="J2" s="5"/>
      <c r="K2" s="5"/>
      <c r="L2" s="5"/>
      <c r="M2" s="5"/>
      <c r="N2" s="5"/>
      <c r="O2" s="47"/>
      <c r="P2" s="5" t="s">
        <v>24</v>
      </c>
      <c r="Q2" s="26">
        <v>60.09</v>
      </c>
      <c r="R2" s="6">
        <v>79.88</v>
      </c>
      <c r="S2" s="6">
        <v>101.96</v>
      </c>
      <c r="T2" s="6">
        <v>151.99</v>
      </c>
      <c r="U2" s="6">
        <v>71.849999999999994</v>
      </c>
      <c r="V2" s="6">
        <v>70.930000000000007</v>
      </c>
      <c r="W2" s="6">
        <v>40.31</v>
      </c>
      <c r="X2" s="6">
        <v>56.08</v>
      </c>
      <c r="Y2" s="6">
        <v>61.98</v>
      </c>
      <c r="Z2" s="6">
        <v>74.69</v>
      </c>
      <c r="AA2" s="5"/>
    </row>
    <row r="3" spans="1:33" ht="15" thickBot="1">
      <c r="A3" s="13" t="s">
        <v>30</v>
      </c>
      <c r="B3" s="13"/>
      <c r="C3" s="13" t="s">
        <v>10</v>
      </c>
      <c r="D3" s="13"/>
      <c r="E3" s="52" t="s">
        <v>0</v>
      </c>
      <c r="F3" s="52" t="s">
        <v>5</v>
      </c>
      <c r="G3" s="52" t="s">
        <v>9</v>
      </c>
      <c r="H3" s="52" t="s">
        <v>8</v>
      </c>
      <c r="I3" s="52" t="s">
        <v>6</v>
      </c>
      <c r="J3" s="52" t="s">
        <v>4</v>
      </c>
      <c r="K3" s="52" t="s">
        <v>3</v>
      </c>
      <c r="L3" s="52" t="s">
        <v>2</v>
      </c>
      <c r="M3" s="52" t="s">
        <v>1</v>
      </c>
      <c r="N3" s="52" t="s">
        <v>11</v>
      </c>
      <c r="O3" s="15" t="s">
        <v>7</v>
      </c>
      <c r="P3" s="14"/>
      <c r="Q3" s="23" t="s">
        <v>12</v>
      </c>
      <c r="R3" s="14" t="s">
        <v>16</v>
      </c>
      <c r="S3" s="14" t="s">
        <v>13</v>
      </c>
      <c r="T3" s="14" t="s">
        <v>17</v>
      </c>
      <c r="U3" s="14" t="s">
        <v>21</v>
      </c>
      <c r="V3" s="14" t="s">
        <v>18</v>
      </c>
      <c r="W3" s="14" t="s">
        <v>14</v>
      </c>
      <c r="X3" s="14" t="s">
        <v>19</v>
      </c>
      <c r="Y3" s="14" t="s">
        <v>20</v>
      </c>
      <c r="Z3" s="14" t="s">
        <v>15</v>
      </c>
      <c r="AA3" s="14" t="s">
        <v>7</v>
      </c>
      <c r="AC3" s="48" t="s">
        <v>56</v>
      </c>
      <c r="AD3" s="48" t="s">
        <v>96</v>
      </c>
      <c r="AE3" s="48" t="s">
        <v>97</v>
      </c>
      <c r="AG3" s="33" t="s">
        <v>60</v>
      </c>
    </row>
    <row r="4" spans="1:33">
      <c r="C4" s="44">
        <f>'Spinel-- no zeroes'!C4</f>
        <v>0</v>
      </c>
      <c r="D4" s="44"/>
      <c r="E4" s="51">
        <v>40.382300000000001</v>
      </c>
      <c r="F4" s="51">
        <v>0</v>
      </c>
      <c r="G4" s="51">
        <v>5.8463333333333345E-3</v>
      </c>
      <c r="H4" s="51">
        <v>3.0960000000000002E-3</v>
      </c>
      <c r="I4" s="51">
        <v>9.12866</v>
      </c>
      <c r="J4" s="51">
        <v>0.12850600000000001</v>
      </c>
      <c r="K4" s="51">
        <v>50.097166666666659</v>
      </c>
      <c r="L4" s="56">
        <v>3.9156999999999997E-2</v>
      </c>
      <c r="M4" s="56"/>
      <c r="N4" s="56">
        <v>0.39530833333333332</v>
      </c>
      <c r="O4" s="9">
        <f>SUM(E4:N4)</f>
        <v>100.18004033333334</v>
      </c>
      <c r="Q4" s="24">
        <f>E4/$Q$2</f>
        <v>0.67203028790148112</v>
      </c>
      <c r="R4">
        <f>F4/$R$2</f>
        <v>0</v>
      </c>
      <c r="S4">
        <f>2*G4/$S$2</f>
        <v>1.1467895906891595E-4</v>
      </c>
      <c r="T4">
        <f>2*H4/$T$2</f>
        <v>4.0739522336995858E-5</v>
      </c>
      <c r="U4">
        <f>I4/$U$2</f>
        <v>0.12705163535142661</v>
      </c>
      <c r="V4">
        <f>J4/$V$2</f>
        <v>1.8117298745241788E-3</v>
      </c>
      <c r="W4">
        <f>K4/$W$2</f>
        <v>1.2427974861490116</v>
      </c>
      <c r="X4">
        <f>L4/$X$2</f>
        <v>6.9823466476462198E-4</v>
      </c>
      <c r="Y4">
        <f>2*M4/$Y$2</f>
        <v>0</v>
      </c>
      <c r="Z4">
        <f>N4/$Z$2</f>
        <v>5.2926540813138748E-3</v>
      </c>
      <c r="AA4">
        <f>SUM(Q4:Z4)</f>
        <v>2.0498374465039282</v>
      </c>
      <c r="AC4" s="9">
        <f>W4/(W4+U4)</f>
        <v>0.90725136560129849</v>
      </c>
      <c r="AD4" s="9"/>
      <c r="AE4" s="9"/>
      <c r="AG4">
        <f>W4/U4</f>
        <v>9.7818299049155595</v>
      </c>
    </row>
    <row r="5" spans="1:33" s="8" customFormat="1">
      <c r="C5" s="44">
        <f>'Spinel-- no zeroes'!C5</f>
        <v>0</v>
      </c>
      <c r="D5" s="44"/>
      <c r="E5" s="51">
        <v>40.382300000000001</v>
      </c>
      <c r="F5" s="51">
        <v>0</v>
      </c>
      <c r="G5" s="51">
        <v>5.8463333333333345E-3</v>
      </c>
      <c r="H5" s="51">
        <v>3.0960000000000002E-3</v>
      </c>
      <c r="I5" s="51">
        <v>9.12866</v>
      </c>
      <c r="J5" s="51">
        <v>0.12850600000000001</v>
      </c>
      <c r="K5" s="51">
        <v>50.097166666666659</v>
      </c>
      <c r="L5" s="56">
        <v>3.9156999999999997E-2</v>
      </c>
      <c r="M5" s="56"/>
      <c r="N5" s="56">
        <v>0.39530833333333332</v>
      </c>
      <c r="O5" s="9">
        <f t="shared" ref="O5:O11" si="0">SUM(E5:N5)</f>
        <v>100.18004033333334</v>
      </c>
      <c r="Q5" s="24">
        <f t="shared" ref="Q5:Q11" si="1">E5/$Q$2</f>
        <v>0.67203028790148112</v>
      </c>
      <c r="R5" s="8">
        <f t="shared" ref="R5:R11" si="2">F5/$R$2</f>
        <v>0</v>
      </c>
      <c r="S5" s="8">
        <f t="shared" ref="S5:S11" si="3">2*G5/$S$2</f>
        <v>1.1467895906891595E-4</v>
      </c>
      <c r="T5" s="8">
        <f t="shared" ref="T5:T11" si="4">2*H5/$T$2</f>
        <v>4.0739522336995858E-5</v>
      </c>
      <c r="U5" s="8">
        <f t="shared" ref="U5:U11" si="5">I5/$U$2</f>
        <v>0.12705163535142661</v>
      </c>
      <c r="V5" s="8">
        <f t="shared" ref="V5:V11" si="6">J5/$V$2</f>
        <v>1.8117298745241788E-3</v>
      </c>
      <c r="W5" s="8">
        <f t="shared" ref="W5:W11" si="7">K5/$W$2</f>
        <v>1.2427974861490116</v>
      </c>
      <c r="X5" s="8">
        <f t="shared" ref="X5:X11" si="8">L5/$X$2</f>
        <v>6.9823466476462198E-4</v>
      </c>
      <c r="Y5" s="8">
        <f t="shared" ref="Y5:Y11" si="9">2*M5/$Y$2</f>
        <v>0</v>
      </c>
      <c r="Z5" s="8">
        <f t="shared" ref="Z5:Z11" si="10">N5/$Z$2</f>
        <v>5.2926540813138748E-3</v>
      </c>
      <c r="AA5" s="8">
        <f t="shared" ref="AA5:AA11" si="11">SUM(Q5:Z5)</f>
        <v>2.0498374465039282</v>
      </c>
      <c r="AC5" s="9">
        <f t="shared" ref="AC5:AC11" si="12">W5/(W5+U5)</f>
        <v>0.90725136560129849</v>
      </c>
      <c r="AD5" s="9"/>
      <c r="AE5" s="9"/>
      <c r="AG5" s="8">
        <f t="shared" ref="AG5:AG11" si="13">W5/U5</f>
        <v>9.7818299049155595</v>
      </c>
    </row>
    <row r="6" spans="1:33" s="8" customFormat="1">
      <c r="C6" s="44">
        <f>'Spinel-- no zeroes'!C6</f>
        <v>0</v>
      </c>
      <c r="D6" s="44"/>
      <c r="E6" s="51">
        <v>40.382300000000001</v>
      </c>
      <c r="F6" s="51">
        <v>0</v>
      </c>
      <c r="G6" s="51">
        <v>5.8463333333333345E-3</v>
      </c>
      <c r="H6" s="51">
        <v>3.0960000000000002E-3</v>
      </c>
      <c r="I6" s="51">
        <v>9.12866</v>
      </c>
      <c r="J6" s="51">
        <v>0.12850600000000001</v>
      </c>
      <c r="K6" s="51">
        <v>50.097166666666659</v>
      </c>
      <c r="L6" s="56">
        <v>3.9156999999999997E-2</v>
      </c>
      <c r="M6" s="56"/>
      <c r="N6" s="56">
        <v>0.39530833333333332</v>
      </c>
      <c r="O6" s="9">
        <f t="shared" si="0"/>
        <v>100.18004033333334</v>
      </c>
      <c r="Q6" s="24">
        <f t="shared" si="1"/>
        <v>0.67203028790148112</v>
      </c>
      <c r="R6" s="8">
        <f t="shared" si="2"/>
        <v>0</v>
      </c>
      <c r="S6" s="8">
        <f t="shared" si="3"/>
        <v>1.1467895906891595E-4</v>
      </c>
      <c r="T6" s="8">
        <f t="shared" si="4"/>
        <v>4.0739522336995858E-5</v>
      </c>
      <c r="U6" s="8">
        <f t="shared" si="5"/>
        <v>0.12705163535142661</v>
      </c>
      <c r="V6" s="8">
        <f t="shared" si="6"/>
        <v>1.8117298745241788E-3</v>
      </c>
      <c r="W6" s="8">
        <f t="shared" si="7"/>
        <v>1.2427974861490116</v>
      </c>
      <c r="X6" s="8">
        <f t="shared" si="8"/>
        <v>6.9823466476462198E-4</v>
      </c>
      <c r="Y6" s="8">
        <f t="shared" si="9"/>
        <v>0</v>
      </c>
      <c r="Z6" s="8">
        <f t="shared" si="10"/>
        <v>5.2926540813138748E-3</v>
      </c>
      <c r="AA6" s="8">
        <f t="shared" si="11"/>
        <v>2.0498374465039282</v>
      </c>
      <c r="AC6" s="9">
        <f t="shared" si="12"/>
        <v>0.90725136560129849</v>
      </c>
      <c r="AD6" s="9"/>
      <c r="AE6" s="9"/>
      <c r="AG6" s="8">
        <f t="shared" si="13"/>
        <v>9.7818299049155595</v>
      </c>
    </row>
    <row r="7" spans="1:33" s="8" customFormat="1">
      <c r="C7" s="44">
        <f>'Spinel-- no zeroes'!C7</f>
        <v>0</v>
      </c>
      <c r="D7" s="44"/>
      <c r="E7" s="51">
        <v>40.382300000000001</v>
      </c>
      <c r="F7" s="51">
        <v>0</v>
      </c>
      <c r="G7" s="51">
        <v>5.8463333333333345E-3</v>
      </c>
      <c r="H7" s="51">
        <v>3.0960000000000002E-3</v>
      </c>
      <c r="I7" s="51">
        <v>9.12866</v>
      </c>
      <c r="J7" s="51">
        <v>0.12850600000000001</v>
      </c>
      <c r="K7" s="51">
        <v>50.097166666666659</v>
      </c>
      <c r="L7" s="56">
        <v>3.9156999999999997E-2</v>
      </c>
      <c r="M7" s="56"/>
      <c r="N7" s="56">
        <v>0.39530833333333332</v>
      </c>
      <c r="O7" s="9">
        <f t="shared" si="0"/>
        <v>100.18004033333334</v>
      </c>
      <c r="Q7" s="24">
        <f t="shared" si="1"/>
        <v>0.67203028790148112</v>
      </c>
      <c r="R7" s="8">
        <f t="shared" si="2"/>
        <v>0</v>
      </c>
      <c r="S7" s="8">
        <f t="shared" si="3"/>
        <v>1.1467895906891595E-4</v>
      </c>
      <c r="T7" s="8">
        <f t="shared" si="4"/>
        <v>4.0739522336995858E-5</v>
      </c>
      <c r="U7" s="8">
        <f t="shared" si="5"/>
        <v>0.12705163535142661</v>
      </c>
      <c r="V7" s="8">
        <f t="shared" si="6"/>
        <v>1.8117298745241788E-3</v>
      </c>
      <c r="W7" s="8">
        <f t="shared" si="7"/>
        <v>1.2427974861490116</v>
      </c>
      <c r="X7" s="8">
        <f t="shared" si="8"/>
        <v>6.9823466476462198E-4</v>
      </c>
      <c r="Y7" s="8">
        <f t="shared" si="9"/>
        <v>0</v>
      </c>
      <c r="Z7" s="8">
        <f t="shared" si="10"/>
        <v>5.2926540813138748E-3</v>
      </c>
      <c r="AA7" s="8">
        <f t="shared" si="11"/>
        <v>2.0498374465039282</v>
      </c>
      <c r="AC7" s="9">
        <f t="shared" si="12"/>
        <v>0.90725136560129849</v>
      </c>
      <c r="AD7" s="9"/>
      <c r="AE7" s="9"/>
      <c r="AG7" s="8">
        <f t="shared" si="13"/>
        <v>9.7818299049155595</v>
      </c>
    </row>
    <row r="8" spans="1:33" s="8" customFormat="1">
      <c r="C8" s="44">
        <f>'Spinel-- no zeroes'!C8</f>
        <v>0</v>
      </c>
      <c r="D8" s="44"/>
      <c r="E8" s="51">
        <v>40.382300000000001</v>
      </c>
      <c r="F8" s="51">
        <v>0</v>
      </c>
      <c r="G8" s="51">
        <v>5.8463333333333345E-3</v>
      </c>
      <c r="H8" s="51">
        <v>3.0960000000000002E-3</v>
      </c>
      <c r="I8" s="51">
        <v>9.12866</v>
      </c>
      <c r="J8" s="51">
        <v>0.12850600000000001</v>
      </c>
      <c r="K8" s="51">
        <v>50.097166666666659</v>
      </c>
      <c r="L8" s="56">
        <v>3.9156999999999997E-2</v>
      </c>
      <c r="M8" s="56"/>
      <c r="N8" s="56">
        <v>0.39530833333333332</v>
      </c>
      <c r="O8" s="9">
        <f t="shared" si="0"/>
        <v>100.18004033333334</v>
      </c>
      <c r="Q8" s="24">
        <f t="shared" si="1"/>
        <v>0.67203028790148112</v>
      </c>
      <c r="R8" s="8">
        <f t="shared" si="2"/>
        <v>0</v>
      </c>
      <c r="S8" s="8">
        <f t="shared" si="3"/>
        <v>1.1467895906891595E-4</v>
      </c>
      <c r="T8" s="8">
        <f t="shared" si="4"/>
        <v>4.0739522336995858E-5</v>
      </c>
      <c r="U8" s="8">
        <f t="shared" si="5"/>
        <v>0.12705163535142661</v>
      </c>
      <c r="V8" s="8">
        <f t="shared" si="6"/>
        <v>1.8117298745241788E-3</v>
      </c>
      <c r="W8" s="8">
        <f t="shared" si="7"/>
        <v>1.2427974861490116</v>
      </c>
      <c r="X8" s="8">
        <f t="shared" si="8"/>
        <v>6.9823466476462198E-4</v>
      </c>
      <c r="Y8" s="8">
        <f t="shared" si="9"/>
        <v>0</v>
      </c>
      <c r="Z8" s="8">
        <f t="shared" si="10"/>
        <v>5.2926540813138748E-3</v>
      </c>
      <c r="AA8" s="8">
        <f t="shared" si="11"/>
        <v>2.0498374465039282</v>
      </c>
      <c r="AC8" s="9">
        <f t="shared" si="12"/>
        <v>0.90725136560129849</v>
      </c>
      <c r="AD8" s="9"/>
      <c r="AE8" s="9"/>
      <c r="AG8" s="8">
        <f t="shared" si="13"/>
        <v>9.7818299049155595</v>
      </c>
    </row>
    <row r="9" spans="1:33" s="8" customFormat="1">
      <c r="C9" s="44">
        <f>'Spinel-- no zeroes'!C9</f>
        <v>0</v>
      </c>
      <c r="D9" s="44"/>
      <c r="E9" s="51">
        <v>40.382300000000001</v>
      </c>
      <c r="F9" s="51">
        <v>0</v>
      </c>
      <c r="G9" s="51">
        <v>5.8463333333333345E-3</v>
      </c>
      <c r="H9" s="51">
        <v>3.0960000000000002E-3</v>
      </c>
      <c r="I9" s="51">
        <v>9.12866</v>
      </c>
      <c r="J9" s="51">
        <v>0.12850600000000001</v>
      </c>
      <c r="K9" s="51">
        <v>50.097166666666659</v>
      </c>
      <c r="L9" s="56">
        <v>3.9156999999999997E-2</v>
      </c>
      <c r="M9" s="56"/>
      <c r="N9" s="56">
        <v>0.39530833333333332</v>
      </c>
      <c r="O9" s="9">
        <f t="shared" si="0"/>
        <v>100.18004033333334</v>
      </c>
      <c r="Q9" s="24">
        <f t="shared" si="1"/>
        <v>0.67203028790148112</v>
      </c>
      <c r="R9" s="8">
        <f t="shared" si="2"/>
        <v>0</v>
      </c>
      <c r="S9" s="8">
        <f t="shared" si="3"/>
        <v>1.1467895906891595E-4</v>
      </c>
      <c r="T9" s="8">
        <f t="shared" si="4"/>
        <v>4.0739522336995858E-5</v>
      </c>
      <c r="U9" s="8">
        <f t="shared" si="5"/>
        <v>0.12705163535142661</v>
      </c>
      <c r="V9" s="8">
        <f t="shared" si="6"/>
        <v>1.8117298745241788E-3</v>
      </c>
      <c r="W9" s="8">
        <f t="shared" si="7"/>
        <v>1.2427974861490116</v>
      </c>
      <c r="X9" s="8">
        <f t="shared" si="8"/>
        <v>6.9823466476462198E-4</v>
      </c>
      <c r="Y9" s="8">
        <f t="shared" si="9"/>
        <v>0</v>
      </c>
      <c r="Z9" s="8">
        <f t="shared" si="10"/>
        <v>5.2926540813138748E-3</v>
      </c>
      <c r="AA9" s="8">
        <f t="shared" si="11"/>
        <v>2.0498374465039282</v>
      </c>
      <c r="AC9" s="9">
        <f t="shared" si="12"/>
        <v>0.90725136560129849</v>
      </c>
      <c r="AD9" s="9"/>
      <c r="AE9" s="9"/>
      <c r="AG9" s="8">
        <f t="shared" si="13"/>
        <v>9.7818299049155595</v>
      </c>
    </row>
    <row r="10" spans="1:33" s="8" customFormat="1">
      <c r="C10" s="44">
        <f>'Spinel-- no zeroes'!C10</f>
        <v>0</v>
      </c>
      <c r="D10" s="44"/>
      <c r="E10" s="51">
        <v>40.382300000000001</v>
      </c>
      <c r="F10" s="51">
        <v>0</v>
      </c>
      <c r="G10" s="51">
        <v>5.8463333333333345E-3</v>
      </c>
      <c r="H10" s="51">
        <v>3.0960000000000002E-3</v>
      </c>
      <c r="I10" s="51">
        <v>9.12866</v>
      </c>
      <c r="J10" s="51">
        <v>0.12850600000000001</v>
      </c>
      <c r="K10" s="51">
        <v>50.097166666666659</v>
      </c>
      <c r="L10" s="56">
        <v>3.9156999999999997E-2</v>
      </c>
      <c r="M10" s="56"/>
      <c r="N10" s="56">
        <v>0.39530833333333332</v>
      </c>
      <c r="O10" s="9">
        <f t="shared" si="0"/>
        <v>100.18004033333334</v>
      </c>
      <c r="Q10" s="24">
        <f t="shared" si="1"/>
        <v>0.67203028790148112</v>
      </c>
      <c r="R10" s="8">
        <f t="shared" si="2"/>
        <v>0</v>
      </c>
      <c r="S10" s="8">
        <f t="shared" si="3"/>
        <v>1.1467895906891595E-4</v>
      </c>
      <c r="T10" s="8">
        <f t="shared" si="4"/>
        <v>4.0739522336995858E-5</v>
      </c>
      <c r="U10" s="8">
        <f t="shared" si="5"/>
        <v>0.12705163535142661</v>
      </c>
      <c r="V10" s="8">
        <f t="shared" si="6"/>
        <v>1.8117298745241788E-3</v>
      </c>
      <c r="W10" s="8">
        <f t="shared" si="7"/>
        <v>1.2427974861490116</v>
      </c>
      <c r="X10" s="8">
        <f t="shared" si="8"/>
        <v>6.9823466476462198E-4</v>
      </c>
      <c r="Y10" s="8">
        <f t="shared" si="9"/>
        <v>0</v>
      </c>
      <c r="Z10" s="8">
        <f t="shared" si="10"/>
        <v>5.2926540813138748E-3</v>
      </c>
      <c r="AA10" s="8">
        <f t="shared" si="11"/>
        <v>2.0498374465039282</v>
      </c>
      <c r="AC10" s="9">
        <f t="shared" si="12"/>
        <v>0.90725136560129849</v>
      </c>
      <c r="AD10" s="9"/>
      <c r="AE10" s="9"/>
      <c r="AG10" s="8">
        <f t="shared" si="13"/>
        <v>9.7818299049155595</v>
      </c>
    </row>
    <row r="11" spans="1:33" s="8" customFormat="1">
      <c r="C11" s="44">
        <f>'Spinel-- no zeroes'!C11</f>
        <v>0</v>
      </c>
      <c r="D11" s="44"/>
      <c r="E11" s="51">
        <v>40.382300000000001</v>
      </c>
      <c r="F11" s="51">
        <v>0</v>
      </c>
      <c r="G11" s="51">
        <v>5.8463333333333345E-3</v>
      </c>
      <c r="H11" s="51">
        <v>3.0960000000000002E-3</v>
      </c>
      <c r="I11" s="51">
        <v>9.12866</v>
      </c>
      <c r="J11" s="51">
        <v>0.12850600000000001</v>
      </c>
      <c r="K11" s="51">
        <v>50.097166666666659</v>
      </c>
      <c r="L11" s="56">
        <v>3.9156999999999997E-2</v>
      </c>
      <c r="M11" s="56"/>
      <c r="N11" s="56">
        <v>0.39530833333333332</v>
      </c>
      <c r="O11" s="9">
        <f t="shared" si="0"/>
        <v>100.18004033333334</v>
      </c>
      <c r="Q11" s="24">
        <f t="shared" si="1"/>
        <v>0.67203028790148112</v>
      </c>
      <c r="R11" s="8">
        <f t="shared" si="2"/>
        <v>0</v>
      </c>
      <c r="S11" s="8">
        <f t="shared" si="3"/>
        <v>1.1467895906891595E-4</v>
      </c>
      <c r="T11" s="8">
        <f t="shared" si="4"/>
        <v>4.0739522336995858E-5</v>
      </c>
      <c r="U11" s="8">
        <f t="shared" si="5"/>
        <v>0.12705163535142661</v>
      </c>
      <c r="V11" s="8">
        <f t="shared" si="6"/>
        <v>1.8117298745241788E-3</v>
      </c>
      <c r="W11" s="8">
        <f t="shared" si="7"/>
        <v>1.2427974861490116</v>
      </c>
      <c r="X11" s="8">
        <f t="shared" si="8"/>
        <v>6.9823466476462198E-4</v>
      </c>
      <c r="Y11" s="8">
        <f t="shared" si="9"/>
        <v>0</v>
      </c>
      <c r="Z11" s="8">
        <f t="shared" si="10"/>
        <v>5.2926540813138748E-3</v>
      </c>
      <c r="AA11" s="8">
        <f t="shared" si="11"/>
        <v>2.0498374465039282</v>
      </c>
      <c r="AC11" s="9">
        <f t="shared" si="12"/>
        <v>0.90725136560129849</v>
      </c>
      <c r="AD11" s="9"/>
      <c r="AE11" s="9"/>
      <c r="AG11" s="8">
        <f t="shared" si="13"/>
        <v>9.7818299049155595</v>
      </c>
    </row>
    <row r="12" spans="1:33" s="8" customFormat="1">
      <c r="C12" s="44">
        <f>'Spinel-- no zeroes'!C12</f>
        <v>0</v>
      </c>
      <c r="D12" s="44"/>
      <c r="E12" s="51">
        <v>40.382300000000001</v>
      </c>
      <c r="F12" s="51">
        <v>0</v>
      </c>
      <c r="G12" s="51">
        <v>5.8463333333333345E-3</v>
      </c>
      <c r="H12" s="51">
        <v>3.0960000000000002E-3</v>
      </c>
      <c r="I12" s="51">
        <v>9.12866</v>
      </c>
      <c r="J12" s="51">
        <v>0.12850600000000001</v>
      </c>
      <c r="K12" s="51">
        <v>50.097166666666659</v>
      </c>
      <c r="L12" s="56">
        <v>3.9156999999999997E-2</v>
      </c>
      <c r="M12" s="56"/>
      <c r="N12" s="56">
        <v>0.39530833333333332</v>
      </c>
      <c r="O12" s="9">
        <f t="shared" ref="O12:O50" si="14">SUM(E12:N12)</f>
        <v>100.18004033333334</v>
      </c>
      <c r="Q12" s="24">
        <f t="shared" ref="Q12:Q50" si="15">E12/$Q$2</f>
        <v>0.67203028790148112</v>
      </c>
      <c r="R12" s="8">
        <f t="shared" ref="R12:R50" si="16">F12/$R$2</f>
        <v>0</v>
      </c>
      <c r="S12" s="8">
        <f t="shared" ref="S12:S50" si="17">2*G12/$S$2</f>
        <v>1.1467895906891595E-4</v>
      </c>
      <c r="T12" s="8">
        <f t="shared" ref="T12:T50" si="18">2*H12/$T$2</f>
        <v>4.0739522336995858E-5</v>
      </c>
      <c r="U12" s="8">
        <f t="shared" ref="U12:U50" si="19">I12/$U$2</f>
        <v>0.12705163535142661</v>
      </c>
      <c r="V12" s="8">
        <f t="shared" ref="V12:V50" si="20">J12/$V$2</f>
        <v>1.8117298745241788E-3</v>
      </c>
      <c r="W12" s="8">
        <f t="shared" ref="W12:W50" si="21">K12/$W$2</f>
        <v>1.2427974861490116</v>
      </c>
      <c r="X12" s="8">
        <f t="shared" ref="X12:X50" si="22">L12/$X$2</f>
        <v>6.9823466476462198E-4</v>
      </c>
      <c r="Y12" s="8">
        <f t="shared" ref="Y12:Y50" si="23">2*M12/$Y$2</f>
        <v>0</v>
      </c>
      <c r="Z12" s="8">
        <f t="shared" ref="Z12:Z50" si="24">N12/$Z$2</f>
        <v>5.2926540813138748E-3</v>
      </c>
      <c r="AA12" s="8">
        <f t="shared" ref="AA12:AA50" si="25">SUM(Q12:Z12)</f>
        <v>2.0498374465039282</v>
      </c>
      <c r="AC12" s="9">
        <f t="shared" ref="AC12:AC50" si="26">W12/(W12+U12)</f>
        <v>0.90725136560129849</v>
      </c>
      <c r="AD12" s="9"/>
      <c r="AE12" s="9"/>
      <c r="AG12" s="8">
        <f t="shared" ref="AG12:AG50" si="27">W12/U12</f>
        <v>9.7818299049155595</v>
      </c>
    </row>
    <row r="13" spans="1:33" s="8" customFormat="1">
      <c r="C13" s="44">
        <f>'Spinel-- no zeroes'!C13</f>
        <v>0</v>
      </c>
      <c r="D13" s="44"/>
      <c r="E13" s="51">
        <v>40.382300000000001</v>
      </c>
      <c r="F13" s="51">
        <v>0</v>
      </c>
      <c r="G13" s="51">
        <v>5.8463333333333345E-3</v>
      </c>
      <c r="H13" s="51">
        <v>3.0960000000000002E-3</v>
      </c>
      <c r="I13" s="51">
        <v>9.12866</v>
      </c>
      <c r="J13" s="51">
        <v>0.12850600000000001</v>
      </c>
      <c r="K13" s="51">
        <v>50.097166666666659</v>
      </c>
      <c r="L13" s="56">
        <v>3.9156999999999997E-2</v>
      </c>
      <c r="M13" s="56"/>
      <c r="N13" s="56">
        <v>0.39530833333333332</v>
      </c>
      <c r="O13" s="9">
        <f t="shared" si="14"/>
        <v>100.18004033333334</v>
      </c>
      <c r="Q13" s="24">
        <f t="shared" si="15"/>
        <v>0.67203028790148112</v>
      </c>
      <c r="R13" s="8">
        <f t="shared" si="16"/>
        <v>0</v>
      </c>
      <c r="S13" s="8">
        <f t="shared" si="17"/>
        <v>1.1467895906891595E-4</v>
      </c>
      <c r="T13" s="8">
        <f t="shared" si="18"/>
        <v>4.0739522336995858E-5</v>
      </c>
      <c r="U13" s="8">
        <f t="shared" si="19"/>
        <v>0.12705163535142661</v>
      </c>
      <c r="V13" s="8">
        <f t="shared" si="20"/>
        <v>1.8117298745241788E-3</v>
      </c>
      <c r="W13" s="8">
        <f t="shared" si="21"/>
        <v>1.2427974861490116</v>
      </c>
      <c r="X13" s="8">
        <f t="shared" si="22"/>
        <v>6.9823466476462198E-4</v>
      </c>
      <c r="Y13" s="8">
        <f t="shared" si="23"/>
        <v>0</v>
      </c>
      <c r="Z13" s="8">
        <f t="shared" si="24"/>
        <v>5.2926540813138748E-3</v>
      </c>
      <c r="AA13" s="8">
        <f t="shared" si="25"/>
        <v>2.0498374465039282</v>
      </c>
      <c r="AC13" s="9">
        <f t="shared" si="26"/>
        <v>0.90725136560129849</v>
      </c>
      <c r="AD13" s="9"/>
      <c r="AE13" s="9"/>
      <c r="AG13" s="8">
        <f t="shared" si="27"/>
        <v>9.7818299049155595</v>
      </c>
    </row>
    <row r="14" spans="1:33" s="8" customFormat="1">
      <c r="C14" s="44">
        <f>'Spinel-- no zeroes'!C14</f>
        <v>0</v>
      </c>
      <c r="D14" s="44"/>
      <c r="E14" s="51">
        <v>40.382300000000001</v>
      </c>
      <c r="F14" s="51">
        <v>0</v>
      </c>
      <c r="G14" s="51">
        <v>5.8463333333333345E-3</v>
      </c>
      <c r="H14" s="51">
        <v>3.0960000000000002E-3</v>
      </c>
      <c r="I14" s="51">
        <v>9.12866</v>
      </c>
      <c r="J14" s="51">
        <v>0.12850600000000001</v>
      </c>
      <c r="K14" s="51">
        <v>50.097166666666659</v>
      </c>
      <c r="L14" s="56">
        <v>3.9156999999999997E-2</v>
      </c>
      <c r="M14" s="56"/>
      <c r="N14" s="56">
        <v>0.39530833333333332</v>
      </c>
      <c r="O14" s="9">
        <f t="shared" si="14"/>
        <v>100.18004033333334</v>
      </c>
      <c r="Q14" s="24">
        <f t="shared" si="15"/>
        <v>0.67203028790148112</v>
      </c>
      <c r="R14" s="8">
        <f t="shared" si="16"/>
        <v>0</v>
      </c>
      <c r="S14" s="8">
        <f t="shared" si="17"/>
        <v>1.1467895906891595E-4</v>
      </c>
      <c r="T14" s="8">
        <f t="shared" si="18"/>
        <v>4.0739522336995858E-5</v>
      </c>
      <c r="U14" s="8">
        <f t="shared" si="19"/>
        <v>0.12705163535142661</v>
      </c>
      <c r="V14" s="8">
        <f t="shared" si="20"/>
        <v>1.8117298745241788E-3</v>
      </c>
      <c r="W14" s="8">
        <f t="shared" si="21"/>
        <v>1.2427974861490116</v>
      </c>
      <c r="X14" s="8">
        <f t="shared" si="22"/>
        <v>6.9823466476462198E-4</v>
      </c>
      <c r="Y14" s="8">
        <f t="shared" si="23"/>
        <v>0</v>
      </c>
      <c r="Z14" s="8">
        <f t="shared" si="24"/>
        <v>5.2926540813138748E-3</v>
      </c>
      <c r="AA14" s="8">
        <f t="shared" si="25"/>
        <v>2.0498374465039282</v>
      </c>
      <c r="AC14" s="9">
        <f t="shared" si="26"/>
        <v>0.90725136560129849</v>
      </c>
      <c r="AD14" s="9"/>
      <c r="AE14" s="9"/>
      <c r="AG14" s="8">
        <f t="shared" si="27"/>
        <v>9.7818299049155595</v>
      </c>
    </row>
    <row r="15" spans="1:33" s="8" customFormat="1">
      <c r="C15" s="44">
        <f>'Spinel-- no zeroes'!C15</f>
        <v>0</v>
      </c>
      <c r="D15" s="44"/>
      <c r="E15" s="51">
        <v>40.382300000000001</v>
      </c>
      <c r="F15" s="51">
        <v>0</v>
      </c>
      <c r="G15" s="51">
        <v>5.8463333333333345E-3</v>
      </c>
      <c r="H15" s="51">
        <v>3.0960000000000002E-3</v>
      </c>
      <c r="I15" s="51">
        <v>9.12866</v>
      </c>
      <c r="J15" s="51">
        <v>0.12850600000000001</v>
      </c>
      <c r="K15" s="51">
        <v>50.097166666666659</v>
      </c>
      <c r="L15" s="56">
        <v>3.9156999999999997E-2</v>
      </c>
      <c r="M15" s="56"/>
      <c r="N15" s="56">
        <v>0.39530833333333332</v>
      </c>
      <c r="O15" s="9">
        <f t="shared" si="14"/>
        <v>100.18004033333334</v>
      </c>
      <c r="Q15" s="24">
        <f t="shared" si="15"/>
        <v>0.67203028790148112</v>
      </c>
      <c r="R15" s="8">
        <f t="shared" si="16"/>
        <v>0</v>
      </c>
      <c r="S15" s="8">
        <f t="shared" si="17"/>
        <v>1.1467895906891595E-4</v>
      </c>
      <c r="T15" s="8">
        <f t="shared" si="18"/>
        <v>4.0739522336995858E-5</v>
      </c>
      <c r="U15" s="8">
        <f t="shared" si="19"/>
        <v>0.12705163535142661</v>
      </c>
      <c r="V15" s="8">
        <f t="shared" si="20"/>
        <v>1.8117298745241788E-3</v>
      </c>
      <c r="W15" s="8">
        <f t="shared" si="21"/>
        <v>1.2427974861490116</v>
      </c>
      <c r="X15" s="8">
        <f t="shared" si="22"/>
        <v>6.9823466476462198E-4</v>
      </c>
      <c r="Y15" s="8">
        <f t="shared" si="23"/>
        <v>0</v>
      </c>
      <c r="Z15" s="8">
        <f t="shared" si="24"/>
        <v>5.2926540813138748E-3</v>
      </c>
      <c r="AA15" s="8">
        <f t="shared" si="25"/>
        <v>2.0498374465039282</v>
      </c>
      <c r="AC15" s="9">
        <f t="shared" si="26"/>
        <v>0.90725136560129849</v>
      </c>
      <c r="AD15" s="9"/>
      <c r="AE15" s="9"/>
      <c r="AG15" s="8">
        <f t="shared" si="27"/>
        <v>9.7818299049155595</v>
      </c>
    </row>
    <row r="16" spans="1:33" s="8" customFormat="1">
      <c r="C16" s="44">
        <f>'Spinel-- no zeroes'!C16</f>
        <v>0</v>
      </c>
      <c r="D16" s="44"/>
      <c r="E16" s="51">
        <v>40.382300000000001</v>
      </c>
      <c r="F16" s="51">
        <v>0</v>
      </c>
      <c r="G16" s="51">
        <v>5.8463333333333345E-3</v>
      </c>
      <c r="H16" s="51">
        <v>3.0960000000000002E-3</v>
      </c>
      <c r="I16" s="51">
        <v>9.12866</v>
      </c>
      <c r="J16" s="51">
        <v>0.12850600000000001</v>
      </c>
      <c r="K16" s="51">
        <v>50.097166666666659</v>
      </c>
      <c r="L16" s="56">
        <v>3.9156999999999997E-2</v>
      </c>
      <c r="M16" s="56"/>
      <c r="N16" s="56">
        <v>0.39530833333333332</v>
      </c>
      <c r="O16" s="9">
        <f t="shared" si="14"/>
        <v>100.18004033333334</v>
      </c>
      <c r="Q16" s="24">
        <f t="shared" si="15"/>
        <v>0.67203028790148112</v>
      </c>
      <c r="R16" s="8">
        <f t="shared" si="16"/>
        <v>0</v>
      </c>
      <c r="S16" s="8">
        <f t="shared" si="17"/>
        <v>1.1467895906891595E-4</v>
      </c>
      <c r="T16" s="8">
        <f t="shared" si="18"/>
        <v>4.0739522336995858E-5</v>
      </c>
      <c r="U16" s="8">
        <f t="shared" si="19"/>
        <v>0.12705163535142661</v>
      </c>
      <c r="V16" s="8">
        <f t="shared" si="20"/>
        <v>1.8117298745241788E-3</v>
      </c>
      <c r="W16" s="8">
        <f t="shared" si="21"/>
        <v>1.2427974861490116</v>
      </c>
      <c r="X16" s="8">
        <f t="shared" si="22"/>
        <v>6.9823466476462198E-4</v>
      </c>
      <c r="Y16" s="8">
        <f t="shared" si="23"/>
        <v>0</v>
      </c>
      <c r="Z16" s="8">
        <f t="shared" si="24"/>
        <v>5.2926540813138748E-3</v>
      </c>
      <c r="AA16" s="8">
        <f t="shared" si="25"/>
        <v>2.0498374465039282</v>
      </c>
      <c r="AC16" s="9">
        <f t="shared" si="26"/>
        <v>0.90725136560129849</v>
      </c>
      <c r="AD16" s="9"/>
      <c r="AE16" s="9"/>
      <c r="AG16" s="8">
        <f t="shared" si="27"/>
        <v>9.7818299049155595</v>
      </c>
    </row>
    <row r="17" spans="3:33" s="8" customFormat="1">
      <c r="C17" s="44"/>
      <c r="D17" s="44"/>
      <c r="E17" s="51"/>
      <c r="F17" s="51"/>
      <c r="G17" s="51"/>
      <c r="H17" s="51"/>
      <c r="I17" s="51"/>
      <c r="J17" s="51"/>
      <c r="K17" s="51"/>
      <c r="L17" s="57"/>
      <c r="M17" s="57"/>
      <c r="O17" s="9"/>
      <c r="Q17" s="24"/>
      <c r="AC17" s="9"/>
      <c r="AD17" s="9"/>
      <c r="AE17" s="9"/>
    </row>
    <row r="18" spans="3:33" s="8" customFormat="1">
      <c r="C18" s="44">
        <f>'Spinel-- no zeroes'!C18</f>
        <v>0</v>
      </c>
      <c r="D18" s="44"/>
      <c r="E18" s="51">
        <v>40.382300000000001</v>
      </c>
      <c r="F18" s="51">
        <v>0</v>
      </c>
      <c r="G18" s="51">
        <v>5.8463333333333345E-3</v>
      </c>
      <c r="H18" s="51">
        <v>3.0960000000000002E-3</v>
      </c>
      <c r="I18" s="51">
        <v>9.12866</v>
      </c>
      <c r="J18" s="51">
        <v>0.12850600000000001</v>
      </c>
      <c r="K18" s="51">
        <v>50.097166666666659</v>
      </c>
      <c r="L18" s="56">
        <v>3.9156999999999997E-2</v>
      </c>
      <c r="M18" s="56"/>
      <c r="N18" s="56">
        <v>0.39530833333333332</v>
      </c>
      <c r="O18" s="9">
        <f t="shared" si="14"/>
        <v>100.18004033333334</v>
      </c>
      <c r="Q18" s="24">
        <f t="shared" si="15"/>
        <v>0.67203028790148112</v>
      </c>
      <c r="R18" s="8">
        <f t="shared" si="16"/>
        <v>0</v>
      </c>
      <c r="S18" s="8">
        <f t="shared" si="17"/>
        <v>1.1467895906891595E-4</v>
      </c>
      <c r="T18" s="8">
        <f t="shared" si="18"/>
        <v>4.0739522336995858E-5</v>
      </c>
      <c r="U18" s="8">
        <f t="shared" si="19"/>
        <v>0.12705163535142661</v>
      </c>
      <c r="V18" s="8">
        <f t="shared" si="20"/>
        <v>1.8117298745241788E-3</v>
      </c>
      <c r="W18" s="8">
        <f t="shared" si="21"/>
        <v>1.2427974861490116</v>
      </c>
      <c r="X18" s="8">
        <f t="shared" si="22"/>
        <v>6.9823466476462198E-4</v>
      </c>
      <c r="Y18" s="8">
        <f t="shared" si="23"/>
        <v>0</v>
      </c>
      <c r="Z18" s="8">
        <f t="shared" si="24"/>
        <v>5.2926540813138748E-3</v>
      </c>
      <c r="AA18" s="8">
        <f t="shared" si="25"/>
        <v>2.0498374465039282</v>
      </c>
      <c r="AC18" s="9">
        <f t="shared" si="26"/>
        <v>0.90725136560129849</v>
      </c>
      <c r="AD18" s="9"/>
      <c r="AE18" s="9"/>
      <c r="AG18" s="8">
        <f t="shared" si="27"/>
        <v>9.7818299049155595</v>
      </c>
    </row>
    <row r="19" spans="3:33" s="8" customFormat="1">
      <c r="C19" s="44">
        <f>'Spinel-- no zeroes'!C19</f>
        <v>0</v>
      </c>
      <c r="D19" s="44"/>
      <c r="E19" s="51">
        <v>40.382300000000001</v>
      </c>
      <c r="F19" s="51">
        <v>0</v>
      </c>
      <c r="G19" s="51">
        <v>5.8463333333333345E-3</v>
      </c>
      <c r="H19" s="51">
        <v>3.0960000000000002E-3</v>
      </c>
      <c r="I19" s="51">
        <v>9.12866</v>
      </c>
      <c r="J19" s="51">
        <v>0.12850600000000001</v>
      </c>
      <c r="K19" s="51">
        <v>50.097166666666659</v>
      </c>
      <c r="L19" s="56">
        <v>3.9156999999999997E-2</v>
      </c>
      <c r="M19" s="56"/>
      <c r="N19" s="56">
        <v>0.39530833333333332</v>
      </c>
      <c r="O19" s="9">
        <f t="shared" si="14"/>
        <v>100.18004033333334</v>
      </c>
      <c r="Q19" s="24">
        <f t="shared" si="15"/>
        <v>0.67203028790148112</v>
      </c>
      <c r="R19" s="8">
        <f t="shared" si="16"/>
        <v>0</v>
      </c>
      <c r="S19" s="8">
        <f t="shared" si="17"/>
        <v>1.1467895906891595E-4</v>
      </c>
      <c r="T19" s="8">
        <f t="shared" si="18"/>
        <v>4.0739522336995858E-5</v>
      </c>
      <c r="U19" s="8">
        <f t="shared" si="19"/>
        <v>0.12705163535142661</v>
      </c>
      <c r="V19" s="8">
        <f t="shared" si="20"/>
        <v>1.8117298745241788E-3</v>
      </c>
      <c r="W19" s="8">
        <f t="shared" si="21"/>
        <v>1.2427974861490116</v>
      </c>
      <c r="X19" s="8">
        <f t="shared" si="22"/>
        <v>6.9823466476462198E-4</v>
      </c>
      <c r="Y19" s="8">
        <f t="shared" si="23"/>
        <v>0</v>
      </c>
      <c r="Z19" s="8">
        <f t="shared" si="24"/>
        <v>5.2926540813138748E-3</v>
      </c>
      <c r="AA19" s="8">
        <f t="shared" si="25"/>
        <v>2.0498374465039282</v>
      </c>
      <c r="AC19" s="9">
        <f t="shared" si="26"/>
        <v>0.90725136560129849</v>
      </c>
      <c r="AD19" s="9"/>
      <c r="AE19" s="9"/>
      <c r="AG19" s="8">
        <f t="shared" si="27"/>
        <v>9.7818299049155595</v>
      </c>
    </row>
    <row r="20" spans="3:33" s="8" customFormat="1">
      <c r="C20" s="44">
        <f>'Spinel-- no zeroes'!C20</f>
        <v>0</v>
      </c>
      <c r="D20" s="44"/>
      <c r="E20" s="51">
        <v>40.382300000000001</v>
      </c>
      <c r="F20" s="51">
        <v>0</v>
      </c>
      <c r="G20" s="51">
        <v>5.8463333333333345E-3</v>
      </c>
      <c r="H20" s="51">
        <v>3.0960000000000002E-3</v>
      </c>
      <c r="I20" s="51">
        <v>9.12866</v>
      </c>
      <c r="J20" s="51">
        <v>0.12850600000000001</v>
      </c>
      <c r="K20" s="51">
        <v>50.097166666666659</v>
      </c>
      <c r="L20" s="56">
        <v>3.9156999999999997E-2</v>
      </c>
      <c r="M20" s="56"/>
      <c r="N20" s="56">
        <v>0.39530833333333332</v>
      </c>
      <c r="O20" s="9">
        <f t="shared" si="14"/>
        <v>100.18004033333334</v>
      </c>
      <c r="Q20" s="24">
        <f t="shared" si="15"/>
        <v>0.67203028790148112</v>
      </c>
      <c r="R20" s="8">
        <f t="shared" si="16"/>
        <v>0</v>
      </c>
      <c r="S20" s="8">
        <f t="shared" si="17"/>
        <v>1.1467895906891595E-4</v>
      </c>
      <c r="T20" s="8">
        <f t="shared" si="18"/>
        <v>4.0739522336995858E-5</v>
      </c>
      <c r="U20" s="8">
        <f t="shared" si="19"/>
        <v>0.12705163535142661</v>
      </c>
      <c r="V20" s="8">
        <f t="shared" si="20"/>
        <v>1.8117298745241788E-3</v>
      </c>
      <c r="W20" s="8">
        <f t="shared" si="21"/>
        <v>1.2427974861490116</v>
      </c>
      <c r="X20" s="8">
        <f t="shared" si="22"/>
        <v>6.9823466476462198E-4</v>
      </c>
      <c r="Y20" s="8">
        <f t="shared" si="23"/>
        <v>0</v>
      </c>
      <c r="Z20" s="8">
        <f t="shared" si="24"/>
        <v>5.2926540813138748E-3</v>
      </c>
      <c r="AA20" s="8">
        <f t="shared" si="25"/>
        <v>2.0498374465039282</v>
      </c>
      <c r="AC20" s="9">
        <f t="shared" si="26"/>
        <v>0.90725136560129849</v>
      </c>
      <c r="AD20" s="9"/>
      <c r="AE20" s="9"/>
      <c r="AG20" s="8">
        <f t="shared" si="27"/>
        <v>9.7818299049155595</v>
      </c>
    </row>
    <row r="21" spans="3:33" s="8" customFormat="1">
      <c r="C21" s="44">
        <f>'Spinel-- no zeroes'!C21</f>
        <v>0</v>
      </c>
      <c r="D21" s="44"/>
      <c r="E21" s="51">
        <v>40.382300000000001</v>
      </c>
      <c r="F21" s="51">
        <v>0</v>
      </c>
      <c r="G21" s="51">
        <v>5.8463333333333345E-3</v>
      </c>
      <c r="H21" s="51">
        <v>3.0960000000000002E-3</v>
      </c>
      <c r="I21" s="51">
        <v>9.12866</v>
      </c>
      <c r="J21" s="51">
        <v>0.12850600000000001</v>
      </c>
      <c r="K21" s="51">
        <v>50.097166666666659</v>
      </c>
      <c r="L21" s="56">
        <v>3.9156999999999997E-2</v>
      </c>
      <c r="M21" s="56"/>
      <c r="N21" s="56">
        <v>0.39530833333333332</v>
      </c>
      <c r="O21" s="9">
        <f t="shared" si="14"/>
        <v>100.18004033333334</v>
      </c>
      <c r="Q21" s="24">
        <f t="shared" si="15"/>
        <v>0.67203028790148112</v>
      </c>
      <c r="R21" s="8">
        <f t="shared" si="16"/>
        <v>0</v>
      </c>
      <c r="S21" s="8">
        <f t="shared" si="17"/>
        <v>1.1467895906891595E-4</v>
      </c>
      <c r="T21" s="8">
        <f t="shared" si="18"/>
        <v>4.0739522336995858E-5</v>
      </c>
      <c r="U21" s="8">
        <f t="shared" si="19"/>
        <v>0.12705163535142661</v>
      </c>
      <c r="V21" s="8">
        <f t="shared" si="20"/>
        <v>1.8117298745241788E-3</v>
      </c>
      <c r="W21" s="8">
        <f t="shared" si="21"/>
        <v>1.2427974861490116</v>
      </c>
      <c r="X21" s="8">
        <f t="shared" si="22"/>
        <v>6.9823466476462198E-4</v>
      </c>
      <c r="Y21" s="8">
        <f t="shared" si="23"/>
        <v>0</v>
      </c>
      <c r="Z21" s="8">
        <f t="shared" si="24"/>
        <v>5.2926540813138748E-3</v>
      </c>
      <c r="AA21" s="8">
        <f t="shared" si="25"/>
        <v>2.0498374465039282</v>
      </c>
      <c r="AC21" s="9">
        <f t="shared" si="26"/>
        <v>0.90725136560129849</v>
      </c>
      <c r="AD21" s="9"/>
      <c r="AE21" s="9"/>
      <c r="AG21" s="8">
        <f t="shared" si="27"/>
        <v>9.7818299049155595</v>
      </c>
    </row>
    <row r="22" spans="3:33" s="8" customFormat="1">
      <c r="C22" s="44">
        <f>'Spinel-- no zeroes'!C22</f>
        <v>0</v>
      </c>
      <c r="D22" s="44"/>
      <c r="E22" s="51">
        <v>40.382300000000001</v>
      </c>
      <c r="F22" s="51">
        <v>0</v>
      </c>
      <c r="G22" s="51">
        <v>5.8463333333333345E-3</v>
      </c>
      <c r="H22" s="51">
        <v>3.0960000000000002E-3</v>
      </c>
      <c r="I22" s="51">
        <v>9.12866</v>
      </c>
      <c r="J22" s="51">
        <v>0.12850600000000001</v>
      </c>
      <c r="K22" s="51">
        <v>50.097166666666659</v>
      </c>
      <c r="L22" s="56">
        <v>3.9156999999999997E-2</v>
      </c>
      <c r="M22" s="56"/>
      <c r="N22" s="56">
        <v>0.39530833333333332</v>
      </c>
      <c r="O22" s="9">
        <f t="shared" si="14"/>
        <v>100.18004033333334</v>
      </c>
      <c r="Q22" s="24">
        <f t="shared" si="15"/>
        <v>0.67203028790148112</v>
      </c>
      <c r="R22" s="8">
        <f t="shared" si="16"/>
        <v>0</v>
      </c>
      <c r="S22" s="8">
        <f t="shared" si="17"/>
        <v>1.1467895906891595E-4</v>
      </c>
      <c r="T22" s="8">
        <f t="shared" si="18"/>
        <v>4.0739522336995858E-5</v>
      </c>
      <c r="U22" s="8">
        <f t="shared" si="19"/>
        <v>0.12705163535142661</v>
      </c>
      <c r="V22" s="8">
        <f t="shared" si="20"/>
        <v>1.8117298745241788E-3</v>
      </c>
      <c r="W22" s="8">
        <f t="shared" si="21"/>
        <v>1.2427974861490116</v>
      </c>
      <c r="X22" s="8">
        <f t="shared" si="22"/>
        <v>6.9823466476462198E-4</v>
      </c>
      <c r="Y22" s="8">
        <f t="shared" si="23"/>
        <v>0</v>
      </c>
      <c r="Z22" s="8">
        <f t="shared" si="24"/>
        <v>5.2926540813138748E-3</v>
      </c>
      <c r="AA22" s="8">
        <f t="shared" si="25"/>
        <v>2.0498374465039282</v>
      </c>
      <c r="AC22" s="9">
        <f t="shared" si="26"/>
        <v>0.90725136560129849</v>
      </c>
      <c r="AD22" s="9"/>
      <c r="AE22" s="9"/>
      <c r="AG22" s="8">
        <f t="shared" si="27"/>
        <v>9.7818299049155595</v>
      </c>
    </row>
    <row r="23" spans="3:33" s="8" customFormat="1">
      <c r="C23" s="44">
        <f>'Spinel-- no zeroes'!C23</f>
        <v>0</v>
      </c>
      <c r="D23" s="44"/>
      <c r="E23" s="51">
        <v>40.382300000000001</v>
      </c>
      <c r="F23" s="51">
        <v>0</v>
      </c>
      <c r="G23" s="51">
        <v>5.8463333333333345E-3</v>
      </c>
      <c r="H23" s="51">
        <v>3.0960000000000002E-3</v>
      </c>
      <c r="I23" s="51">
        <v>9.12866</v>
      </c>
      <c r="J23" s="51">
        <v>0.12850600000000001</v>
      </c>
      <c r="K23" s="51">
        <v>50.097166666666659</v>
      </c>
      <c r="L23" s="56">
        <v>3.9156999999999997E-2</v>
      </c>
      <c r="M23" s="56"/>
      <c r="N23" s="56">
        <v>0.39530833333333332</v>
      </c>
      <c r="O23" s="9">
        <f t="shared" si="14"/>
        <v>100.18004033333334</v>
      </c>
      <c r="Q23" s="24">
        <f t="shared" si="15"/>
        <v>0.67203028790148112</v>
      </c>
      <c r="R23" s="8">
        <f t="shared" si="16"/>
        <v>0</v>
      </c>
      <c r="S23" s="8">
        <f t="shared" si="17"/>
        <v>1.1467895906891595E-4</v>
      </c>
      <c r="T23" s="8">
        <f t="shared" si="18"/>
        <v>4.0739522336995858E-5</v>
      </c>
      <c r="U23" s="8">
        <f t="shared" si="19"/>
        <v>0.12705163535142661</v>
      </c>
      <c r="V23" s="8">
        <f t="shared" si="20"/>
        <v>1.8117298745241788E-3</v>
      </c>
      <c r="W23" s="8">
        <f t="shared" si="21"/>
        <v>1.2427974861490116</v>
      </c>
      <c r="X23" s="8">
        <f t="shared" si="22"/>
        <v>6.9823466476462198E-4</v>
      </c>
      <c r="Y23" s="8">
        <f t="shared" si="23"/>
        <v>0</v>
      </c>
      <c r="Z23" s="8">
        <f t="shared" si="24"/>
        <v>5.2926540813138748E-3</v>
      </c>
      <c r="AA23" s="8">
        <f t="shared" si="25"/>
        <v>2.0498374465039282</v>
      </c>
      <c r="AC23" s="9">
        <f t="shared" si="26"/>
        <v>0.90725136560129849</v>
      </c>
      <c r="AD23" s="9"/>
      <c r="AE23" s="9"/>
      <c r="AG23" s="8">
        <f t="shared" si="27"/>
        <v>9.7818299049155595</v>
      </c>
    </row>
    <row r="24" spans="3:33" s="8" customFormat="1">
      <c r="C24" s="44">
        <f>'Spinel-- no zeroes'!C24</f>
        <v>0</v>
      </c>
      <c r="D24" s="44"/>
      <c r="E24" s="51">
        <v>40.382300000000001</v>
      </c>
      <c r="F24" s="51">
        <v>0</v>
      </c>
      <c r="G24" s="51">
        <v>5.8463333333333345E-3</v>
      </c>
      <c r="H24" s="51">
        <v>3.0960000000000002E-3</v>
      </c>
      <c r="I24" s="51">
        <v>9.12866</v>
      </c>
      <c r="J24" s="51">
        <v>0.12850600000000001</v>
      </c>
      <c r="K24" s="51">
        <v>50.097166666666659</v>
      </c>
      <c r="L24" s="56">
        <v>3.9156999999999997E-2</v>
      </c>
      <c r="M24" s="56"/>
      <c r="N24" s="56">
        <v>0.39530833333333332</v>
      </c>
      <c r="O24" s="9">
        <f t="shared" si="14"/>
        <v>100.18004033333334</v>
      </c>
      <c r="Q24" s="24">
        <f t="shared" si="15"/>
        <v>0.67203028790148112</v>
      </c>
      <c r="R24" s="8">
        <f t="shared" si="16"/>
        <v>0</v>
      </c>
      <c r="S24" s="8">
        <f t="shared" si="17"/>
        <v>1.1467895906891595E-4</v>
      </c>
      <c r="T24" s="8">
        <f t="shared" si="18"/>
        <v>4.0739522336995858E-5</v>
      </c>
      <c r="U24" s="8">
        <f t="shared" si="19"/>
        <v>0.12705163535142661</v>
      </c>
      <c r="V24" s="8">
        <f t="shared" si="20"/>
        <v>1.8117298745241788E-3</v>
      </c>
      <c r="W24" s="8">
        <f t="shared" si="21"/>
        <v>1.2427974861490116</v>
      </c>
      <c r="X24" s="8">
        <f t="shared" si="22"/>
        <v>6.9823466476462198E-4</v>
      </c>
      <c r="Y24" s="8">
        <f t="shared" si="23"/>
        <v>0</v>
      </c>
      <c r="Z24" s="8">
        <f t="shared" si="24"/>
        <v>5.2926540813138748E-3</v>
      </c>
      <c r="AA24" s="8">
        <f t="shared" si="25"/>
        <v>2.0498374465039282</v>
      </c>
      <c r="AC24" s="9">
        <f t="shared" si="26"/>
        <v>0.90725136560129849</v>
      </c>
      <c r="AD24" s="9"/>
      <c r="AE24" s="9"/>
      <c r="AG24" s="8">
        <f t="shared" si="27"/>
        <v>9.7818299049155595</v>
      </c>
    </row>
    <row r="25" spans="3:33" s="8" customFormat="1">
      <c r="C25" s="44">
        <f>'Spinel-- no zeroes'!C25</f>
        <v>0</v>
      </c>
      <c r="D25" s="44"/>
      <c r="E25" s="51">
        <v>40.382300000000001</v>
      </c>
      <c r="F25" s="51">
        <v>0</v>
      </c>
      <c r="G25" s="51">
        <v>5.8463333333333345E-3</v>
      </c>
      <c r="H25" s="51">
        <v>3.0960000000000002E-3</v>
      </c>
      <c r="I25" s="51">
        <v>9.12866</v>
      </c>
      <c r="J25" s="51">
        <v>0.12850600000000001</v>
      </c>
      <c r="K25" s="51">
        <v>50.097166666666659</v>
      </c>
      <c r="L25" s="56">
        <v>3.9156999999999997E-2</v>
      </c>
      <c r="M25" s="56"/>
      <c r="N25" s="56">
        <v>0.39530833333333332</v>
      </c>
      <c r="O25" s="9">
        <f t="shared" si="14"/>
        <v>100.18004033333334</v>
      </c>
      <c r="Q25" s="24">
        <f t="shared" si="15"/>
        <v>0.67203028790148112</v>
      </c>
      <c r="R25" s="8">
        <f t="shared" si="16"/>
        <v>0</v>
      </c>
      <c r="S25" s="8">
        <f t="shared" si="17"/>
        <v>1.1467895906891595E-4</v>
      </c>
      <c r="T25" s="8">
        <f t="shared" si="18"/>
        <v>4.0739522336995858E-5</v>
      </c>
      <c r="U25" s="8">
        <f t="shared" si="19"/>
        <v>0.12705163535142661</v>
      </c>
      <c r="V25" s="8">
        <f t="shared" si="20"/>
        <v>1.8117298745241788E-3</v>
      </c>
      <c r="W25" s="8">
        <f t="shared" si="21"/>
        <v>1.2427974861490116</v>
      </c>
      <c r="X25" s="8">
        <f t="shared" si="22"/>
        <v>6.9823466476462198E-4</v>
      </c>
      <c r="Y25" s="8">
        <f t="shared" si="23"/>
        <v>0</v>
      </c>
      <c r="Z25" s="8">
        <f t="shared" si="24"/>
        <v>5.2926540813138748E-3</v>
      </c>
      <c r="AA25" s="8">
        <f t="shared" si="25"/>
        <v>2.0498374465039282</v>
      </c>
      <c r="AC25" s="9">
        <f t="shared" si="26"/>
        <v>0.90725136560129849</v>
      </c>
      <c r="AD25" s="9"/>
      <c r="AE25" s="9"/>
      <c r="AG25" s="8">
        <f t="shared" si="27"/>
        <v>9.7818299049155595</v>
      </c>
    </row>
    <row r="26" spans="3:33" s="8" customFormat="1">
      <c r="C26" s="44">
        <f>'Spinel-- no zeroes'!C26</f>
        <v>0</v>
      </c>
      <c r="D26" s="44"/>
      <c r="E26" s="51">
        <v>40.382300000000001</v>
      </c>
      <c r="F26" s="51">
        <v>0</v>
      </c>
      <c r="G26" s="51">
        <v>5.8463333333333345E-3</v>
      </c>
      <c r="H26" s="51">
        <v>3.0960000000000002E-3</v>
      </c>
      <c r="I26" s="51">
        <v>9.12866</v>
      </c>
      <c r="J26" s="51">
        <v>0.12850600000000001</v>
      </c>
      <c r="K26" s="51">
        <v>50.097166666666659</v>
      </c>
      <c r="L26" s="56">
        <v>3.9156999999999997E-2</v>
      </c>
      <c r="M26" s="56"/>
      <c r="N26" s="56">
        <v>0.39530833333333332</v>
      </c>
      <c r="O26" s="9">
        <f t="shared" si="14"/>
        <v>100.18004033333334</v>
      </c>
      <c r="Q26" s="24">
        <f t="shared" si="15"/>
        <v>0.67203028790148112</v>
      </c>
      <c r="R26" s="8">
        <f t="shared" si="16"/>
        <v>0</v>
      </c>
      <c r="S26" s="8">
        <f t="shared" si="17"/>
        <v>1.1467895906891595E-4</v>
      </c>
      <c r="T26" s="8">
        <f t="shared" si="18"/>
        <v>4.0739522336995858E-5</v>
      </c>
      <c r="U26" s="8">
        <f t="shared" si="19"/>
        <v>0.12705163535142661</v>
      </c>
      <c r="V26" s="8">
        <f t="shared" si="20"/>
        <v>1.8117298745241788E-3</v>
      </c>
      <c r="W26" s="8">
        <f t="shared" si="21"/>
        <v>1.2427974861490116</v>
      </c>
      <c r="X26" s="8">
        <f t="shared" si="22"/>
        <v>6.9823466476462198E-4</v>
      </c>
      <c r="Y26" s="8">
        <f t="shared" si="23"/>
        <v>0</v>
      </c>
      <c r="Z26" s="8">
        <f t="shared" si="24"/>
        <v>5.2926540813138748E-3</v>
      </c>
      <c r="AA26" s="8">
        <f t="shared" si="25"/>
        <v>2.0498374465039282</v>
      </c>
      <c r="AC26" s="9">
        <f t="shared" si="26"/>
        <v>0.90725136560129849</v>
      </c>
      <c r="AD26" s="9"/>
      <c r="AE26" s="9"/>
      <c r="AG26" s="8">
        <f t="shared" si="27"/>
        <v>9.7818299049155595</v>
      </c>
    </row>
    <row r="27" spans="3:33" s="8" customFormat="1">
      <c r="C27" s="44">
        <f>'Spinel-- no zeroes'!C27</f>
        <v>0</v>
      </c>
      <c r="D27" s="44"/>
      <c r="E27" s="51">
        <v>40.382300000000001</v>
      </c>
      <c r="F27" s="51">
        <v>0</v>
      </c>
      <c r="G27" s="51">
        <v>5.8463333333333345E-3</v>
      </c>
      <c r="H27" s="51">
        <v>3.0960000000000002E-3</v>
      </c>
      <c r="I27" s="51">
        <v>9.12866</v>
      </c>
      <c r="J27" s="51">
        <v>0.12850600000000001</v>
      </c>
      <c r="K27" s="51">
        <v>50.097166666666659</v>
      </c>
      <c r="L27" s="56">
        <v>3.9156999999999997E-2</v>
      </c>
      <c r="M27" s="56"/>
      <c r="N27" s="56">
        <v>0.39530833333333332</v>
      </c>
      <c r="O27" s="9">
        <f t="shared" si="14"/>
        <v>100.18004033333334</v>
      </c>
      <c r="Q27" s="24">
        <f t="shared" si="15"/>
        <v>0.67203028790148112</v>
      </c>
      <c r="R27" s="8">
        <f t="shared" si="16"/>
        <v>0</v>
      </c>
      <c r="S27" s="8">
        <f t="shared" si="17"/>
        <v>1.1467895906891595E-4</v>
      </c>
      <c r="T27" s="8">
        <f t="shared" si="18"/>
        <v>4.0739522336995858E-5</v>
      </c>
      <c r="U27" s="8">
        <f t="shared" si="19"/>
        <v>0.12705163535142661</v>
      </c>
      <c r="V27" s="8">
        <f t="shared" si="20"/>
        <v>1.8117298745241788E-3</v>
      </c>
      <c r="W27" s="8">
        <f t="shared" si="21"/>
        <v>1.2427974861490116</v>
      </c>
      <c r="X27" s="8">
        <f t="shared" si="22"/>
        <v>6.9823466476462198E-4</v>
      </c>
      <c r="Y27" s="8">
        <f t="shared" si="23"/>
        <v>0</v>
      </c>
      <c r="Z27" s="8">
        <f t="shared" si="24"/>
        <v>5.2926540813138748E-3</v>
      </c>
      <c r="AA27" s="8">
        <f t="shared" si="25"/>
        <v>2.0498374465039282</v>
      </c>
      <c r="AC27" s="9">
        <f t="shared" si="26"/>
        <v>0.90725136560129849</v>
      </c>
      <c r="AD27" s="9"/>
      <c r="AE27" s="9"/>
      <c r="AG27" s="8">
        <f t="shared" si="27"/>
        <v>9.7818299049155595</v>
      </c>
    </row>
    <row r="28" spans="3:33" s="8" customFormat="1">
      <c r="C28" s="44">
        <f>'Spinel-- no zeroes'!C28</f>
        <v>0</v>
      </c>
      <c r="D28" s="44"/>
      <c r="E28" s="51">
        <v>40.382300000000001</v>
      </c>
      <c r="F28" s="51">
        <v>0</v>
      </c>
      <c r="G28" s="51">
        <v>5.8463333333333345E-3</v>
      </c>
      <c r="H28" s="51">
        <v>3.0960000000000002E-3</v>
      </c>
      <c r="I28" s="51">
        <v>9.12866</v>
      </c>
      <c r="J28" s="51">
        <v>0.12850600000000001</v>
      </c>
      <c r="K28" s="51">
        <v>50.097166666666659</v>
      </c>
      <c r="L28" s="56">
        <v>3.9156999999999997E-2</v>
      </c>
      <c r="M28" s="56"/>
      <c r="N28" s="56">
        <v>0.39530833333333332</v>
      </c>
      <c r="O28" s="9">
        <f t="shared" si="14"/>
        <v>100.18004033333334</v>
      </c>
      <c r="Q28" s="24">
        <f t="shared" si="15"/>
        <v>0.67203028790148112</v>
      </c>
      <c r="R28" s="8">
        <f t="shared" si="16"/>
        <v>0</v>
      </c>
      <c r="S28" s="8">
        <f t="shared" si="17"/>
        <v>1.1467895906891595E-4</v>
      </c>
      <c r="T28" s="8">
        <f t="shared" si="18"/>
        <v>4.0739522336995858E-5</v>
      </c>
      <c r="U28" s="8">
        <f t="shared" si="19"/>
        <v>0.12705163535142661</v>
      </c>
      <c r="V28" s="8">
        <f t="shared" si="20"/>
        <v>1.8117298745241788E-3</v>
      </c>
      <c r="W28" s="8">
        <f t="shared" si="21"/>
        <v>1.2427974861490116</v>
      </c>
      <c r="X28" s="8">
        <f t="shared" si="22"/>
        <v>6.9823466476462198E-4</v>
      </c>
      <c r="Y28" s="8">
        <f t="shared" si="23"/>
        <v>0</v>
      </c>
      <c r="Z28" s="8">
        <f t="shared" si="24"/>
        <v>5.2926540813138748E-3</v>
      </c>
      <c r="AA28" s="8">
        <f t="shared" si="25"/>
        <v>2.0498374465039282</v>
      </c>
      <c r="AC28" s="9">
        <f t="shared" si="26"/>
        <v>0.90725136560129849</v>
      </c>
      <c r="AD28" s="9"/>
      <c r="AE28" s="9"/>
      <c r="AG28" s="8">
        <f t="shared" si="27"/>
        <v>9.7818299049155595</v>
      </c>
    </row>
    <row r="29" spans="3:33" s="8" customFormat="1">
      <c r="C29" s="44">
        <f>'Spinel-- no zeroes'!C29</f>
        <v>0</v>
      </c>
      <c r="D29" s="44"/>
      <c r="E29" s="51">
        <v>40.382300000000001</v>
      </c>
      <c r="F29" s="51">
        <v>0</v>
      </c>
      <c r="G29" s="51">
        <v>5.8463333333333345E-3</v>
      </c>
      <c r="H29" s="51">
        <v>3.0960000000000002E-3</v>
      </c>
      <c r="I29" s="51">
        <v>9.12866</v>
      </c>
      <c r="J29" s="51">
        <v>0.12850600000000001</v>
      </c>
      <c r="K29" s="51">
        <v>50.097166666666659</v>
      </c>
      <c r="L29" s="56">
        <v>3.9156999999999997E-2</v>
      </c>
      <c r="M29" s="56"/>
      <c r="N29" s="56">
        <v>0.39530833333333332</v>
      </c>
      <c r="O29" s="9">
        <f t="shared" si="14"/>
        <v>100.18004033333334</v>
      </c>
      <c r="Q29" s="24">
        <f t="shared" si="15"/>
        <v>0.67203028790148112</v>
      </c>
      <c r="R29" s="8">
        <f t="shared" si="16"/>
        <v>0</v>
      </c>
      <c r="S29" s="8">
        <f t="shared" si="17"/>
        <v>1.1467895906891595E-4</v>
      </c>
      <c r="T29" s="8">
        <f t="shared" si="18"/>
        <v>4.0739522336995858E-5</v>
      </c>
      <c r="U29" s="8">
        <f t="shared" si="19"/>
        <v>0.12705163535142661</v>
      </c>
      <c r="V29" s="8">
        <f t="shared" si="20"/>
        <v>1.8117298745241788E-3</v>
      </c>
      <c r="W29" s="8">
        <f t="shared" si="21"/>
        <v>1.2427974861490116</v>
      </c>
      <c r="X29" s="8">
        <f t="shared" si="22"/>
        <v>6.9823466476462198E-4</v>
      </c>
      <c r="Y29" s="8">
        <f t="shared" si="23"/>
        <v>0</v>
      </c>
      <c r="Z29" s="8">
        <f t="shared" si="24"/>
        <v>5.2926540813138748E-3</v>
      </c>
      <c r="AA29" s="8">
        <f t="shared" si="25"/>
        <v>2.0498374465039282</v>
      </c>
      <c r="AC29" s="9">
        <f t="shared" si="26"/>
        <v>0.90725136560129849</v>
      </c>
      <c r="AD29" s="9"/>
      <c r="AE29" s="9"/>
      <c r="AG29" s="8">
        <f t="shared" si="27"/>
        <v>9.7818299049155595</v>
      </c>
    </row>
    <row r="30" spans="3:33" s="8" customFormat="1">
      <c r="C30" s="44">
        <f>'Spinel-- no zeroes'!C30</f>
        <v>0</v>
      </c>
      <c r="D30" s="44"/>
      <c r="E30" s="51">
        <v>40.382300000000001</v>
      </c>
      <c r="F30" s="51">
        <v>0</v>
      </c>
      <c r="G30" s="51">
        <v>5.8463333333333345E-3</v>
      </c>
      <c r="H30" s="51">
        <v>3.0960000000000002E-3</v>
      </c>
      <c r="I30" s="51">
        <v>9.12866</v>
      </c>
      <c r="J30" s="51">
        <v>0.12850600000000001</v>
      </c>
      <c r="K30" s="51">
        <v>50.097166666666659</v>
      </c>
      <c r="L30" s="56">
        <v>3.9156999999999997E-2</v>
      </c>
      <c r="M30" s="56"/>
      <c r="N30" s="56">
        <v>0.39530833333333332</v>
      </c>
      <c r="O30" s="9">
        <f t="shared" si="14"/>
        <v>100.18004033333334</v>
      </c>
      <c r="Q30" s="24">
        <f t="shared" si="15"/>
        <v>0.67203028790148112</v>
      </c>
      <c r="R30" s="8">
        <f t="shared" si="16"/>
        <v>0</v>
      </c>
      <c r="S30" s="8">
        <f t="shared" si="17"/>
        <v>1.1467895906891595E-4</v>
      </c>
      <c r="T30" s="8">
        <f t="shared" si="18"/>
        <v>4.0739522336995858E-5</v>
      </c>
      <c r="U30" s="8">
        <f t="shared" si="19"/>
        <v>0.12705163535142661</v>
      </c>
      <c r="V30" s="8">
        <f t="shared" si="20"/>
        <v>1.8117298745241788E-3</v>
      </c>
      <c r="W30" s="8">
        <f t="shared" si="21"/>
        <v>1.2427974861490116</v>
      </c>
      <c r="X30" s="8">
        <f t="shared" si="22"/>
        <v>6.9823466476462198E-4</v>
      </c>
      <c r="Y30" s="8">
        <f t="shared" si="23"/>
        <v>0</v>
      </c>
      <c r="Z30" s="8">
        <f t="shared" si="24"/>
        <v>5.2926540813138748E-3</v>
      </c>
      <c r="AA30" s="8">
        <f t="shared" si="25"/>
        <v>2.0498374465039282</v>
      </c>
      <c r="AC30" s="9">
        <f t="shared" si="26"/>
        <v>0.90725136560129849</v>
      </c>
      <c r="AD30" s="9"/>
      <c r="AE30" s="9"/>
      <c r="AG30" s="8">
        <f t="shared" si="27"/>
        <v>9.7818299049155595</v>
      </c>
    </row>
    <row r="31" spans="3:33" s="8" customFormat="1">
      <c r="C31" s="44"/>
      <c r="D31" s="44"/>
      <c r="E31" s="51"/>
      <c r="F31" s="51"/>
      <c r="G31" s="51"/>
      <c r="H31" s="51"/>
      <c r="I31" s="51"/>
      <c r="J31" s="51"/>
      <c r="K31" s="51"/>
      <c r="L31" s="57"/>
      <c r="M31" s="57"/>
      <c r="O31" s="9"/>
      <c r="Q31" s="24"/>
      <c r="AC31" s="9"/>
      <c r="AD31" s="9"/>
      <c r="AE31" s="9"/>
    </row>
    <row r="32" spans="3:33" s="8" customFormat="1">
      <c r="C32" s="44">
        <f>'Spinel-- no zeroes'!C32</f>
        <v>0</v>
      </c>
      <c r="D32" s="44"/>
      <c r="E32" s="51">
        <v>40.382300000000001</v>
      </c>
      <c r="F32" s="51">
        <v>0</v>
      </c>
      <c r="G32" s="51">
        <v>5.8463333333333345E-3</v>
      </c>
      <c r="H32" s="51">
        <v>3.0960000000000002E-3</v>
      </c>
      <c r="I32" s="51">
        <v>9.12866</v>
      </c>
      <c r="J32" s="51">
        <v>0.12850600000000001</v>
      </c>
      <c r="K32" s="51">
        <v>50.097166666666659</v>
      </c>
      <c r="L32" s="56">
        <v>3.9156999999999997E-2</v>
      </c>
      <c r="M32" s="56"/>
      <c r="N32" s="56">
        <v>0.39530833333333332</v>
      </c>
      <c r="O32" s="9">
        <f t="shared" si="14"/>
        <v>100.18004033333334</v>
      </c>
      <c r="Q32" s="24">
        <f t="shared" si="15"/>
        <v>0.67203028790148112</v>
      </c>
      <c r="R32" s="8">
        <f t="shared" si="16"/>
        <v>0</v>
      </c>
      <c r="S32" s="8">
        <f t="shared" si="17"/>
        <v>1.1467895906891595E-4</v>
      </c>
      <c r="T32" s="8">
        <f t="shared" si="18"/>
        <v>4.0739522336995858E-5</v>
      </c>
      <c r="U32" s="8">
        <f t="shared" si="19"/>
        <v>0.12705163535142661</v>
      </c>
      <c r="V32" s="8">
        <f t="shared" si="20"/>
        <v>1.8117298745241788E-3</v>
      </c>
      <c r="W32" s="8">
        <f t="shared" si="21"/>
        <v>1.2427974861490116</v>
      </c>
      <c r="X32" s="8">
        <f t="shared" si="22"/>
        <v>6.9823466476462198E-4</v>
      </c>
      <c r="Y32" s="8">
        <f t="shared" si="23"/>
        <v>0</v>
      </c>
      <c r="Z32" s="8">
        <f t="shared" si="24"/>
        <v>5.2926540813138748E-3</v>
      </c>
      <c r="AA32" s="8">
        <f t="shared" si="25"/>
        <v>2.0498374465039282</v>
      </c>
      <c r="AC32" s="9">
        <f t="shared" si="26"/>
        <v>0.90725136560129849</v>
      </c>
      <c r="AD32" s="9"/>
      <c r="AE32" s="9"/>
      <c r="AG32" s="8">
        <f t="shared" si="27"/>
        <v>9.7818299049155595</v>
      </c>
    </row>
    <row r="33" spans="3:33" s="8" customFormat="1">
      <c r="C33" s="44">
        <f>'Spinel-- no zeroes'!C33</f>
        <v>0</v>
      </c>
      <c r="D33" s="44"/>
      <c r="E33" s="51">
        <v>40.382300000000001</v>
      </c>
      <c r="F33" s="51">
        <v>0</v>
      </c>
      <c r="G33" s="51">
        <v>5.8463333333333345E-3</v>
      </c>
      <c r="H33" s="51">
        <v>3.0960000000000002E-3</v>
      </c>
      <c r="I33" s="51">
        <v>9.12866</v>
      </c>
      <c r="J33" s="51">
        <v>0.12850600000000001</v>
      </c>
      <c r="K33" s="51">
        <v>50.097166666666659</v>
      </c>
      <c r="L33" s="56">
        <v>3.9156999999999997E-2</v>
      </c>
      <c r="M33" s="56"/>
      <c r="N33" s="56">
        <v>0.39530833333333332</v>
      </c>
      <c r="O33" s="9">
        <f t="shared" si="14"/>
        <v>100.18004033333334</v>
      </c>
      <c r="Q33" s="24">
        <f t="shared" si="15"/>
        <v>0.67203028790148112</v>
      </c>
      <c r="R33" s="8">
        <f t="shared" si="16"/>
        <v>0</v>
      </c>
      <c r="S33" s="8">
        <f t="shared" si="17"/>
        <v>1.1467895906891595E-4</v>
      </c>
      <c r="T33" s="8">
        <f t="shared" si="18"/>
        <v>4.0739522336995858E-5</v>
      </c>
      <c r="U33" s="8">
        <f t="shared" si="19"/>
        <v>0.12705163535142661</v>
      </c>
      <c r="V33" s="8">
        <f t="shared" si="20"/>
        <v>1.8117298745241788E-3</v>
      </c>
      <c r="W33" s="8">
        <f t="shared" si="21"/>
        <v>1.2427974861490116</v>
      </c>
      <c r="X33" s="8">
        <f t="shared" si="22"/>
        <v>6.9823466476462198E-4</v>
      </c>
      <c r="Y33" s="8">
        <f t="shared" si="23"/>
        <v>0</v>
      </c>
      <c r="Z33" s="8">
        <f t="shared" si="24"/>
        <v>5.2926540813138748E-3</v>
      </c>
      <c r="AA33" s="8">
        <f t="shared" si="25"/>
        <v>2.0498374465039282</v>
      </c>
      <c r="AC33" s="9">
        <f t="shared" si="26"/>
        <v>0.90725136560129849</v>
      </c>
      <c r="AD33" s="9"/>
      <c r="AE33" s="9"/>
      <c r="AG33" s="8">
        <f t="shared" si="27"/>
        <v>9.7818299049155595</v>
      </c>
    </row>
    <row r="34" spans="3:33" s="8" customFormat="1">
      <c r="C34" s="44">
        <f>'Spinel-- no zeroes'!C34</f>
        <v>0</v>
      </c>
      <c r="D34" s="44"/>
      <c r="E34" s="51">
        <v>40.382300000000001</v>
      </c>
      <c r="F34" s="51">
        <v>0</v>
      </c>
      <c r="G34" s="51">
        <v>5.8463333333333345E-3</v>
      </c>
      <c r="H34" s="51">
        <v>3.0960000000000002E-3</v>
      </c>
      <c r="I34" s="51">
        <v>9.12866</v>
      </c>
      <c r="J34" s="51">
        <v>0.12850600000000001</v>
      </c>
      <c r="K34" s="51">
        <v>50.097166666666659</v>
      </c>
      <c r="L34" s="56">
        <v>3.9156999999999997E-2</v>
      </c>
      <c r="M34" s="56"/>
      <c r="N34" s="56">
        <v>0.39530833333333332</v>
      </c>
      <c r="O34" s="9">
        <f t="shared" si="14"/>
        <v>100.18004033333334</v>
      </c>
      <c r="Q34" s="24">
        <f t="shared" si="15"/>
        <v>0.67203028790148112</v>
      </c>
      <c r="R34" s="8">
        <f t="shared" si="16"/>
        <v>0</v>
      </c>
      <c r="S34" s="8">
        <f t="shared" si="17"/>
        <v>1.1467895906891595E-4</v>
      </c>
      <c r="T34" s="8">
        <f t="shared" si="18"/>
        <v>4.0739522336995858E-5</v>
      </c>
      <c r="U34" s="8">
        <f t="shared" si="19"/>
        <v>0.12705163535142661</v>
      </c>
      <c r="V34" s="8">
        <f t="shared" si="20"/>
        <v>1.8117298745241788E-3</v>
      </c>
      <c r="W34" s="8">
        <f t="shared" si="21"/>
        <v>1.2427974861490116</v>
      </c>
      <c r="X34" s="8">
        <f t="shared" si="22"/>
        <v>6.9823466476462198E-4</v>
      </c>
      <c r="Y34" s="8">
        <f t="shared" si="23"/>
        <v>0</v>
      </c>
      <c r="Z34" s="8">
        <f t="shared" si="24"/>
        <v>5.2926540813138748E-3</v>
      </c>
      <c r="AA34" s="8">
        <f t="shared" si="25"/>
        <v>2.0498374465039282</v>
      </c>
      <c r="AC34" s="9">
        <f t="shared" si="26"/>
        <v>0.90725136560129849</v>
      </c>
      <c r="AD34" s="9"/>
      <c r="AE34" s="9"/>
      <c r="AG34" s="8">
        <f t="shared" si="27"/>
        <v>9.7818299049155595</v>
      </c>
    </row>
    <row r="35" spans="3:33" s="8" customFormat="1">
      <c r="C35" s="44">
        <f>'Spinel-- no zeroes'!C35</f>
        <v>0</v>
      </c>
      <c r="D35" s="44"/>
      <c r="E35" s="51">
        <v>40.382300000000001</v>
      </c>
      <c r="F35" s="51">
        <v>0</v>
      </c>
      <c r="G35" s="51">
        <v>5.8463333333333345E-3</v>
      </c>
      <c r="H35" s="51">
        <v>3.0960000000000002E-3</v>
      </c>
      <c r="I35" s="51">
        <v>9.12866</v>
      </c>
      <c r="J35" s="51">
        <v>0.12850600000000001</v>
      </c>
      <c r="K35" s="51">
        <v>50.097166666666659</v>
      </c>
      <c r="L35" s="56">
        <v>3.9156999999999997E-2</v>
      </c>
      <c r="M35" s="56"/>
      <c r="N35" s="56">
        <v>0.39530833333333332</v>
      </c>
      <c r="O35" s="9">
        <f t="shared" si="14"/>
        <v>100.18004033333334</v>
      </c>
      <c r="Q35" s="24">
        <f t="shared" si="15"/>
        <v>0.67203028790148112</v>
      </c>
      <c r="R35" s="8">
        <f t="shared" si="16"/>
        <v>0</v>
      </c>
      <c r="S35" s="8">
        <f t="shared" si="17"/>
        <v>1.1467895906891595E-4</v>
      </c>
      <c r="T35" s="8">
        <f t="shared" si="18"/>
        <v>4.0739522336995858E-5</v>
      </c>
      <c r="U35" s="8">
        <f t="shared" si="19"/>
        <v>0.12705163535142661</v>
      </c>
      <c r="V35" s="8">
        <f t="shared" si="20"/>
        <v>1.8117298745241788E-3</v>
      </c>
      <c r="W35" s="8">
        <f t="shared" si="21"/>
        <v>1.2427974861490116</v>
      </c>
      <c r="X35" s="8">
        <f t="shared" si="22"/>
        <v>6.9823466476462198E-4</v>
      </c>
      <c r="Y35" s="8">
        <f t="shared" si="23"/>
        <v>0</v>
      </c>
      <c r="Z35" s="8">
        <f t="shared" si="24"/>
        <v>5.2926540813138748E-3</v>
      </c>
      <c r="AA35" s="8">
        <f t="shared" si="25"/>
        <v>2.0498374465039282</v>
      </c>
      <c r="AC35" s="9">
        <f t="shared" si="26"/>
        <v>0.90725136560129849</v>
      </c>
      <c r="AD35" s="9"/>
      <c r="AE35" s="9"/>
      <c r="AG35" s="8">
        <f t="shared" si="27"/>
        <v>9.7818299049155595</v>
      </c>
    </row>
    <row r="36" spans="3:33" s="8" customFormat="1">
      <c r="C36" s="44">
        <f>'Spinel-- no zeroes'!C36</f>
        <v>0</v>
      </c>
      <c r="D36" s="44"/>
      <c r="E36" s="51">
        <v>40.382300000000001</v>
      </c>
      <c r="F36" s="51">
        <v>0</v>
      </c>
      <c r="G36" s="51">
        <v>5.8463333333333345E-3</v>
      </c>
      <c r="H36" s="51">
        <v>3.0960000000000002E-3</v>
      </c>
      <c r="I36" s="51">
        <v>9.12866</v>
      </c>
      <c r="J36" s="51">
        <v>0.12850600000000001</v>
      </c>
      <c r="K36" s="51">
        <v>50.097166666666659</v>
      </c>
      <c r="L36" s="56">
        <v>3.9156999999999997E-2</v>
      </c>
      <c r="M36" s="56"/>
      <c r="N36" s="56">
        <v>0.39530833333333332</v>
      </c>
      <c r="O36" s="9">
        <f t="shared" si="14"/>
        <v>100.18004033333334</v>
      </c>
      <c r="Q36" s="24">
        <f t="shared" si="15"/>
        <v>0.67203028790148112</v>
      </c>
      <c r="R36" s="8">
        <f t="shared" si="16"/>
        <v>0</v>
      </c>
      <c r="S36" s="8">
        <f t="shared" si="17"/>
        <v>1.1467895906891595E-4</v>
      </c>
      <c r="T36" s="8">
        <f t="shared" si="18"/>
        <v>4.0739522336995858E-5</v>
      </c>
      <c r="U36" s="8">
        <f t="shared" si="19"/>
        <v>0.12705163535142661</v>
      </c>
      <c r="V36" s="8">
        <f t="shared" si="20"/>
        <v>1.8117298745241788E-3</v>
      </c>
      <c r="W36" s="8">
        <f t="shared" si="21"/>
        <v>1.2427974861490116</v>
      </c>
      <c r="X36" s="8">
        <f t="shared" si="22"/>
        <v>6.9823466476462198E-4</v>
      </c>
      <c r="Y36" s="8">
        <f t="shared" si="23"/>
        <v>0</v>
      </c>
      <c r="Z36" s="8">
        <f t="shared" si="24"/>
        <v>5.2926540813138748E-3</v>
      </c>
      <c r="AA36" s="8">
        <f t="shared" si="25"/>
        <v>2.0498374465039282</v>
      </c>
      <c r="AC36" s="9">
        <f t="shared" si="26"/>
        <v>0.90725136560129849</v>
      </c>
      <c r="AD36" s="9"/>
      <c r="AE36" s="9"/>
      <c r="AG36" s="8">
        <f t="shared" si="27"/>
        <v>9.7818299049155595</v>
      </c>
    </row>
    <row r="37" spans="3:33" s="8" customFormat="1">
      <c r="C37" s="44">
        <f>'Spinel-- no zeroes'!C37</f>
        <v>0</v>
      </c>
      <c r="D37" s="44"/>
      <c r="E37" s="51">
        <v>40.382300000000001</v>
      </c>
      <c r="F37" s="51">
        <v>0</v>
      </c>
      <c r="G37" s="51">
        <v>5.8463333333333345E-3</v>
      </c>
      <c r="H37" s="51">
        <v>3.0960000000000002E-3</v>
      </c>
      <c r="I37" s="51">
        <v>9.12866</v>
      </c>
      <c r="J37" s="51">
        <v>0.12850600000000001</v>
      </c>
      <c r="K37" s="51">
        <v>50.097166666666659</v>
      </c>
      <c r="L37" s="56">
        <v>3.9156999999999997E-2</v>
      </c>
      <c r="M37" s="56"/>
      <c r="N37" s="56">
        <v>0.39530833333333332</v>
      </c>
      <c r="O37" s="9">
        <f t="shared" si="14"/>
        <v>100.18004033333334</v>
      </c>
      <c r="Q37" s="24">
        <f t="shared" si="15"/>
        <v>0.67203028790148112</v>
      </c>
      <c r="R37" s="8">
        <f t="shared" si="16"/>
        <v>0</v>
      </c>
      <c r="S37" s="8">
        <f t="shared" si="17"/>
        <v>1.1467895906891595E-4</v>
      </c>
      <c r="T37" s="8">
        <f t="shared" si="18"/>
        <v>4.0739522336995858E-5</v>
      </c>
      <c r="U37" s="8">
        <f t="shared" si="19"/>
        <v>0.12705163535142661</v>
      </c>
      <c r="V37" s="8">
        <f t="shared" si="20"/>
        <v>1.8117298745241788E-3</v>
      </c>
      <c r="W37" s="8">
        <f t="shared" si="21"/>
        <v>1.2427974861490116</v>
      </c>
      <c r="X37" s="8">
        <f t="shared" si="22"/>
        <v>6.9823466476462198E-4</v>
      </c>
      <c r="Y37" s="8">
        <f t="shared" si="23"/>
        <v>0</v>
      </c>
      <c r="Z37" s="8">
        <f t="shared" si="24"/>
        <v>5.2926540813138748E-3</v>
      </c>
      <c r="AA37" s="8">
        <f t="shared" si="25"/>
        <v>2.0498374465039282</v>
      </c>
      <c r="AC37" s="9">
        <f t="shared" si="26"/>
        <v>0.90725136560129849</v>
      </c>
      <c r="AD37" s="9"/>
      <c r="AE37" s="9"/>
      <c r="AG37" s="8">
        <f t="shared" si="27"/>
        <v>9.7818299049155595</v>
      </c>
    </row>
    <row r="38" spans="3:33" s="8" customFormat="1">
      <c r="C38" s="44">
        <f>'Spinel-- no zeroes'!C38</f>
        <v>0</v>
      </c>
      <c r="D38" s="44"/>
      <c r="E38" s="51">
        <v>40.382300000000001</v>
      </c>
      <c r="F38" s="51">
        <v>0</v>
      </c>
      <c r="G38" s="51">
        <v>5.8463333333333345E-3</v>
      </c>
      <c r="H38" s="51">
        <v>3.0960000000000002E-3</v>
      </c>
      <c r="I38" s="51">
        <v>9.12866</v>
      </c>
      <c r="J38" s="51">
        <v>0.12850600000000001</v>
      </c>
      <c r="K38" s="51">
        <v>50.097166666666659</v>
      </c>
      <c r="L38" s="56">
        <v>3.9156999999999997E-2</v>
      </c>
      <c r="M38" s="56"/>
      <c r="N38" s="56">
        <v>0.39530833333333332</v>
      </c>
      <c r="O38" s="9">
        <f t="shared" si="14"/>
        <v>100.18004033333334</v>
      </c>
      <c r="Q38" s="24">
        <f t="shared" si="15"/>
        <v>0.67203028790148112</v>
      </c>
      <c r="R38" s="8">
        <f t="shared" si="16"/>
        <v>0</v>
      </c>
      <c r="S38" s="8">
        <f t="shared" si="17"/>
        <v>1.1467895906891595E-4</v>
      </c>
      <c r="T38" s="8">
        <f t="shared" si="18"/>
        <v>4.0739522336995858E-5</v>
      </c>
      <c r="U38" s="8">
        <f t="shared" si="19"/>
        <v>0.12705163535142661</v>
      </c>
      <c r="V38" s="8">
        <f t="shared" si="20"/>
        <v>1.8117298745241788E-3</v>
      </c>
      <c r="W38" s="8">
        <f t="shared" si="21"/>
        <v>1.2427974861490116</v>
      </c>
      <c r="X38" s="8">
        <f t="shared" si="22"/>
        <v>6.9823466476462198E-4</v>
      </c>
      <c r="Y38" s="8">
        <f t="shared" si="23"/>
        <v>0</v>
      </c>
      <c r="Z38" s="8">
        <f t="shared" si="24"/>
        <v>5.2926540813138748E-3</v>
      </c>
      <c r="AA38" s="8">
        <f t="shared" si="25"/>
        <v>2.0498374465039282</v>
      </c>
      <c r="AC38" s="9">
        <f t="shared" si="26"/>
        <v>0.90725136560129849</v>
      </c>
      <c r="AD38" s="9"/>
      <c r="AE38" s="9"/>
      <c r="AG38" s="8">
        <f t="shared" si="27"/>
        <v>9.7818299049155595</v>
      </c>
    </row>
    <row r="39" spans="3:33" s="8" customFormat="1">
      <c r="C39" s="44">
        <f>'Spinel-- no zeroes'!C39</f>
        <v>0</v>
      </c>
      <c r="D39" s="44"/>
      <c r="E39" s="51">
        <v>40.382300000000001</v>
      </c>
      <c r="F39" s="51">
        <v>0</v>
      </c>
      <c r="G39" s="51">
        <v>5.8463333333333345E-3</v>
      </c>
      <c r="H39" s="51">
        <v>3.0960000000000002E-3</v>
      </c>
      <c r="I39" s="51">
        <v>9.12866</v>
      </c>
      <c r="J39" s="51">
        <v>0.12850600000000001</v>
      </c>
      <c r="K39" s="51">
        <v>50.097166666666659</v>
      </c>
      <c r="L39" s="56">
        <v>3.9156999999999997E-2</v>
      </c>
      <c r="M39" s="56"/>
      <c r="N39" s="56">
        <v>0.39530833333333332</v>
      </c>
      <c r="O39" s="9">
        <f t="shared" si="14"/>
        <v>100.18004033333334</v>
      </c>
      <c r="Q39" s="24">
        <f t="shared" si="15"/>
        <v>0.67203028790148112</v>
      </c>
      <c r="R39" s="8">
        <f t="shared" si="16"/>
        <v>0</v>
      </c>
      <c r="S39" s="8">
        <f t="shared" si="17"/>
        <v>1.1467895906891595E-4</v>
      </c>
      <c r="T39" s="8">
        <f t="shared" si="18"/>
        <v>4.0739522336995858E-5</v>
      </c>
      <c r="U39" s="8">
        <f t="shared" si="19"/>
        <v>0.12705163535142661</v>
      </c>
      <c r="V39" s="8">
        <f t="shared" si="20"/>
        <v>1.8117298745241788E-3</v>
      </c>
      <c r="W39" s="8">
        <f t="shared" si="21"/>
        <v>1.2427974861490116</v>
      </c>
      <c r="X39" s="8">
        <f t="shared" si="22"/>
        <v>6.9823466476462198E-4</v>
      </c>
      <c r="Y39" s="8">
        <f t="shared" si="23"/>
        <v>0</v>
      </c>
      <c r="Z39" s="8">
        <f t="shared" si="24"/>
        <v>5.2926540813138748E-3</v>
      </c>
      <c r="AA39" s="8">
        <f t="shared" si="25"/>
        <v>2.0498374465039282</v>
      </c>
      <c r="AC39" s="9">
        <f t="shared" si="26"/>
        <v>0.90725136560129849</v>
      </c>
      <c r="AD39" s="9"/>
      <c r="AE39" s="9"/>
      <c r="AG39" s="8">
        <f t="shared" si="27"/>
        <v>9.7818299049155595</v>
      </c>
    </row>
    <row r="40" spans="3:33" s="8" customFormat="1">
      <c r="C40" s="44">
        <f>'Spinel-- no zeroes'!C40</f>
        <v>0</v>
      </c>
      <c r="D40" s="44"/>
      <c r="E40" s="51">
        <v>40.382300000000001</v>
      </c>
      <c r="F40" s="51">
        <v>0</v>
      </c>
      <c r="G40" s="51">
        <v>5.8463333333333345E-3</v>
      </c>
      <c r="H40" s="51">
        <v>3.0960000000000002E-3</v>
      </c>
      <c r="I40" s="51">
        <v>9.12866</v>
      </c>
      <c r="J40" s="51">
        <v>0.12850600000000001</v>
      </c>
      <c r="K40" s="51">
        <v>50.097166666666659</v>
      </c>
      <c r="L40" s="56">
        <v>3.9156999999999997E-2</v>
      </c>
      <c r="M40" s="56"/>
      <c r="N40" s="56">
        <v>0.39530833333333332</v>
      </c>
      <c r="O40" s="9">
        <f t="shared" si="14"/>
        <v>100.18004033333334</v>
      </c>
      <c r="Q40" s="24">
        <f t="shared" si="15"/>
        <v>0.67203028790148112</v>
      </c>
      <c r="R40" s="8">
        <f t="shared" si="16"/>
        <v>0</v>
      </c>
      <c r="S40" s="8">
        <f t="shared" si="17"/>
        <v>1.1467895906891595E-4</v>
      </c>
      <c r="T40" s="8">
        <f t="shared" si="18"/>
        <v>4.0739522336995858E-5</v>
      </c>
      <c r="U40" s="8">
        <f t="shared" si="19"/>
        <v>0.12705163535142661</v>
      </c>
      <c r="V40" s="8">
        <f t="shared" si="20"/>
        <v>1.8117298745241788E-3</v>
      </c>
      <c r="W40" s="8">
        <f t="shared" si="21"/>
        <v>1.2427974861490116</v>
      </c>
      <c r="X40" s="8">
        <f t="shared" si="22"/>
        <v>6.9823466476462198E-4</v>
      </c>
      <c r="Y40" s="8">
        <f t="shared" si="23"/>
        <v>0</v>
      </c>
      <c r="Z40" s="8">
        <f t="shared" si="24"/>
        <v>5.2926540813138748E-3</v>
      </c>
      <c r="AA40" s="8">
        <f t="shared" si="25"/>
        <v>2.0498374465039282</v>
      </c>
      <c r="AC40" s="9">
        <f t="shared" si="26"/>
        <v>0.90725136560129849</v>
      </c>
      <c r="AD40" s="9"/>
      <c r="AE40" s="9"/>
      <c r="AG40" s="8">
        <f t="shared" si="27"/>
        <v>9.7818299049155595</v>
      </c>
    </row>
    <row r="41" spans="3:33" s="8" customFormat="1">
      <c r="C41" s="44">
        <f>'Spinel-- no zeroes'!C41</f>
        <v>0</v>
      </c>
      <c r="D41" s="44"/>
      <c r="E41" s="51">
        <v>40.382300000000001</v>
      </c>
      <c r="F41" s="51">
        <v>0</v>
      </c>
      <c r="G41" s="51">
        <v>5.8463333333333345E-3</v>
      </c>
      <c r="H41" s="51">
        <v>3.0960000000000002E-3</v>
      </c>
      <c r="I41" s="51">
        <v>9.12866</v>
      </c>
      <c r="J41" s="51">
        <v>0.12850600000000001</v>
      </c>
      <c r="K41" s="51">
        <v>50.097166666666659</v>
      </c>
      <c r="L41" s="56">
        <v>3.9156999999999997E-2</v>
      </c>
      <c r="M41" s="56"/>
      <c r="N41" s="56">
        <v>0.39530833333333332</v>
      </c>
      <c r="O41" s="9">
        <f t="shared" si="14"/>
        <v>100.18004033333334</v>
      </c>
      <c r="Q41" s="24">
        <f t="shared" si="15"/>
        <v>0.67203028790148112</v>
      </c>
      <c r="R41" s="8">
        <f t="shared" si="16"/>
        <v>0</v>
      </c>
      <c r="S41" s="8">
        <f t="shared" si="17"/>
        <v>1.1467895906891595E-4</v>
      </c>
      <c r="T41" s="8">
        <f t="shared" si="18"/>
        <v>4.0739522336995858E-5</v>
      </c>
      <c r="U41" s="8">
        <f t="shared" si="19"/>
        <v>0.12705163535142661</v>
      </c>
      <c r="V41" s="8">
        <f t="shared" si="20"/>
        <v>1.8117298745241788E-3</v>
      </c>
      <c r="W41" s="8">
        <f t="shared" si="21"/>
        <v>1.2427974861490116</v>
      </c>
      <c r="X41" s="8">
        <f t="shared" si="22"/>
        <v>6.9823466476462198E-4</v>
      </c>
      <c r="Y41" s="8">
        <f t="shared" si="23"/>
        <v>0</v>
      </c>
      <c r="Z41" s="8">
        <f t="shared" si="24"/>
        <v>5.2926540813138748E-3</v>
      </c>
      <c r="AA41" s="8">
        <f t="shared" si="25"/>
        <v>2.0498374465039282</v>
      </c>
      <c r="AC41" s="9">
        <f t="shared" si="26"/>
        <v>0.90725136560129849</v>
      </c>
      <c r="AD41" s="9"/>
      <c r="AE41" s="9"/>
      <c r="AG41" s="8">
        <f t="shared" si="27"/>
        <v>9.7818299049155595</v>
      </c>
    </row>
    <row r="42" spans="3:33" s="8" customFormat="1">
      <c r="C42" s="44">
        <f>'Spinel-- no zeroes'!C42</f>
        <v>0</v>
      </c>
      <c r="D42" s="44"/>
      <c r="E42" s="51">
        <v>40.382300000000001</v>
      </c>
      <c r="F42" s="51">
        <v>0</v>
      </c>
      <c r="G42" s="51">
        <v>5.8463333333333345E-3</v>
      </c>
      <c r="H42" s="51">
        <v>3.0960000000000002E-3</v>
      </c>
      <c r="I42" s="51">
        <v>9.12866</v>
      </c>
      <c r="J42" s="51">
        <v>0.12850600000000001</v>
      </c>
      <c r="K42" s="51">
        <v>50.097166666666659</v>
      </c>
      <c r="L42" s="56">
        <v>3.9156999999999997E-2</v>
      </c>
      <c r="M42" s="56"/>
      <c r="N42" s="56">
        <v>0.39530833333333332</v>
      </c>
      <c r="O42" s="9">
        <f t="shared" si="14"/>
        <v>100.18004033333334</v>
      </c>
      <c r="Q42" s="24">
        <f t="shared" si="15"/>
        <v>0.67203028790148112</v>
      </c>
      <c r="R42" s="8">
        <f t="shared" si="16"/>
        <v>0</v>
      </c>
      <c r="S42" s="8">
        <f t="shared" si="17"/>
        <v>1.1467895906891595E-4</v>
      </c>
      <c r="T42" s="8">
        <f t="shared" si="18"/>
        <v>4.0739522336995858E-5</v>
      </c>
      <c r="U42" s="8">
        <f t="shared" si="19"/>
        <v>0.12705163535142661</v>
      </c>
      <c r="V42" s="8">
        <f t="shared" si="20"/>
        <v>1.8117298745241788E-3</v>
      </c>
      <c r="W42" s="8">
        <f t="shared" si="21"/>
        <v>1.2427974861490116</v>
      </c>
      <c r="X42" s="8">
        <f t="shared" si="22"/>
        <v>6.9823466476462198E-4</v>
      </c>
      <c r="Y42" s="8">
        <f t="shared" si="23"/>
        <v>0</v>
      </c>
      <c r="Z42" s="8">
        <f t="shared" si="24"/>
        <v>5.2926540813138748E-3</v>
      </c>
      <c r="AA42" s="8">
        <f t="shared" si="25"/>
        <v>2.0498374465039282</v>
      </c>
      <c r="AC42" s="9">
        <f t="shared" si="26"/>
        <v>0.90725136560129849</v>
      </c>
      <c r="AD42" s="9"/>
      <c r="AE42" s="9"/>
      <c r="AG42" s="8">
        <f t="shared" si="27"/>
        <v>9.7818299049155595</v>
      </c>
    </row>
    <row r="43" spans="3:33" s="8" customFormat="1">
      <c r="C43" s="44">
        <f>'Spinel-- no zeroes'!C43</f>
        <v>0</v>
      </c>
      <c r="D43" s="44"/>
      <c r="E43" s="51">
        <v>40.382300000000001</v>
      </c>
      <c r="F43" s="51">
        <v>0</v>
      </c>
      <c r="G43" s="51">
        <v>5.8463333333333345E-3</v>
      </c>
      <c r="H43" s="51">
        <v>3.0960000000000002E-3</v>
      </c>
      <c r="I43" s="51">
        <v>9.12866</v>
      </c>
      <c r="J43" s="51">
        <v>0.12850600000000001</v>
      </c>
      <c r="K43" s="51">
        <v>50.097166666666659</v>
      </c>
      <c r="L43" s="56">
        <v>3.9156999999999997E-2</v>
      </c>
      <c r="M43" s="56"/>
      <c r="N43" s="56">
        <v>0.39530833333333332</v>
      </c>
      <c r="O43" s="9">
        <f t="shared" si="14"/>
        <v>100.18004033333334</v>
      </c>
      <c r="Q43" s="24">
        <f t="shared" si="15"/>
        <v>0.67203028790148112</v>
      </c>
      <c r="R43" s="8">
        <f t="shared" si="16"/>
        <v>0</v>
      </c>
      <c r="S43" s="8">
        <f t="shared" si="17"/>
        <v>1.1467895906891595E-4</v>
      </c>
      <c r="T43" s="8">
        <f t="shared" si="18"/>
        <v>4.0739522336995858E-5</v>
      </c>
      <c r="U43" s="8">
        <f t="shared" si="19"/>
        <v>0.12705163535142661</v>
      </c>
      <c r="V43" s="8">
        <f t="shared" si="20"/>
        <v>1.8117298745241788E-3</v>
      </c>
      <c r="W43" s="8">
        <f t="shared" si="21"/>
        <v>1.2427974861490116</v>
      </c>
      <c r="X43" s="8">
        <f t="shared" si="22"/>
        <v>6.9823466476462198E-4</v>
      </c>
      <c r="Y43" s="8">
        <f t="shared" si="23"/>
        <v>0</v>
      </c>
      <c r="Z43" s="8">
        <f t="shared" si="24"/>
        <v>5.2926540813138748E-3</v>
      </c>
      <c r="AA43" s="8">
        <f t="shared" si="25"/>
        <v>2.0498374465039282</v>
      </c>
      <c r="AC43" s="9">
        <f t="shared" si="26"/>
        <v>0.90725136560129849</v>
      </c>
      <c r="AD43" s="9"/>
      <c r="AE43" s="9"/>
      <c r="AG43" s="8">
        <f t="shared" si="27"/>
        <v>9.7818299049155595</v>
      </c>
    </row>
    <row r="44" spans="3:33" s="8" customFormat="1">
      <c r="C44" s="44">
        <f>'Spinel-- no zeroes'!C44</f>
        <v>0</v>
      </c>
      <c r="D44" s="44"/>
      <c r="E44" s="51">
        <v>40.382300000000001</v>
      </c>
      <c r="F44" s="51">
        <v>0</v>
      </c>
      <c r="G44" s="51">
        <v>5.8463333333333345E-3</v>
      </c>
      <c r="H44" s="51">
        <v>3.0960000000000002E-3</v>
      </c>
      <c r="I44" s="51">
        <v>9.12866</v>
      </c>
      <c r="J44" s="51">
        <v>0.12850600000000001</v>
      </c>
      <c r="K44" s="51">
        <v>50.097166666666659</v>
      </c>
      <c r="L44" s="56">
        <v>3.9156999999999997E-2</v>
      </c>
      <c r="M44" s="56"/>
      <c r="N44" s="56">
        <v>0.39530833333333332</v>
      </c>
      <c r="O44" s="9">
        <f t="shared" si="14"/>
        <v>100.18004033333334</v>
      </c>
      <c r="Q44" s="24">
        <f t="shared" si="15"/>
        <v>0.67203028790148112</v>
      </c>
      <c r="R44" s="8">
        <f t="shared" si="16"/>
        <v>0</v>
      </c>
      <c r="S44" s="8">
        <f t="shared" si="17"/>
        <v>1.1467895906891595E-4</v>
      </c>
      <c r="T44" s="8">
        <f t="shared" si="18"/>
        <v>4.0739522336995858E-5</v>
      </c>
      <c r="U44" s="8">
        <f t="shared" si="19"/>
        <v>0.12705163535142661</v>
      </c>
      <c r="V44" s="8">
        <f t="shared" si="20"/>
        <v>1.8117298745241788E-3</v>
      </c>
      <c r="W44" s="8">
        <f t="shared" si="21"/>
        <v>1.2427974861490116</v>
      </c>
      <c r="X44" s="8">
        <f t="shared" si="22"/>
        <v>6.9823466476462198E-4</v>
      </c>
      <c r="Y44" s="8">
        <f t="shared" si="23"/>
        <v>0</v>
      </c>
      <c r="Z44" s="8">
        <f t="shared" si="24"/>
        <v>5.2926540813138748E-3</v>
      </c>
      <c r="AA44" s="8">
        <f t="shared" si="25"/>
        <v>2.0498374465039282</v>
      </c>
      <c r="AC44" s="9">
        <f t="shared" si="26"/>
        <v>0.90725136560129849</v>
      </c>
      <c r="AD44" s="9"/>
      <c r="AE44" s="9"/>
      <c r="AG44" s="8">
        <f t="shared" si="27"/>
        <v>9.7818299049155595</v>
      </c>
    </row>
    <row r="45" spans="3:33" s="8" customFormat="1">
      <c r="C45" s="44">
        <f>'Spinel-- no zeroes'!C45</f>
        <v>0</v>
      </c>
      <c r="D45" s="44"/>
      <c r="E45" s="51"/>
      <c r="F45" s="51"/>
      <c r="G45" s="51"/>
      <c r="H45" s="51"/>
      <c r="I45" s="51"/>
      <c r="J45" s="51"/>
      <c r="K45" s="51"/>
      <c r="L45" s="57"/>
      <c r="M45" s="57"/>
      <c r="O45" s="9">
        <f t="shared" si="14"/>
        <v>0</v>
      </c>
      <c r="Q45" s="24">
        <f t="shared" si="15"/>
        <v>0</v>
      </c>
      <c r="R45" s="8">
        <f t="shared" si="16"/>
        <v>0</v>
      </c>
      <c r="S45" s="8">
        <f t="shared" si="17"/>
        <v>0</v>
      </c>
      <c r="T45" s="8">
        <f t="shared" si="18"/>
        <v>0</v>
      </c>
      <c r="U45" s="8">
        <f t="shared" si="19"/>
        <v>0</v>
      </c>
      <c r="V45" s="8">
        <f t="shared" si="20"/>
        <v>0</v>
      </c>
      <c r="W45" s="8">
        <f t="shared" si="21"/>
        <v>0</v>
      </c>
      <c r="X45" s="8">
        <f t="shared" si="22"/>
        <v>0</v>
      </c>
      <c r="Y45" s="8">
        <f t="shared" si="23"/>
        <v>0</v>
      </c>
      <c r="Z45" s="8">
        <f t="shared" si="24"/>
        <v>0</v>
      </c>
      <c r="AA45" s="8">
        <f t="shared" si="25"/>
        <v>0</v>
      </c>
      <c r="AC45" s="9" t="e">
        <f t="shared" si="26"/>
        <v>#DIV/0!</v>
      </c>
      <c r="AD45" s="9"/>
      <c r="AE45" s="9"/>
      <c r="AG45" s="8" t="e">
        <f t="shared" si="27"/>
        <v>#DIV/0!</v>
      </c>
    </row>
    <row r="46" spans="3:33" s="8" customFormat="1">
      <c r="C46" s="44"/>
      <c r="D46" s="44"/>
      <c r="E46" s="51"/>
      <c r="F46" s="51"/>
      <c r="G46" s="51"/>
      <c r="H46" s="51"/>
      <c r="I46" s="51"/>
      <c r="J46" s="51"/>
      <c r="K46" s="51"/>
      <c r="L46" s="56"/>
      <c r="M46" s="56"/>
      <c r="N46" s="56"/>
      <c r="O46" s="9"/>
      <c r="Q46" s="24"/>
      <c r="AC46" s="9"/>
      <c r="AD46" s="9"/>
      <c r="AE46" s="9"/>
    </row>
    <row r="47" spans="3:33" s="8" customFormat="1">
      <c r="C47" s="44">
        <f>'Spinel-- no zeroes'!C47</f>
        <v>0</v>
      </c>
      <c r="D47" s="44"/>
      <c r="E47" s="51">
        <v>40.382300000000001</v>
      </c>
      <c r="F47" s="51">
        <v>0</v>
      </c>
      <c r="G47" s="51">
        <v>5.8463333333333345E-3</v>
      </c>
      <c r="H47" s="51">
        <v>3.0960000000000002E-3</v>
      </c>
      <c r="I47" s="51">
        <v>9.12866</v>
      </c>
      <c r="J47" s="51">
        <v>0.12850600000000001</v>
      </c>
      <c r="K47" s="51">
        <v>50.097166666666659</v>
      </c>
      <c r="L47" s="56">
        <v>3.9156999999999997E-2</v>
      </c>
      <c r="M47" s="56"/>
      <c r="N47" s="56">
        <v>0.39530833333333332</v>
      </c>
      <c r="O47" s="9">
        <f t="shared" si="14"/>
        <v>100.18004033333334</v>
      </c>
      <c r="Q47" s="24">
        <f t="shared" si="15"/>
        <v>0.67203028790148112</v>
      </c>
      <c r="R47" s="8">
        <f t="shared" si="16"/>
        <v>0</v>
      </c>
      <c r="S47" s="8">
        <f t="shared" si="17"/>
        <v>1.1467895906891595E-4</v>
      </c>
      <c r="T47" s="8">
        <f t="shared" si="18"/>
        <v>4.0739522336995858E-5</v>
      </c>
      <c r="U47" s="8">
        <f t="shared" si="19"/>
        <v>0.12705163535142661</v>
      </c>
      <c r="V47" s="8">
        <f t="shared" si="20"/>
        <v>1.8117298745241788E-3</v>
      </c>
      <c r="W47" s="8">
        <f t="shared" si="21"/>
        <v>1.2427974861490116</v>
      </c>
      <c r="X47" s="8">
        <f t="shared" si="22"/>
        <v>6.9823466476462198E-4</v>
      </c>
      <c r="Y47" s="8">
        <f t="shared" si="23"/>
        <v>0</v>
      </c>
      <c r="Z47" s="8">
        <f t="shared" si="24"/>
        <v>5.2926540813138748E-3</v>
      </c>
      <c r="AA47" s="8">
        <f t="shared" si="25"/>
        <v>2.0498374465039282</v>
      </c>
      <c r="AC47" s="9">
        <f t="shared" si="26"/>
        <v>0.90725136560129849</v>
      </c>
      <c r="AD47" s="9"/>
      <c r="AE47" s="9"/>
      <c r="AG47" s="8">
        <f t="shared" si="27"/>
        <v>9.7818299049155595</v>
      </c>
    </row>
    <row r="48" spans="3:33" s="8" customFormat="1">
      <c r="C48" s="44">
        <f>'Spinel-- no zeroes'!C48</f>
        <v>0</v>
      </c>
      <c r="D48" s="44"/>
      <c r="E48" s="51">
        <v>40.382300000000001</v>
      </c>
      <c r="F48" s="51">
        <v>0</v>
      </c>
      <c r="G48" s="51">
        <v>5.8463333333333345E-3</v>
      </c>
      <c r="H48" s="51">
        <v>3.0960000000000002E-3</v>
      </c>
      <c r="I48" s="51">
        <v>9.12866</v>
      </c>
      <c r="J48" s="51">
        <v>0.12850600000000001</v>
      </c>
      <c r="K48" s="51">
        <v>50.097166666666659</v>
      </c>
      <c r="L48" s="56">
        <v>3.9156999999999997E-2</v>
      </c>
      <c r="M48" s="56"/>
      <c r="N48" s="56">
        <v>0.39530833333333332</v>
      </c>
      <c r="O48" s="9">
        <f t="shared" si="14"/>
        <v>100.18004033333334</v>
      </c>
      <c r="Q48" s="24">
        <f t="shared" si="15"/>
        <v>0.67203028790148112</v>
      </c>
      <c r="R48" s="8">
        <f t="shared" si="16"/>
        <v>0</v>
      </c>
      <c r="S48" s="8">
        <f t="shared" si="17"/>
        <v>1.1467895906891595E-4</v>
      </c>
      <c r="T48" s="8">
        <f t="shared" si="18"/>
        <v>4.0739522336995858E-5</v>
      </c>
      <c r="U48" s="8">
        <f t="shared" si="19"/>
        <v>0.12705163535142661</v>
      </c>
      <c r="V48" s="8">
        <f t="shared" si="20"/>
        <v>1.8117298745241788E-3</v>
      </c>
      <c r="W48" s="8">
        <f t="shared" si="21"/>
        <v>1.2427974861490116</v>
      </c>
      <c r="X48" s="8">
        <f t="shared" si="22"/>
        <v>6.9823466476462198E-4</v>
      </c>
      <c r="Y48" s="8">
        <f t="shared" si="23"/>
        <v>0</v>
      </c>
      <c r="Z48" s="8">
        <f t="shared" si="24"/>
        <v>5.2926540813138748E-3</v>
      </c>
      <c r="AA48" s="8">
        <f t="shared" si="25"/>
        <v>2.0498374465039282</v>
      </c>
      <c r="AC48" s="9">
        <f t="shared" si="26"/>
        <v>0.90725136560129849</v>
      </c>
      <c r="AD48" s="9"/>
      <c r="AE48" s="9"/>
      <c r="AG48" s="8">
        <f t="shared" si="27"/>
        <v>9.7818299049155595</v>
      </c>
    </row>
    <row r="49" spans="3:33" s="8" customFormat="1">
      <c r="C49" s="44">
        <f>'Spinel-- no zeroes'!C49</f>
        <v>0</v>
      </c>
      <c r="D49" s="44"/>
      <c r="E49" s="51">
        <v>40.382300000000001</v>
      </c>
      <c r="F49" s="51">
        <v>0</v>
      </c>
      <c r="G49" s="51">
        <v>5.8463333333333345E-3</v>
      </c>
      <c r="H49" s="51">
        <v>3.0960000000000002E-3</v>
      </c>
      <c r="I49" s="51">
        <v>9.12866</v>
      </c>
      <c r="J49" s="51">
        <v>0.12850600000000001</v>
      </c>
      <c r="K49" s="51">
        <v>50.097166666666659</v>
      </c>
      <c r="L49" s="56">
        <v>3.9156999999999997E-2</v>
      </c>
      <c r="M49" s="56"/>
      <c r="N49" s="56">
        <v>0.39530833333333332</v>
      </c>
      <c r="O49" s="9">
        <f t="shared" si="14"/>
        <v>100.18004033333334</v>
      </c>
      <c r="Q49" s="24">
        <f t="shared" si="15"/>
        <v>0.67203028790148112</v>
      </c>
      <c r="R49" s="8">
        <f t="shared" si="16"/>
        <v>0</v>
      </c>
      <c r="S49" s="8">
        <f t="shared" si="17"/>
        <v>1.1467895906891595E-4</v>
      </c>
      <c r="T49" s="8">
        <f t="shared" si="18"/>
        <v>4.0739522336995858E-5</v>
      </c>
      <c r="U49" s="8">
        <f t="shared" si="19"/>
        <v>0.12705163535142661</v>
      </c>
      <c r="V49" s="8">
        <f t="shared" si="20"/>
        <v>1.8117298745241788E-3</v>
      </c>
      <c r="W49" s="8">
        <f t="shared" si="21"/>
        <v>1.2427974861490116</v>
      </c>
      <c r="X49" s="8">
        <f t="shared" si="22"/>
        <v>6.9823466476462198E-4</v>
      </c>
      <c r="Y49" s="8">
        <f t="shared" si="23"/>
        <v>0</v>
      </c>
      <c r="Z49" s="8">
        <f t="shared" si="24"/>
        <v>5.2926540813138748E-3</v>
      </c>
      <c r="AA49" s="8">
        <f t="shared" si="25"/>
        <v>2.0498374465039282</v>
      </c>
      <c r="AC49" s="9">
        <f t="shared" si="26"/>
        <v>0.90725136560129849</v>
      </c>
      <c r="AD49" s="9"/>
      <c r="AE49" s="9"/>
      <c r="AG49" s="8">
        <f t="shared" si="27"/>
        <v>9.7818299049155595</v>
      </c>
    </row>
    <row r="50" spans="3:33" s="8" customFormat="1">
      <c r="C50" s="44">
        <f>'Spinel-- no zeroes'!C50</f>
        <v>0</v>
      </c>
      <c r="D50" s="44"/>
      <c r="E50" s="51">
        <v>40.382300000000001</v>
      </c>
      <c r="F50" s="51">
        <v>0</v>
      </c>
      <c r="G50" s="51">
        <v>5.8463333333333345E-3</v>
      </c>
      <c r="H50" s="51">
        <v>3.0960000000000002E-3</v>
      </c>
      <c r="I50" s="51">
        <v>9.12866</v>
      </c>
      <c r="J50" s="51">
        <v>0.12850600000000001</v>
      </c>
      <c r="K50" s="51">
        <v>50.097166666666659</v>
      </c>
      <c r="L50" s="56">
        <v>3.9156999999999997E-2</v>
      </c>
      <c r="M50" s="56"/>
      <c r="N50" s="56">
        <v>0.39530833333333332</v>
      </c>
      <c r="O50" s="9">
        <f t="shared" si="14"/>
        <v>100.18004033333334</v>
      </c>
      <c r="Q50" s="24">
        <f t="shared" si="15"/>
        <v>0.67203028790148112</v>
      </c>
      <c r="R50" s="8">
        <f t="shared" si="16"/>
        <v>0</v>
      </c>
      <c r="S50" s="8">
        <f t="shared" si="17"/>
        <v>1.1467895906891595E-4</v>
      </c>
      <c r="T50" s="8">
        <f t="shared" si="18"/>
        <v>4.0739522336995858E-5</v>
      </c>
      <c r="U50" s="8">
        <f t="shared" si="19"/>
        <v>0.12705163535142661</v>
      </c>
      <c r="V50" s="8">
        <f t="shared" si="20"/>
        <v>1.8117298745241788E-3</v>
      </c>
      <c r="W50" s="8">
        <f t="shared" si="21"/>
        <v>1.2427974861490116</v>
      </c>
      <c r="X50" s="8">
        <f t="shared" si="22"/>
        <v>6.9823466476462198E-4</v>
      </c>
      <c r="Y50" s="8">
        <f t="shared" si="23"/>
        <v>0</v>
      </c>
      <c r="Z50" s="8">
        <f t="shared" si="24"/>
        <v>5.2926540813138748E-3</v>
      </c>
      <c r="AA50" s="8">
        <f t="shared" si="25"/>
        <v>2.0498374465039282</v>
      </c>
      <c r="AC50" s="9">
        <f t="shared" si="26"/>
        <v>0.90725136560129849</v>
      </c>
      <c r="AD50" s="9"/>
      <c r="AE50" s="9"/>
      <c r="AG50" s="8">
        <f t="shared" si="27"/>
        <v>9.7818299049155595</v>
      </c>
    </row>
    <row r="51" spans="3:33" s="8" customFormat="1">
      <c r="C51" s="44">
        <f>'Spinel-- no zeroes'!C51</f>
        <v>0</v>
      </c>
      <c r="D51" s="44"/>
      <c r="E51" s="51">
        <v>40.382300000000001</v>
      </c>
      <c r="F51" s="51">
        <v>0</v>
      </c>
      <c r="G51" s="51">
        <v>5.8463333333333345E-3</v>
      </c>
      <c r="H51" s="51">
        <v>3.0960000000000002E-3</v>
      </c>
      <c r="I51" s="51">
        <v>9.12866</v>
      </c>
      <c r="J51" s="51">
        <v>0.12850600000000001</v>
      </c>
      <c r="K51" s="51">
        <v>50.097166666666659</v>
      </c>
      <c r="L51" s="56">
        <v>3.9156999999999997E-2</v>
      </c>
      <c r="M51" s="56"/>
      <c r="N51" s="56">
        <v>0.39530833333333332</v>
      </c>
      <c r="O51" s="9">
        <f t="shared" ref="O51:O58" si="28">SUM(E51:N51)</f>
        <v>100.18004033333334</v>
      </c>
      <c r="Q51" s="24">
        <f t="shared" ref="Q51:Q58" si="29">E51/$Q$2</f>
        <v>0.67203028790148112</v>
      </c>
      <c r="R51" s="8">
        <f t="shared" ref="R51:R58" si="30">F51/$R$2</f>
        <v>0</v>
      </c>
      <c r="S51" s="8">
        <f t="shared" ref="S51:S58" si="31">2*G51/$S$2</f>
        <v>1.1467895906891595E-4</v>
      </c>
      <c r="T51" s="8">
        <f t="shared" ref="T51:T58" si="32">2*H51/$T$2</f>
        <v>4.0739522336995858E-5</v>
      </c>
      <c r="U51" s="8">
        <f t="shared" ref="U51:U58" si="33">I51/$U$2</f>
        <v>0.12705163535142661</v>
      </c>
      <c r="V51" s="8">
        <f t="shared" ref="V51:V58" si="34">J51/$V$2</f>
        <v>1.8117298745241788E-3</v>
      </c>
      <c r="W51" s="8">
        <f t="shared" ref="W51:W58" si="35">K51/$W$2</f>
        <v>1.2427974861490116</v>
      </c>
      <c r="X51" s="8">
        <f t="shared" ref="X51:X58" si="36">L51/$X$2</f>
        <v>6.9823466476462198E-4</v>
      </c>
      <c r="Y51" s="8">
        <f t="shared" ref="Y51:Y58" si="37">2*M51/$Y$2</f>
        <v>0</v>
      </c>
      <c r="Z51" s="8">
        <f t="shared" ref="Z51:Z58" si="38">N51/$Z$2</f>
        <v>5.2926540813138748E-3</v>
      </c>
      <c r="AA51" s="8">
        <f t="shared" ref="AA51:AA58" si="39">SUM(Q51:Z51)</f>
        <v>2.0498374465039282</v>
      </c>
      <c r="AC51" s="9">
        <f t="shared" ref="AC51:AC58" si="40">W51/(W51+U51)</f>
        <v>0.90725136560129849</v>
      </c>
      <c r="AD51" s="9"/>
      <c r="AE51" s="9"/>
      <c r="AG51" s="8">
        <f t="shared" ref="AG51:AG58" si="41">W51/U51</f>
        <v>9.7818299049155595</v>
      </c>
    </row>
    <row r="52" spans="3:33" s="8" customFormat="1">
      <c r="C52" s="44">
        <f>'Spinel-- no zeroes'!C52</f>
        <v>0</v>
      </c>
      <c r="D52" s="44"/>
      <c r="E52" s="51">
        <v>40.382300000000001</v>
      </c>
      <c r="F52" s="51">
        <v>0</v>
      </c>
      <c r="G52" s="51">
        <v>5.8463333333333345E-3</v>
      </c>
      <c r="H52" s="51">
        <v>3.0960000000000002E-3</v>
      </c>
      <c r="I52" s="51">
        <v>9.12866</v>
      </c>
      <c r="J52" s="51">
        <v>0.12850600000000001</v>
      </c>
      <c r="K52" s="51">
        <v>50.097166666666659</v>
      </c>
      <c r="L52" s="56">
        <v>3.9156999999999997E-2</v>
      </c>
      <c r="M52" s="56"/>
      <c r="N52" s="56">
        <v>0.39530833333333332</v>
      </c>
      <c r="O52" s="9">
        <f t="shared" si="28"/>
        <v>100.18004033333334</v>
      </c>
      <c r="Q52" s="24">
        <f t="shared" si="29"/>
        <v>0.67203028790148112</v>
      </c>
      <c r="R52" s="8">
        <f t="shared" si="30"/>
        <v>0</v>
      </c>
      <c r="S52" s="8">
        <f t="shared" si="31"/>
        <v>1.1467895906891595E-4</v>
      </c>
      <c r="T52" s="8">
        <f t="shared" si="32"/>
        <v>4.0739522336995858E-5</v>
      </c>
      <c r="U52" s="8">
        <f t="shared" si="33"/>
        <v>0.12705163535142661</v>
      </c>
      <c r="V52" s="8">
        <f t="shared" si="34"/>
        <v>1.8117298745241788E-3</v>
      </c>
      <c r="W52" s="8">
        <f t="shared" si="35"/>
        <v>1.2427974861490116</v>
      </c>
      <c r="X52" s="8">
        <f t="shared" si="36"/>
        <v>6.9823466476462198E-4</v>
      </c>
      <c r="Y52" s="8">
        <f t="shared" si="37"/>
        <v>0</v>
      </c>
      <c r="Z52" s="8">
        <f t="shared" si="38"/>
        <v>5.2926540813138748E-3</v>
      </c>
      <c r="AA52" s="8">
        <f t="shared" si="39"/>
        <v>2.0498374465039282</v>
      </c>
      <c r="AC52" s="9">
        <f t="shared" si="40"/>
        <v>0.90725136560129849</v>
      </c>
      <c r="AD52" s="9"/>
      <c r="AE52" s="9"/>
      <c r="AG52" s="8">
        <f t="shared" si="41"/>
        <v>9.7818299049155595</v>
      </c>
    </row>
    <row r="53" spans="3:33" s="8" customFormat="1">
      <c r="C53" s="44">
        <f>'Spinel-- no zeroes'!C53</f>
        <v>0</v>
      </c>
      <c r="D53" s="44"/>
      <c r="E53" s="51">
        <v>40.382300000000001</v>
      </c>
      <c r="F53" s="51">
        <v>0</v>
      </c>
      <c r="G53" s="51">
        <v>5.8463333333333345E-3</v>
      </c>
      <c r="H53" s="51">
        <v>3.0960000000000002E-3</v>
      </c>
      <c r="I53" s="51">
        <v>9.12866</v>
      </c>
      <c r="J53" s="51">
        <v>0.12850600000000001</v>
      </c>
      <c r="K53" s="51">
        <v>50.097166666666659</v>
      </c>
      <c r="L53" s="56">
        <v>3.9156999999999997E-2</v>
      </c>
      <c r="M53" s="56"/>
      <c r="N53" s="56">
        <v>0.39530833333333332</v>
      </c>
      <c r="O53" s="9">
        <f t="shared" si="28"/>
        <v>100.18004033333334</v>
      </c>
      <c r="Q53" s="24">
        <f t="shared" si="29"/>
        <v>0.67203028790148112</v>
      </c>
      <c r="R53" s="8">
        <f t="shared" si="30"/>
        <v>0</v>
      </c>
      <c r="S53" s="8">
        <f t="shared" si="31"/>
        <v>1.1467895906891595E-4</v>
      </c>
      <c r="T53" s="8">
        <f t="shared" si="32"/>
        <v>4.0739522336995858E-5</v>
      </c>
      <c r="U53" s="8">
        <f t="shared" si="33"/>
        <v>0.12705163535142661</v>
      </c>
      <c r="V53" s="8">
        <f t="shared" si="34"/>
        <v>1.8117298745241788E-3</v>
      </c>
      <c r="W53" s="8">
        <f t="shared" si="35"/>
        <v>1.2427974861490116</v>
      </c>
      <c r="X53" s="8">
        <f t="shared" si="36"/>
        <v>6.9823466476462198E-4</v>
      </c>
      <c r="Y53" s="8">
        <f t="shared" si="37"/>
        <v>0</v>
      </c>
      <c r="Z53" s="8">
        <f t="shared" si="38"/>
        <v>5.2926540813138748E-3</v>
      </c>
      <c r="AA53" s="8">
        <f t="shared" si="39"/>
        <v>2.0498374465039282</v>
      </c>
      <c r="AC53" s="9">
        <f t="shared" si="40"/>
        <v>0.90725136560129849</v>
      </c>
      <c r="AD53" s="9"/>
      <c r="AE53" s="9"/>
      <c r="AG53" s="8">
        <f t="shared" si="41"/>
        <v>9.7818299049155595</v>
      </c>
    </row>
    <row r="54" spans="3:33" s="8" customFormat="1">
      <c r="C54" s="44">
        <f>'Spinel-- no zeroes'!C54</f>
        <v>0</v>
      </c>
      <c r="D54" s="44"/>
      <c r="E54" s="51">
        <v>40.382300000000001</v>
      </c>
      <c r="F54" s="51">
        <v>0</v>
      </c>
      <c r="G54" s="51">
        <v>5.8463333333333345E-3</v>
      </c>
      <c r="H54" s="51">
        <v>3.0960000000000002E-3</v>
      </c>
      <c r="I54" s="51">
        <v>9.12866</v>
      </c>
      <c r="J54" s="51">
        <v>0.12850600000000001</v>
      </c>
      <c r="K54" s="51">
        <v>50.097166666666659</v>
      </c>
      <c r="L54" s="56">
        <v>3.9156999999999997E-2</v>
      </c>
      <c r="M54" s="56"/>
      <c r="N54" s="56">
        <v>0.39530833333333332</v>
      </c>
      <c r="O54" s="9">
        <f t="shared" si="28"/>
        <v>100.18004033333334</v>
      </c>
      <c r="Q54" s="24">
        <f t="shared" si="29"/>
        <v>0.67203028790148112</v>
      </c>
      <c r="R54" s="8">
        <f t="shared" si="30"/>
        <v>0</v>
      </c>
      <c r="S54" s="8">
        <f t="shared" si="31"/>
        <v>1.1467895906891595E-4</v>
      </c>
      <c r="T54" s="8">
        <f t="shared" si="32"/>
        <v>4.0739522336995858E-5</v>
      </c>
      <c r="U54" s="8">
        <f t="shared" si="33"/>
        <v>0.12705163535142661</v>
      </c>
      <c r="V54" s="8">
        <f t="shared" si="34"/>
        <v>1.8117298745241788E-3</v>
      </c>
      <c r="W54" s="8">
        <f t="shared" si="35"/>
        <v>1.2427974861490116</v>
      </c>
      <c r="X54" s="8">
        <f t="shared" si="36"/>
        <v>6.9823466476462198E-4</v>
      </c>
      <c r="Y54" s="8">
        <f t="shared" si="37"/>
        <v>0</v>
      </c>
      <c r="Z54" s="8">
        <f t="shared" si="38"/>
        <v>5.2926540813138748E-3</v>
      </c>
      <c r="AA54" s="8">
        <f t="shared" si="39"/>
        <v>2.0498374465039282</v>
      </c>
      <c r="AC54" s="9">
        <f t="shared" si="40"/>
        <v>0.90725136560129849</v>
      </c>
      <c r="AD54" s="9"/>
      <c r="AE54" s="9"/>
      <c r="AG54" s="8">
        <f t="shared" si="41"/>
        <v>9.7818299049155595</v>
      </c>
    </row>
    <row r="55" spans="3:33" s="8" customFormat="1">
      <c r="C55" s="44">
        <f>'Spinel-- no zeroes'!C55</f>
        <v>0</v>
      </c>
      <c r="D55" s="44"/>
      <c r="E55" s="51">
        <v>40.382300000000001</v>
      </c>
      <c r="F55" s="51">
        <v>0</v>
      </c>
      <c r="G55" s="51">
        <v>5.8463333333333345E-3</v>
      </c>
      <c r="H55" s="51">
        <v>3.0960000000000002E-3</v>
      </c>
      <c r="I55" s="51">
        <v>9.12866</v>
      </c>
      <c r="J55" s="51">
        <v>0.12850600000000001</v>
      </c>
      <c r="K55" s="51">
        <v>50.097166666666659</v>
      </c>
      <c r="L55" s="56">
        <v>3.9156999999999997E-2</v>
      </c>
      <c r="M55" s="56"/>
      <c r="N55" s="56">
        <v>0.39530833333333332</v>
      </c>
      <c r="O55" s="9">
        <f t="shared" si="28"/>
        <v>100.18004033333334</v>
      </c>
      <c r="Q55" s="24">
        <f t="shared" si="29"/>
        <v>0.67203028790148112</v>
      </c>
      <c r="R55" s="8">
        <f t="shared" si="30"/>
        <v>0</v>
      </c>
      <c r="S55" s="8">
        <f t="shared" si="31"/>
        <v>1.1467895906891595E-4</v>
      </c>
      <c r="T55" s="8">
        <f t="shared" si="32"/>
        <v>4.0739522336995858E-5</v>
      </c>
      <c r="U55" s="8">
        <f t="shared" si="33"/>
        <v>0.12705163535142661</v>
      </c>
      <c r="V55" s="8">
        <f t="shared" si="34"/>
        <v>1.8117298745241788E-3</v>
      </c>
      <c r="W55" s="8">
        <f t="shared" si="35"/>
        <v>1.2427974861490116</v>
      </c>
      <c r="X55" s="8">
        <f t="shared" si="36"/>
        <v>6.9823466476462198E-4</v>
      </c>
      <c r="Y55" s="8">
        <f t="shared" si="37"/>
        <v>0</v>
      </c>
      <c r="Z55" s="8">
        <f t="shared" si="38"/>
        <v>5.2926540813138748E-3</v>
      </c>
      <c r="AA55" s="8">
        <f t="shared" si="39"/>
        <v>2.0498374465039282</v>
      </c>
      <c r="AC55" s="9">
        <f t="shared" si="40"/>
        <v>0.90725136560129849</v>
      </c>
      <c r="AD55" s="9"/>
      <c r="AE55" s="9"/>
      <c r="AG55" s="8">
        <f t="shared" si="41"/>
        <v>9.7818299049155595</v>
      </c>
    </row>
    <row r="56" spans="3:33" s="8" customFormat="1">
      <c r="C56" s="44">
        <f>'Spinel-- no zeroes'!C56</f>
        <v>0</v>
      </c>
      <c r="D56" s="44"/>
      <c r="E56" s="51">
        <v>40.382300000000001</v>
      </c>
      <c r="F56" s="51">
        <v>0</v>
      </c>
      <c r="G56" s="51">
        <v>5.8463333333333345E-3</v>
      </c>
      <c r="H56" s="51">
        <v>3.0960000000000002E-3</v>
      </c>
      <c r="I56" s="51">
        <v>9.12866</v>
      </c>
      <c r="J56" s="51">
        <v>0.12850600000000001</v>
      </c>
      <c r="K56" s="51">
        <v>50.097166666666659</v>
      </c>
      <c r="L56" s="56">
        <v>3.9156999999999997E-2</v>
      </c>
      <c r="M56" s="56"/>
      <c r="N56" s="56">
        <v>0.39530833333333332</v>
      </c>
      <c r="O56" s="9">
        <f t="shared" si="28"/>
        <v>100.18004033333334</v>
      </c>
      <c r="Q56" s="24">
        <f t="shared" si="29"/>
        <v>0.67203028790148112</v>
      </c>
      <c r="R56" s="8">
        <f t="shared" si="30"/>
        <v>0</v>
      </c>
      <c r="S56" s="8">
        <f t="shared" si="31"/>
        <v>1.1467895906891595E-4</v>
      </c>
      <c r="T56" s="8">
        <f t="shared" si="32"/>
        <v>4.0739522336995858E-5</v>
      </c>
      <c r="U56" s="8">
        <f t="shared" si="33"/>
        <v>0.12705163535142661</v>
      </c>
      <c r="V56" s="8">
        <f t="shared" si="34"/>
        <v>1.8117298745241788E-3</v>
      </c>
      <c r="W56" s="8">
        <f t="shared" si="35"/>
        <v>1.2427974861490116</v>
      </c>
      <c r="X56" s="8">
        <f t="shared" si="36"/>
        <v>6.9823466476462198E-4</v>
      </c>
      <c r="Y56" s="8">
        <f t="shared" si="37"/>
        <v>0</v>
      </c>
      <c r="Z56" s="8">
        <f t="shared" si="38"/>
        <v>5.2926540813138748E-3</v>
      </c>
      <c r="AA56" s="8">
        <f t="shared" si="39"/>
        <v>2.0498374465039282</v>
      </c>
      <c r="AC56" s="9">
        <f t="shared" si="40"/>
        <v>0.90725136560129849</v>
      </c>
      <c r="AD56" s="9"/>
      <c r="AE56" s="9"/>
      <c r="AG56" s="8">
        <f t="shared" si="41"/>
        <v>9.7818299049155595</v>
      </c>
    </row>
    <row r="57" spans="3:33" s="8" customFormat="1">
      <c r="C57" s="44">
        <f>'Spinel-- no zeroes'!C57</f>
        <v>0</v>
      </c>
      <c r="D57" s="44"/>
      <c r="E57" s="51">
        <v>40.382300000000001</v>
      </c>
      <c r="F57" s="51">
        <v>0</v>
      </c>
      <c r="G57" s="51">
        <v>5.8463333333333345E-3</v>
      </c>
      <c r="H57" s="51">
        <v>3.0960000000000002E-3</v>
      </c>
      <c r="I57" s="51">
        <v>9.12866</v>
      </c>
      <c r="J57" s="51">
        <v>0.12850600000000001</v>
      </c>
      <c r="K57" s="51">
        <v>50.097166666666659</v>
      </c>
      <c r="L57" s="56">
        <v>3.9156999999999997E-2</v>
      </c>
      <c r="M57" s="56"/>
      <c r="N57" s="56">
        <v>0.39530833333333332</v>
      </c>
      <c r="O57" s="9">
        <f t="shared" si="28"/>
        <v>100.18004033333334</v>
      </c>
      <c r="Q57" s="24">
        <f t="shared" si="29"/>
        <v>0.67203028790148112</v>
      </c>
      <c r="R57" s="8">
        <f t="shared" si="30"/>
        <v>0</v>
      </c>
      <c r="S57" s="8">
        <f t="shared" si="31"/>
        <v>1.1467895906891595E-4</v>
      </c>
      <c r="T57" s="8">
        <f t="shared" si="32"/>
        <v>4.0739522336995858E-5</v>
      </c>
      <c r="U57" s="8">
        <f t="shared" si="33"/>
        <v>0.12705163535142661</v>
      </c>
      <c r="V57" s="8">
        <f t="shared" si="34"/>
        <v>1.8117298745241788E-3</v>
      </c>
      <c r="W57" s="8">
        <f t="shared" si="35"/>
        <v>1.2427974861490116</v>
      </c>
      <c r="X57" s="8">
        <f t="shared" si="36"/>
        <v>6.9823466476462198E-4</v>
      </c>
      <c r="Y57" s="8">
        <f t="shared" si="37"/>
        <v>0</v>
      </c>
      <c r="Z57" s="8">
        <f t="shared" si="38"/>
        <v>5.2926540813138748E-3</v>
      </c>
      <c r="AA57" s="8">
        <f t="shared" si="39"/>
        <v>2.0498374465039282</v>
      </c>
      <c r="AC57" s="9">
        <f t="shared" si="40"/>
        <v>0.90725136560129849</v>
      </c>
      <c r="AD57" s="9"/>
      <c r="AE57" s="9"/>
      <c r="AG57" s="8">
        <f t="shared" si="41"/>
        <v>9.7818299049155595</v>
      </c>
    </row>
    <row r="58" spans="3:33" s="8" customFormat="1">
      <c r="C58" s="44">
        <f>'Spinel-- no zeroes'!C58</f>
        <v>0</v>
      </c>
      <c r="D58" s="44"/>
      <c r="E58" s="51">
        <v>40.382300000000001</v>
      </c>
      <c r="F58" s="51">
        <v>0</v>
      </c>
      <c r="G58" s="51">
        <v>5.8463333333333345E-3</v>
      </c>
      <c r="H58" s="51">
        <v>3.0960000000000002E-3</v>
      </c>
      <c r="I58" s="51">
        <v>9.12866</v>
      </c>
      <c r="J58" s="51">
        <v>0.12850600000000001</v>
      </c>
      <c r="K58" s="51">
        <v>50.097166666666659</v>
      </c>
      <c r="L58" s="56">
        <v>3.9156999999999997E-2</v>
      </c>
      <c r="M58" s="56"/>
      <c r="N58" s="56">
        <v>0.39530833333333332</v>
      </c>
      <c r="O58" s="9">
        <f t="shared" si="28"/>
        <v>100.18004033333334</v>
      </c>
      <c r="Q58" s="24">
        <f t="shared" si="29"/>
        <v>0.67203028790148112</v>
      </c>
      <c r="R58" s="8">
        <f t="shared" si="30"/>
        <v>0</v>
      </c>
      <c r="S58" s="8">
        <f t="shared" si="31"/>
        <v>1.1467895906891595E-4</v>
      </c>
      <c r="T58" s="8">
        <f t="shared" si="32"/>
        <v>4.0739522336995858E-5</v>
      </c>
      <c r="U58" s="8">
        <f t="shared" si="33"/>
        <v>0.12705163535142661</v>
      </c>
      <c r="V58" s="8">
        <f t="shared" si="34"/>
        <v>1.8117298745241788E-3</v>
      </c>
      <c r="W58" s="8">
        <f t="shared" si="35"/>
        <v>1.2427974861490116</v>
      </c>
      <c r="X58" s="8">
        <f t="shared" si="36"/>
        <v>6.9823466476462198E-4</v>
      </c>
      <c r="Y58" s="8">
        <f t="shared" si="37"/>
        <v>0</v>
      </c>
      <c r="Z58" s="8">
        <f t="shared" si="38"/>
        <v>5.2926540813138748E-3</v>
      </c>
      <c r="AA58" s="8">
        <f t="shared" si="39"/>
        <v>2.0498374465039282</v>
      </c>
      <c r="AC58" s="9">
        <f t="shared" si="40"/>
        <v>0.90725136560129849</v>
      </c>
      <c r="AD58" s="9"/>
      <c r="AE58" s="9"/>
      <c r="AG58" s="8">
        <f t="shared" si="41"/>
        <v>9.7818299049155595</v>
      </c>
    </row>
    <row r="59" spans="3:33" s="8" customFormat="1">
      <c r="C59" s="44">
        <f>'Spinel-- no zeroes'!C59</f>
        <v>0</v>
      </c>
      <c r="D59" s="44"/>
      <c r="E59" s="51">
        <v>40.382300000000001</v>
      </c>
      <c r="F59" s="51">
        <v>0</v>
      </c>
      <c r="G59" s="51">
        <v>5.8463333333333301E-3</v>
      </c>
      <c r="H59" s="51">
        <v>3.0959999999999998E-3</v>
      </c>
      <c r="I59" s="51">
        <v>9.12866</v>
      </c>
      <c r="J59" s="51">
        <v>0.12850600000000001</v>
      </c>
      <c r="K59" s="51">
        <v>50.097166666666702</v>
      </c>
      <c r="L59" s="56">
        <v>3.9156999999999997E-2</v>
      </c>
      <c r="M59" s="56"/>
      <c r="N59" s="56">
        <v>0.39530833333333298</v>
      </c>
      <c r="O59" s="9">
        <f t="shared" ref="O59" si="42">SUM(E59:N59)</f>
        <v>100.18004033333337</v>
      </c>
      <c r="Q59" s="24">
        <f t="shared" ref="Q59" si="43">E59/$Q$2</f>
        <v>0.67203028790148112</v>
      </c>
      <c r="R59" s="8">
        <f t="shared" ref="R59" si="44">F59/$R$2</f>
        <v>0</v>
      </c>
      <c r="S59" s="8">
        <f t="shared" ref="S59" si="45">2*G59/$S$2</f>
        <v>1.1467895906891585E-4</v>
      </c>
      <c r="T59" s="8">
        <f t="shared" ref="T59" si="46">2*H59/$T$2</f>
        <v>4.0739522336995851E-5</v>
      </c>
      <c r="U59" s="8">
        <f t="shared" ref="U59" si="47">I59/$U$2</f>
        <v>0.12705163535142661</v>
      </c>
      <c r="V59" s="8">
        <f t="shared" ref="V59" si="48">J59/$V$2</f>
        <v>1.8117298745241788E-3</v>
      </c>
      <c r="W59" s="8">
        <f t="shared" ref="W59" si="49">K59/$W$2</f>
        <v>1.2427974861490125</v>
      </c>
      <c r="X59" s="8">
        <f t="shared" ref="X59" si="50">L59/$X$2</f>
        <v>6.9823466476462198E-4</v>
      </c>
      <c r="Y59" s="8">
        <f t="shared" ref="Y59" si="51">2*M59/$Y$2</f>
        <v>0</v>
      </c>
      <c r="Z59" s="8">
        <f t="shared" ref="Z59" si="52">N59/$Z$2</f>
        <v>5.2926540813138705E-3</v>
      </c>
      <c r="AA59" s="8">
        <f t="shared" ref="AA59" si="53">SUM(Q59:Z59)</f>
        <v>2.0498374465039291</v>
      </c>
      <c r="AC59" s="9">
        <f t="shared" ref="AC59" si="54">W59/(W59+U59)</f>
        <v>0.90725136560129849</v>
      </c>
      <c r="AD59" s="9"/>
      <c r="AE59" s="9"/>
      <c r="AG59" s="8">
        <f t="shared" ref="AG59" si="55">W59/U59</f>
        <v>9.7818299049155666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9"/>
  <sheetViews>
    <sheetView workbookViewId="0">
      <pane xSplit="3" ySplit="3" topLeftCell="D30" activePane="bottomRight" state="frozen"/>
      <selection pane="topRight" activeCell="D1" sqref="D1"/>
      <selection pane="bottomLeft" activeCell="A3" sqref="A3"/>
      <selection pane="bottomRight" activeCell="A55" sqref="A55:XFD59"/>
    </sheetView>
  </sheetViews>
  <sheetFormatPr baseColWidth="10" defaultRowHeight="14" x14ac:dyDescent="0"/>
  <cols>
    <col min="1" max="2" width="10.83203125" style="8"/>
    <col min="4" max="4" width="10.83203125" style="8"/>
    <col min="61" max="61" width="16" style="4" customWidth="1"/>
    <col min="62" max="63" width="10.83203125" style="4"/>
  </cols>
  <sheetData>
    <row r="1" spans="1:65" s="8" customFormat="1">
      <c r="A1" s="55"/>
      <c r="BI1" s="4"/>
      <c r="BJ1" s="4"/>
      <c r="BK1" s="4"/>
    </row>
    <row r="2" spans="1:65" s="8" customFormat="1">
      <c r="S2" s="31">
        <v>60.09</v>
      </c>
      <c r="T2" s="31">
        <v>79.88</v>
      </c>
      <c r="U2" s="31">
        <v>101.96</v>
      </c>
      <c r="V2" s="31">
        <v>151.99</v>
      </c>
      <c r="W2" s="32">
        <v>71.849999999999994</v>
      </c>
      <c r="X2" s="32">
        <v>70.930000000000007</v>
      </c>
      <c r="Y2" s="31">
        <v>40.31</v>
      </c>
      <c r="Z2" s="32">
        <v>56.08</v>
      </c>
      <c r="AA2" s="32">
        <v>61.98</v>
      </c>
      <c r="AB2" s="32">
        <v>74.69</v>
      </c>
      <c r="BI2" s="4"/>
      <c r="BJ2" s="4"/>
      <c r="BK2" s="4"/>
    </row>
    <row r="3" spans="1:65" s="27" customFormat="1" ht="15" thickBot="1">
      <c r="A3" s="27" t="s">
        <v>30</v>
      </c>
      <c r="C3" s="27" t="s">
        <v>10</v>
      </c>
      <c r="E3" s="53" t="s">
        <v>0</v>
      </c>
      <c r="F3" s="53" t="s">
        <v>5</v>
      </c>
      <c r="G3" s="53" t="s">
        <v>9</v>
      </c>
      <c r="H3" s="53" t="s">
        <v>8</v>
      </c>
      <c r="I3" s="53" t="s">
        <v>38</v>
      </c>
      <c r="J3" s="53" t="s">
        <v>4</v>
      </c>
      <c r="K3" s="53" t="s">
        <v>3</v>
      </c>
      <c r="L3" s="53" t="s">
        <v>2</v>
      </c>
      <c r="M3" s="53" t="s">
        <v>1</v>
      </c>
      <c r="N3" s="53" t="s">
        <v>11</v>
      </c>
      <c r="O3" s="20" t="s">
        <v>7</v>
      </c>
      <c r="Q3" s="27" t="s">
        <v>39</v>
      </c>
      <c r="R3" s="27" t="s">
        <v>40</v>
      </c>
      <c r="S3" s="27" t="s">
        <v>12</v>
      </c>
      <c r="T3" s="27" t="s">
        <v>16</v>
      </c>
      <c r="U3" s="27" t="s">
        <v>13</v>
      </c>
      <c r="V3" s="27" t="s">
        <v>17</v>
      </c>
      <c r="W3" s="27" t="s">
        <v>21</v>
      </c>
      <c r="X3" s="27" t="s">
        <v>18</v>
      </c>
      <c r="Y3" s="27" t="s">
        <v>14</v>
      </c>
      <c r="Z3" s="27" t="s">
        <v>19</v>
      </c>
      <c r="AA3" s="27" t="s">
        <v>20</v>
      </c>
      <c r="AB3" s="27" t="s">
        <v>15</v>
      </c>
      <c r="AC3" s="27" t="s">
        <v>41</v>
      </c>
      <c r="AE3" s="27" t="s">
        <v>28</v>
      </c>
      <c r="AF3" s="27" t="s">
        <v>23</v>
      </c>
      <c r="AH3" s="27" t="s">
        <v>42</v>
      </c>
      <c r="AI3" s="27" t="s">
        <v>43</v>
      </c>
      <c r="AJ3" s="27" t="s">
        <v>44</v>
      </c>
      <c r="AK3" s="27" t="s">
        <v>45</v>
      </c>
      <c r="AL3" s="27" t="s">
        <v>46</v>
      </c>
      <c r="AM3" s="27" t="s">
        <v>47</v>
      </c>
      <c r="AN3" s="27" t="s">
        <v>48</v>
      </c>
      <c r="AO3" s="27" t="s">
        <v>49</v>
      </c>
      <c r="AQ3" s="27" t="s">
        <v>50</v>
      </c>
      <c r="AS3" s="27" t="s">
        <v>51</v>
      </c>
      <c r="AU3" s="27" t="s">
        <v>52</v>
      </c>
      <c r="AV3" s="27" t="s">
        <v>17</v>
      </c>
      <c r="AW3" s="27" t="s">
        <v>16</v>
      </c>
      <c r="AX3" s="27" t="s">
        <v>14</v>
      </c>
      <c r="AY3" s="27" t="s">
        <v>21</v>
      </c>
      <c r="BB3" s="27" t="s">
        <v>19</v>
      </c>
      <c r="BC3" s="27" t="s">
        <v>20</v>
      </c>
      <c r="BD3" s="27" t="s">
        <v>18</v>
      </c>
      <c r="BE3" s="27" t="s">
        <v>14</v>
      </c>
      <c r="BF3" s="27" t="s">
        <v>21</v>
      </c>
      <c r="BI3" s="20" t="s">
        <v>53</v>
      </c>
      <c r="BJ3" s="20" t="s">
        <v>96</v>
      </c>
      <c r="BK3" s="20" t="s">
        <v>97</v>
      </c>
      <c r="BM3" s="27" t="s">
        <v>60</v>
      </c>
    </row>
    <row r="4" spans="1:65">
      <c r="A4" s="44"/>
      <c r="B4" s="44"/>
      <c r="C4" s="44">
        <f>'Spinel-- no zeroes'!C4</f>
        <v>0</v>
      </c>
      <c r="D4" s="44"/>
      <c r="E4" s="44">
        <v>53.912050000000001</v>
      </c>
      <c r="F4" s="44">
        <v>0.10924383333333332</v>
      </c>
      <c r="G4" s="44">
        <v>5.2310049999999997</v>
      </c>
      <c r="H4" s="44">
        <v>0.77429516666666665</v>
      </c>
      <c r="I4" s="44">
        <v>5.8162050000000001</v>
      </c>
      <c r="J4" s="44">
        <v>0.12420749999999998</v>
      </c>
      <c r="K4" s="44">
        <v>32.685316666666665</v>
      </c>
      <c r="L4" s="44">
        <v>1.9812816666666668</v>
      </c>
      <c r="M4" s="44">
        <v>8.1339666666666671E-2</v>
      </c>
      <c r="N4" s="44">
        <v>0.12232233333333332</v>
      </c>
      <c r="O4" s="9">
        <f>SUM(E4:N4)</f>
        <v>100.83726683333332</v>
      </c>
      <c r="Q4">
        <f>E4/S$2*2+F4/T$2*2+G4/U$2*3+H4/V$2*3+I4/W$2+J4/X$2+K4/Y$2+L4/Z$2+M4/AA$2+N4/AB$2</f>
        <v>2.8981374416886019</v>
      </c>
      <c r="R4">
        <v>6</v>
      </c>
      <c r="S4">
        <f>E4/S$2*$R4/$Q4</f>
        <v>1.8574447944079215</v>
      </c>
      <c r="T4">
        <f>F4/T$2*$R4/$Q4</f>
        <v>2.8313342824278771E-3</v>
      </c>
      <c r="U4">
        <f>G4/U$2*$R4/$Q4*2</f>
        <v>0.2124308450463416</v>
      </c>
      <c r="V4">
        <f>H4/V$2*$R4/$Q4*2</f>
        <v>2.1093750348369439E-2</v>
      </c>
      <c r="W4">
        <f>I4/W$2*$R4/$Q4</f>
        <v>0.16758888273545697</v>
      </c>
      <c r="X4">
        <f>J4/X$2*$R4/$Q4</f>
        <v>3.625351608300755E-3</v>
      </c>
      <c r="Y4">
        <f>K4/Y$2*$R4/$Q4</f>
        <v>1.6786964479470667</v>
      </c>
      <c r="Z4">
        <f>L4/Z$2*$R4/$Q4</f>
        <v>7.3142615919831983E-2</v>
      </c>
      <c r="AA4">
        <f>M4/AA$2*$R4/$Q4*2</f>
        <v>5.4339180542823263E-3</v>
      </c>
      <c r="AB4">
        <f>N4/AB$2*$R4/$Q4</f>
        <v>3.3905922894362475E-3</v>
      </c>
      <c r="AC4">
        <f>SUM(S4:AB4)</f>
        <v>4.0256785326394358</v>
      </c>
      <c r="AE4">
        <f>Y4/(Y4+W4)</f>
        <v>0.90922915328937604</v>
      </c>
      <c r="AF4">
        <f>V4/(V4+U4)</f>
        <v>9.0327746046261551E-2</v>
      </c>
      <c r="AH4">
        <f>IF(AC4&gt;4,0,2*(4-AC4))</f>
        <v>0</v>
      </c>
      <c r="AI4">
        <f>AA4</f>
        <v>5.4339180542823263E-3</v>
      </c>
      <c r="AK4">
        <f>T4*2</f>
        <v>5.6626685648557542E-3</v>
      </c>
      <c r="AL4">
        <f>(U4+V4-AH4-AI4-AJ4-AK4)/2</f>
        <v>0.11121400438778647</v>
      </c>
      <c r="AM4">
        <f>Z4-AL4-AH4/2-AK4</f>
        <v>-4.3734057032810247E-2</v>
      </c>
      <c r="AN4">
        <f>(W4+X4+AB4+Y4-AM4-AK4/2)/2</f>
        <v>0.94710199866532152</v>
      </c>
      <c r="AO4">
        <f>SUM(AH4:AN4)</f>
        <v>1.0256785326394358</v>
      </c>
      <c r="AQ4">
        <f>W4/X4</f>
        <v>46.226932127559301</v>
      </c>
      <c r="AS4">
        <f>2-S4</f>
        <v>0.14255520559207846</v>
      </c>
      <c r="AU4">
        <f>U4-AS4</f>
        <v>6.9875639454263144E-2</v>
      </c>
      <c r="AV4">
        <f>V4</f>
        <v>2.1093750348369439E-2</v>
      </c>
      <c r="AW4">
        <f>T4</f>
        <v>2.8313342824278771E-3</v>
      </c>
      <c r="AX4">
        <f>(1-AU4-AV4-AW4)*Y4/(Y4+W4)</f>
        <v>0.82394280035158607</v>
      </c>
      <c r="AY4">
        <f>(1-AU4-AV4-AW4)*W4/(Y4+W4)</f>
        <v>8.2256475563353373E-2</v>
      </c>
      <c r="AZ4">
        <f>SUM(AU4:AY4)</f>
        <v>0.99999999999999989</v>
      </c>
      <c r="BB4">
        <f>Z4</f>
        <v>7.3142615919831983E-2</v>
      </c>
      <c r="BC4">
        <f>AA4</f>
        <v>5.4339180542823263E-3</v>
      </c>
      <c r="BD4">
        <f>X4</f>
        <v>3.625351608300755E-3</v>
      </c>
      <c r="BE4">
        <f>(1-BB4-BC4-BD4)*Y4/(Y4+W4)</f>
        <v>0.83448880246248658</v>
      </c>
      <c r="BF4">
        <f>(1-BB4-BC4-BD4)*W4/(Y4+W4)</f>
        <v>8.3309311955098289E-2</v>
      </c>
      <c r="BG4">
        <f>SUM(BB4:BF4)</f>
        <v>0.99999999999999989</v>
      </c>
      <c r="BI4" s="21">
        <f>AY4*BF4</f>
        <v>6.8527303830343252E-3</v>
      </c>
      <c r="BJ4" s="21"/>
      <c r="BK4" s="21"/>
      <c r="BM4">
        <f>Y4/W4</f>
        <v>10.016753024106789</v>
      </c>
    </row>
    <row r="5" spans="1:65" s="8" customFormat="1">
      <c r="A5" s="44"/>
      <c r="B5" s="44"/>
      <c r="C5" s="44">
        <f>'Spinel-- no zeroes'!C5</f>
        <v>0</v>
      </c>
      <c r="D5" s="44"/>
      <c r="E5" s="44">
        <v>53.912050000000001</v>
      </c>
      <c r="F5" s="44">
        <v>0.10924383333333332</v>
      </c>
      <c r="G5" s="44">
        <v>5.2310049999999997</v>
      </c>
      <c r="H5" s="44">
        <v>0.77429516666666665</v>
      </c>
      <c r="I5" s="44">
        <v>5.8162050000000001</v>
      </c>
      <c r="J5" s="44">
        <v>0.12420749999999998</v>
      </c>
      <c r="K5" s="44">
        <v>32.685316666666665</v>
      </c>
      <c r="L5" s="44">
        <v>1.9812816666666668</v>
      </c>
      <c r="M5" s="44">
        <v>8.1339666666666671E-2</v>
      </c>
      <c r="N5" s="44">
        <v>0.12232233333333332</v>
      </c>
      <c r="O5" s="9">
        <f t="shared" ref="O5:O8" si="0">SUM(E5:N5)</f>
        <v>100.83726683333332</v>
      </c>
      <c r="Q5" s="8">
        <f t="shared" ref="Q5:Q8" si="1">E5/S$2*2+F5/T$2*2+G5/U$2*3+H5/V$2*3+I5/W$2+J5/X$2+K5/Y$2+L5/Z$2+M5/AA$2+N5/AB$2</f>
        <v>2.8981374416886019</v>
      </c>
      <c r="R5" s="8">
        <v>6</v>
      </c>
      <c r="S5" s="8">
        <f t="shared" ref="S5:S8" si="2">E5/S$2*$R5/$Q5</f>
        <v>1.8574447944079215</v>
      </c>
      <c r="T5" s="8">
        <f t="shared" ref="T5:T8" si="3">F5/T$2*$R5/$Q5</f>
        <v>2.8313342824278771E-3</v>
      </c>
      <c r="U5" s="8">
        <f t="shared" ref="U5:U8" si="4">G5/U$2*$R5/$Q5*2</f>
        <v>0.2124308450463416</v>
      </c>
      <c r="V5" s="8">
        <f t="shared" ref="V5:V8" si="5">H5/V$2*$R5/$Q5*2</f>
        <v>2.1093750348369439E-2</v>
      </c>
      <c r="W5" s="8">
        <f t="shared" ref="W5:W8" si="6">I5/W$2*$R5/$Q5</f>
        <v>0.16758888273545697</v>
      </c>
      <c r="X5" s="8">
        <f t="shared" ref="X5:X8" si="7">J5/X$2*$R5/$Q5</f>
        <v>3.625351608300755E-3</v>
      </c>
      <c r="Y5" s="8">
        <f t="shared" ref="Y5:Y8" si="8">K5/Y$2*$R5/$Q5</f>
        <v>1.6786964479470667</v>
      </c>
      <c r="Z5" s="8">
        <f t="shared" ref="Z5:Z8" si="9">L5/Z$2*$R5/$Q5</f>
        <v>7.3142615919831983E-2</v>
      </c>
      <c r="AA5" s="8">
        <f t="shared" ref="AA5:AA8" si="10">M5/AA$2*$R5/$Q5*2</f>
        <v>5.4339180542823263E-3</v>
      </c>
      <c r="AB5" s="8">
        <f t="shared" ref="AB5:AB8" si="11">N5/AB$2*$R5/$Q5</f>
        <v>3.3905922894362475E-3</v>
      </c>
      <c r="AC5" s="8">
        <f t="shared" ref="AC5:AC8" si="12">SUM(S5:AB5)</f>
        <v>4.0256785326394358</v>
      </c>
      <c r="AE5" s="8">
        <f t="shared" ref="AE5:AE8" si="13">Y5/(Y5+W5)</f>
        <v>0.90922915328937604</v>
      </c>
      <c r="AF5" s="8">
        <f t="shared" ref="AF5:AF8" si="14">V5/(V5+U5)</f>
        <v>9.0327746046261551E-2</v>
      </c>
      <c r="AH5" s="8">
        <f t="shared" ref="AH5:AH8" si="15">IF(AC5&gt;4,0,2*(4-AC5))</f>
        <v>0</v>
      </c>
      <c r="AI5" s="8">
        <f t="shared" ref="AI5:AI8" si="16">AA5</f>
        <v>5.4339180542823263E-3</v>
      </c>
      <c r="AK5" s="8">
        <f t="shared" ref="AK5:AK8" si="17">T5*2</f>
        <v>5.6626685648557542E-3</v>
      </c>
      <c r="AL5" s="8">
        <f t="shared" ref="AL5:AL8" si="18">(U5+V5-AH5-AI5-AJ5-AK5)/2</f>
        <v>0.11121400438778647</v>
      </c>
      <c r="AM5" s="8">
        <f t="shared" ref="AM5:AM8" si="19">Z5-AL5-AH5/2-AK5</f>
        <v>-4.3734057032810247E-2</v>
      </c>
      <c r="AN5" s="8">
        <f t="shared" ref="AN5:AN8" si="20">(W5+X5+AB5+Y5-AM5-AK5/2)/2</f>
        <v>0.94710199866532152</v>
      </c>
      <c r="AO5" s="8">
        <f t="shared" ref="AO5:AO8" si="21">SUM(AH5:AN5)</f>
        <v>1.0256785326394358</v>
      </c>
      <c r="AQ5" s="8">
        <f t="shared" ref="AQ5:AQ8" si="22">W5/X5</f>
        <v>46.226932127559301</v>
      </c>
      <c r="AS5" s="8">
        <f t="shared" ref="AS5:AS8" si="23">2-S5</f>
        <v>0.14255520559207846</v>
      </c>
      <c r="AU5" s="8">
        <f t="shared" ref="AU5:AU8" si="24">U5-AS5</f>
        <v>6.9875639454263144E-2</v>
      </c>
      <c r="AV5" s="8">
        <f t="shared" ref="AV5:AV8" si="25">V5</f>
        <v>2.1093750348369439E-2</v>
      </c>
      <c r="AW5" s="8">
        <f t="shared" ref="AW5:AW8" si="26">T5</f>
        <v>2.8313342824278771E-3</v>
      </c>
      <c r="AX5" s="8">
        <f t="shared" ref="AX5:AX8" si="27">(1-AU5-AV5-AW5)*Y5/(Y5+W5)</f>
        <v>0.82394280035158607</v>
      </c>
      <c r="AY5" s="8">
        <f t="shared" ref="AY5:AY8" si="28">(1-AU5-AV5-AW5)*W5/(Y5+W5)</f>
        <v>8.2256475563353373E-2</v>
      </c>
      <c r="AZ5" s="8">
        <f t="shared" ref="AZ5:AZ8" si="29">SUM(AU5:AY5)</f>
        <v>0.99999999999999989</v>
      </c>
      <c r="BB5" s="8">
        <f t="shared" ref="BB5:BB8" si="30">Z5</f>
        <v>7.3142615919831983E-2</v>
      </c>
      <c r="BC5" s="8">
        <f t="shared" ref="BC5:BC8" si="31">AA5</f>
        <v>5.4339180542823263E-3</v>
      </c>
      <c r="BD5" s="8">
        <f t="shared" ref="BD5:BD8" si="32">X5</f>
        <v>3.625351608300755E-3</v>
      </c>
      <c r="BE5" s="8">
        <f t="shared" ref="BE5:BE8" si="33">(1-BB5-BC5-BD5)*Y5/(Y5+W5)</f>
        <v>0.83448880246248658</v>
      </c>
      <c r="BF5" s="8">
        <f t="shared" ref="BF5:BF8" si="34">(1-BB5-BC5-BD5)*W5/(Y5+W5)</f>
        <v>8.3309311955098289E-2</v>
      </c>
      <c r="BG5" s="8">
        <f t="shared" ref="BG5:BG8" si="35">SUM(BB5:BF5)</f>
        <v>0.99999999999999989</v>
      </c>
      <c r="BI5" s="21">
        <f t="shared" ref="BI5:BI8" si="36">AY5*BF5</f>
        <v>6.8527303830343252E-3</v>
      </c>
      <c r="BJ5" s="21"/>
      <c r="BK5" s="21"/>
      <c r="BM5" s="8">
        <f t="shared" ref="BM5:BM8" si="37">Y5/W5</f>
        <v>10.016753024106789</v>
      </c>
    </row>
    <row r="6" spans="1:65" s="8" customFormat="1">
      <c r="A6" s="44"/>
      <c r="B6" s="44"/>
      <c r="C6" s="44">
        <f>'Spinel-- no zeroes'!C6</f>
        <v>0</v>
      </c>
      <c r="D6" s="44"/>
      <c r="E6" s="44">
        <v>53.912050000000001</v>
      </c>
      <c r="F6" s="44">
        <v>0.10924383333333332</v>
      </c>
      <c r="G6" s="44">
        <v>5.2310049999999997</v>
      </c>
      <c r="H6" s="44">
        <v>0.77429516666666665</v>
      </c>
      <c r="I6" s="44">
        <v>5.8162050000000001</v>
      </c>
      <c r="J6" s="44">
        <v>0.12420749999999998</v>
      </c>
      <c r="K6" s="44">
        <v>32.685316666666665</v>
      </c>
      <c r="L6" s="44">
        <v>1.9812816666666668</v>
      </c>
      <c r="M6" s="44">
        <v>8.1339666666666671E-2</v>
      </c>
      <c r="N6" s="44">
        <v>0.12232233333333332</v>
      </c>
      <c r="O6" s="9">
        <f t="shared" si="0"/>
        <v>100.83726683333332</v>
      </c>
      <c r="Q6" s="8">
        <f t="shared" si="1"/>
        <v>2.8981374416886019</v>
      </c>
      <c r="R6" s="8">
        <v>6</v>
      </c>
      <c r="S6" s="8">
        <f t="shared" si="2"/>
        <v>1.8574447944079215</v>
      </c>
      <c r="T6" s="8">
        <f t="shared" si="3"/>
        <v>2.8313342824278771E-3</v>
      </c>
      <c r="U6" s="8">
        <f t="shared" si="4"/>
        <v>0.2124308450463416</v>
      </c>
      <c r="V6" s="8">
        <f t="shared" si="5"/>
        <v>2.1093750348369439E-2</v>
      </c>
      <c r="W6" s="8">
        <f t="shared" si="6"/>
        <v>0.16758888273545697</v>
      </c>
      <c r="X6" s="8">
        <f t="shared" si="7"/>
        <v>3.625351608300755E-3</v>
      </c>
      <c r="Y6" s="8">
        <f t="shared" si="8"/>
        <v>1.6786964479470667</v>
      </c>
      <c r="Z6" s="8">
        <f t="shared" si="9"/>
        <v>7.3142615919831983E-2</v>
      </c>
      <c r="AA6" s="8">
        <f t="shared" si="10"/>
        <v>5.4339180542823263E-3</v>
      </c>
      <c r="AB6" s="8">
        <f t="shared" si="11"/>
        <v>3.3905922894362475E-3</v>
      </c>
      <c r="AC6" s="8">
        <f t="shared" si="12"/>
        <v>4.0256785326394358</v>
      </c>
      <c r="AE6" s="8">
        <f t="shared" si="13"/>
        <v>0.90922915328937604</v>
      </c>
      <c r="AF6" s="8">
        <f t="shared" si="14"/>
        <v>9.0327746046261551E-2</v>
      </c>
      <c r="AH6" s="8">
        <f t="shared" si="15"/>
        <v>0</v>
      </c>
      <c r="AI6" s="8">
        <f t="shared" si="16"/>
        <v>5.4339180542823263E-3</v>
      </c>
      <c r="AK6" s="8">
        <f t="shared" si="17"/>
        <v>5.6626685648557542E-3</v>
      </c>
      <c r="AL6" s="8">
        <f t="shared" si="18"/>
        <v>0.11121400438778647</v>
      </c>
      <c r="AM6" s="8">
        <f t="shared" si="19"/>
        <v>-4.3734057032810247E-2</v>
      </c>
      <c r="AN6" s="8">
        <f t="shared" si="20"/>
        <v>0.94710199866532152</v>
      </c>
      <c r="AO6" s="8">
        <f t="shared" si="21"/>
        <v>1.0256785326394358</v>
      </c>
      <c r="AQ6" s="8">
        <f t="shared" si="22"/>
        <v>46.226932127559301</v>
      </c>
      <c r="AS6" s="8">
        <f t="shared" si="23"/>
        <v>0.14255520559207846</v>
      </c>
      <c r="AU6" s="8">
        <f t="shared" si="24"/>
        <v>6.9875639454263144E-2</v>
      </c>
      <c r="AV6" s="8">
        <f t="shared" si="25"/>
        <v>2.1093750348369439E-2</v>
      </c>
      <c r="AW6" s="8">
        <f t="shared" si="26"/>
        <v>2.8313342824278771E-3</v>
      </c>
      <c r="AX6" s="8">
        <f t="shared" si="27"/>
        <v>0.82394280035158607</v>
      </c>
      <c r="AY6" s="8">
        <f t="shared" si="28"/>
        <v>8.2256475563353373E-2</v>
      </c>
      <c r="AZ6" s="8">
        <f t="shared" si="29"/>
        <v>0.99999999999999989</v>
      </c>
      <c r="BB6" s="8">
        <f t="shared" si="30"/>
        <v>7.3142615919831983E-2</v>
      </c>
      <c r="BC6" s="8">
        <f t="shared" si="31"/>
        <v>5.4339180542823263E-3</v>
      </c>
      <c r="BD6" s="8">
        <f t="shared" si="32"/>
        <v>3.625351608300755E-3</v>
      </c>
      <c r="BE6" s="8">
        <f t="shared" si="33"/>
        <v>0.83448880246248658</v>
      </c>
      <c r="BF6" s="8">
        <f t="shared" si="34"/>
        <v>8.3309311955098289E-2</v>
      </c>
      <c r="BG6" s="8">
        <f t="shared" si="35"/>
        <v>0.99999999999999989</v>
      </c>
      <c r="BI6" s="21">
        <f t="shared" si="36"/>
        <v>6.8527303830343252E-3</v>
      </c>
      <c r="BJ6" s="21"/>
      <c r="BK6" s="21"/>
      <c r="BM6" s="8">
        <f t="shared" si="37"/>
        <v>10.016753024106789</v>
      </c>
    </row>
    <row r="7" spans="1:65" s="8" customFormat="1">
      <c r="A7" s="44"/>
      <c r="B7" s="44"/>
      <c r="C7" s="44">
        <f>'Spinel-- no zeroes'!C7</f>
        <v>0</v>
      </c>
      <c r="D7" s="44"/>
      <c r="E7" s="44">
        <v>53.912050000000001</v>
      </c>
      <c r="F7" s="44">
        <v>0.10924383333333332</v>
      </c>
      <c r="G7" s="44">
        <v>5.2310049999999997</v>
      </c>
      <c r="H7" s="44">
        <v>0.77429516666666665</v>
      </c>
      <c r="I7" s="44">
        <v>5.8162050000000001</v>
      </c>
      <c r="J7" s="44">
        <v>0.12420749999999998</v>
      </c>
      <c r="K7" s="44">
        <v>32.685316666666665</v>
      </c>
      <c r="L7" s="44">
        <v>1.9812816666666668</v>
      </c>
      <c r="M7" s="44">
        <v>8.1339666666666671E-2</v>
      </c>
      <c r="N7" s="44">
        <v>0.12232233333333332</v>
      </c>
      <c r="O7" s="9">
        <f t="shared" si="0"/>
        <v>100.83726683333332</v>
      </c>
      <c r="Q7" s="8">
        <f t="shared" si="1"/>
        <v>2.8981374416886019</v>
      </c>
      <c r="R7" s="8">
        <v>6</v>
      </c>
      <c r="S7" s="8">
        <f t="shared" si="2"/>
        <v>1.8574447944079215</v>
      </c>
      <c r="T7" s="8">
        <f t="shared" si="3"/>
        <v>2.8313342824278771E-3</v>
      </c>
      <c r="U7" s="8">
        <f t="shared" si="4"/>
        <v>0.2124308450463416</v>
      </c>
      <c r="V7" s="8">
        <f t="shared" si="5"/>
        <v>2.1093750348369439E-2</v>
      </c>
      <c r="W7" s="8">
        <f t="shared" si="6"/>
        <v>0.16758888273545697</v>
      </c>
      <c r="X7" s="8">
        <f t="shared" si="7"/>
        <v>3.625351608300755E-3</v>
      </c>
      <c r="Y7" s="8">
        <f t="shared" si="8"/>
        <v>1.6786964479470667</v>
      </c>
      <c r="Z7" s="8">
        <f t="shared" si="9"/>
        <v>7.3142615919831983E-2</v>
      </c>
      <c r="AA7" s="8">
        <f t="shared" si="10"/>
        <v>5.4339180542823263E-3</v>
      </c>
      <c r="AB7" s="8">
        <f t="shared" si="11"/>
        <v>3.3905922894362475E-3</v>
      </c>
      <c r="AC7" s="8">
        <f t="shared" si="12"/>
        <v>4.0256785326394358</v>
      </c>
      <c r="AE7" s="8">
        <f t="shared" si="13"/>
        <v>0.90922915328937604</v>
      </c>
      <c r="AF7" s="8">
        <f t="shared" si="14"/>
        <v>9.0327746046261551E-2</v>
      </c>
      <c r="AH7" s="8">
        <f t="shared" si="15"/>
        <v>0</v>
      </c>
      <c r="AI7" s="8">
        <f t="shared" si="16"/>
        <v>5.4339180542823263E-3</v>
      </c>
      <c r="AK7" s="8">
        <f t="shared" si="17"/>
        <v>5.6626685648557542E-3</v>
      </c>
      <c r="AL7" s="8">
        <f t="shared" si="18"/>
        <v>0.11121400438778647</v>
      </c>
      <c r="AM7" s="8">
        <f t="shared" si="19"/>
        <v>-4.3734057032810247E-2</v>
      </c>
      <c r="AN7" s="8">
        <f t="shared" si="20"/>
        <v>0.94710199866532152</v>
      </c>
      <c r="AO7" s="8">
        <f t="shared" si="21"/>
        <v>1.0256785326394358</v>
      </c>
      <c r="AQ7" s="8">
        <f t="shared" si="22"/>
        <v>46.226932127559301</v>
      </c>
      <c r="AS7" s="8">
        <f t="shared" si="23"/>
        <v>0.14255520559207846</v>
      </c>
      <c r="AU7" s="8">
        <f t="shared" si="24"/>
        <v>6.9875639454263144E-2</v>
      </c>
      <c r="AV7" s="8">
        <f t="shared" si="25"/>
        <v>2.1093750348369439E-2</v>
      </c>
      <c r="AW7" s="8">
        <f t="shared" si="26"/>
        <v>2.8313342824278771E-3</v>
      </c>
      <c r="AX7" s="8">
        <f t="shared" si="27"/>
        <v>0.82394280035158607</v>
      </c>
      <c r="AY7" s="8">
        <f t="shared" si="28"/>
        <v>8.2256475563353373E-2</v>
      </c>
      <c r="AZ7" s="8">
        <f t="shared" si="29"/>
        <v>0.99999999999999989</v>
      </c>
      <c r="BB7" s="8">
        <f t="shared" si="30"/>
        <v>7.3142615919831983E-2</v>
      </c>
      <c r="BC7" s="8">
        <f t="shared" si="31"/>
        <v>5.4339180542823263E-3</v>
      </c>
      <c r="BD7" s="8">
        <f t="shared" si="32"/>
        <v>3.625351608300755E-3</v>
      </c>
      <c r="BE7" s="8">
        <f t="shared" si="33"/>
        <v>0.83448880246248658</v>
      </c>
      <c r="BF7" s="8">
        <f t="shared" si="34"/>
        <v>8.3309311955098289E-2</v>
      </c>
      <c r="BG7" s="8">
        <f t="shared" si="35"/>
        <v>0.99999999999999989</v>
      </c>
      <c r="BI7" s="21">
        <f t="shared" si="36"/>
        <v>6.8527303830343252E-3</v>
      </c>
      <c r="BJ7" s="21"/>
      <c r="BK7" s="21"/>
      <c r="BM7" s="8">
        <f t="shared" si="37"/>
        <v>10.016753024106789</v>
      </c>
    </row>
    <row r="8" spans="1:65" s="8" customFormat="1">
      <c r="A8" s="44"/>
      <c r="B8" s="44"/>
      <c r="C8" s="44">
        <f>'Spinel-- no zeroes'!C8</f>
        <v>0</v>
      </c>
      <c r="D8" s="44"/>
      <c r="E8" s="44">
        <v>53.912050000000001</v>
      </c>
      <c r="F8" s="44">
        <v>0.10924383333333332</v>
      </c>
      <c r="G8" s="44">
        <v>5.2310049999999997</v>
      </c>
      <c r="H8" s="44">
        <v>0.77429516666666665</v>
      </c>
      <c r="I8" s="44">
        <v>5.8162050000000001</v>
      </c>
      <c r="J8" s="44">
        <v>0.12420749999999998</v>
      </c>
      <c r="K8" s="44">
        <v>32.685316666666665</v>
      </c>
      <c r="L8" s="44">
        <v>1.9812816666666668</v>
      </c>
      <c r="M8" s="44">
        <v>8.1339666666666671E-2</v>
      </c>
      <c r="N8" s="44">
        <v>0.12232233333333332</v>
      </c>
      <c r="O8" s="9">
        <f t="shared" si="0"/>
        <v>100.83726683333332</v>
      </c>
      <c r="Q8" s="8">
        <f t="shared" si="1"/>
        <v>2.8981374416886019</v>
      </c>
      <c r="R8" s="8">
        <v>6</v>
      </c>
      <c r="S8" s="8">
        <f t="shared" si="2"/>
        <v>1.8574447944079215</v>
      </c>
      <c r="T8" s="8">
        <f t="shared" si="3"/>
        <v>2.8313342824278771E-3</v>
      </c>
      <c r="U8" s="8">
        <f t="shared" si="4"/>
        <v>0.2124308450463416</v>
      </c>
      <c r="V8" s="8">
        <f t="shared" si="5"/>
        <v>2.1093750348369439E-2</v>
      </c>
      <c r="W8" s="8">
        <f t="shared" si="6"/>
        <v>0.16758888273545697</v>
      </c>
      <c r="X8" s="8">
        <f t="shared" si="7"/>
        <v>3.625351608300755E-3</v>
      </c>
      <c r="Y8" s="8">
        <f t="shared" si="8"/>
        <v>1.6786964479470667</v>
      </c>
      <c r="Z8" s="8">
        <f t="shared" si="9"/>
        <v>7.3142615919831983E-2</v>
      </c>
      <c r="AA8" s="8">
        <f t="shared" si="10"/>
        <v>5.4339180542823263E-3</v>
      </c>
      <c r="AB8" s="8">
        <f t="shared" si="11"/>
        <v>3.3905922894362475E-3</v>
      </c>
      <c r="AC8" s="8">
        <f t="shared" si="12"/>
        <v>4.0256785326394358</v>
      </c>
      <c r="AE8" s="8">
        <f t="shared" si="13"/>
        <v>0.90922915328937604</v>
      </c>
      <c r="AF8" s="8">
        <f t="shared" si="14"/>
        <v>9.0327746046261551E-2</v>
      </c>
      <c r="AH8" s="8">
        <f t="shared" si="15"/>
        <v>0</v>
      </c>
      <c r="AI8" s="8">
        <f t="shared" si="16"/>
        <v>5.4339180542823263E-3</v>
      </c>
      <c r="AK8" s="8">
        <f t="shared" si="17"/>
        <v>5.6626685648557542E-3</v>
      </c>
      <c r="AL8" s="8">
        <f t="shared" si="18"/>
        <v>0.11121400438778647</v>
      </c>
      <c r="AM8" s="8">
        <f t="shared" si="19"/>
        <v>-4.3734057032810247E-2</v>
      </c>
      <c r="AN8" s="8">
        <f t="shared" si="20"/>
        <v>0.94710199866532152</v>
      </c>
      <c r="AO8" s="8">
        <f t="shared" si="21"/>
        <v>1.0256785326394358</v>
      </c>
      <c r="AQ8" s="8">
        <f t="shared" si="22"/>
        <v>46.226932127559301</v>
      </c>
      <c r="AS8" s="8">
        <f t="shared" si="23"/>
        <v>0.14255520559207846</v>
      </c>
      <c r="AU8" s="8">
        <f t="shared" si="24"/>
        <v>6.9875639454263144E-2</v>
      </c>
      <c r="AV8" s="8">
        <f t="shared" si="25"/>
        <v>2.1093750348369439E-2</v>
      </c>
      <c r="AW8" s="8">
        <f t="shared" si="26"/>
        <v>2.8313342824278771E-3</v>
      </c>
      <c r="AX8" s="8">
        <f t="shared" si="27"/>
        <v>0.82394280035158607</v>
      </c>
      <c r="AY8" s="8">
        <f t="shared" si="28"/>
        <v>8.2256475563353373E-2</v>
      </c>
      <c r="AZ8" s="8">
        <f t="shared" si="29"/>
        <v>0.99999999999999989</v>
      </c>
      <c r="BB8" s="8">
        <f t="shared" si="30"/>
        <v>7.3142615919831983E-2</v>
      </c>
      <c r="BC8" s="8">
        <f t="shared" si="31"/>
        <v>5.4339180542823263E-3</v>
      </c>
      <c r="BD8" s="8">
        <f t="shared" si="32"/>
        <v>3.625351608300755E-3</v>
      </c>
      <c r="BE8" s="8">
        <f t="shared" si="33"/>
        <v>0.83448880246248658</v>
      </c>
      <c r="BF8" s="8">
        <f t="shared" si="34"/>
        <v>8.3309311955098289E-2</v>
      </c>
      <c r="BG8" s="8">
        <f t="shared" si="35"/>
        <v>0.99999999999999989</v>
      </c>
      <c r="BI8" s="21">
        <f t="shared" si="36"/>
        <v>6.8527303830343252E-3</v>
      </c>
      <c r="BJ8" s="21"/>
      <c r="BK8" s="21"/>
      <c r="BM8" s="8">
        <f t="shared" si="37"/>
        <v>10.016753024106789</v>
      </c>
    </row>
    <row r="9" spans="1:65" s="8" customFormat="1">
      <c r="A9" s="44"/>
      <c r="B9" s="44"/>
      <c r="C9" s="44">
        <f>'Spinel-- no zeroes'!C9</f>
        <v>0</v>
      </c>
      <c r="D9" s="44"/>
      <c r="E9" s="44">
        <v>53.912050000000001</v>
      </c>
      <c r="F9" s="44">
        <v>0.10924383333333332</v>
      </c>
      <c r="G9" s="44">
        <v>5.2310049999999997</v>
      </c>
      <c r="H9" s="44">
        <v>0.77429516666666665</v>
      </c>
      <c r="I9" s="44">
        <v>5.8162050000000001</v>
      </c>
      <c r="J9" s="44">
        <v>0.12420749999999998</v>
      </c>
      <c r="K9" s="44">
        <v>32.685316666666665</v>
      </c>
      <c r="L9" s="44">
        <v>1.9812816666666668</v>
      </c>
      <c r="M9" s="44">
        <v>8.1339666666666671E-2</v>
      </c>
      <c r="N9" s="44">
        <v>0.12232233333333332</v>
      </c>
      <c r="O9" s="9">
        <f t="shared" ref="O9:O50" si="38">SUM(E9:N9)</f>
        <v>100.83726683333332</v>
      </c>
      <c r="Q9" s="8">
        <f t="shared" ref="Q9:Q50" si="39">E9/S$2*2+F9/T$2*2+G9/U$2*3+H9/V$2*3+I9/W$2+J9/X$2+K9/Y$2+L9/Z$2+M9/AA$2+N9/AB$2</f>
        <v>2.8981374416886019</v>
      </c>
      <c r="R9" s="8">
        <v>6</v>
      </c>
      <c r="S9" s="8">
        <f t="shared" ref="S9:S50" si="40">E9/S$2*$R9/$Q9</f>
        <v>1.8574447944079215</v>
      </c>
      <c r="T9" s="8">
        <f t="shared" ref="T9:T50" si="41">F9/T$2*$R9/$Q9</f>
        <v>2.8313342824278771E-3</v>
      </c>
      <c r="U9" s="8">
        <f t="shared" ref="U9:U50" si="42">G9/U$2*$R9/$Q9*2</f>
        <v>0.2124308450463416</v>
      </c>
      <c r="V9" s="8">
        <f t="shared" ref="V9:V50" si="43">H9/V$2*$R9/$Q9*2</f>
        <v>2.1093750348369439E-2</v>
      </c>
      <c r="W9" s="8">
        <f t="shared" ref="W9:W50" si="44">I9/W$2*$R9/$Q9</f>
        <v>0.16758888273545697</v>
      </c>
      <c r="X9" s="8">
        <f t="shared" ref="X9:X50" si="45">J9/X$2*$R9/$Q9</f>
        <v>3.625351608300755E-3</v>
      </c>
      <c r="Y9" s="8">
        <f t="shared" ref="Y9:Y50" si="46">K9/Y$2*$R9/$Q9</f>
        <v>1.6786964479470667</v>
      </c>
      <c r="Z9" s="8">
        <f t="shared" ref="Z9:Z50" si="47">L9/Z$2*$R9/$Q9</f>
        <v>7.3142615919831983E-2</v>
      </c>
      <c r="AA9" s="8">
        <f t="shared" ref="AA9:AA50" si="48">M9/AA$2*$R9/$Q9*2</f>
        <v>5.4339180542823263E-3</v>
      </c>
      <c r="AB9" s="8">
        <f t="shared" ref="AB9:AB50" si="49">N9/AB$2*$R9/$Q9</f>
        <v>3.3905922894362475E-3</v>
      </c>
      <c r="AC9" s="8">
        <f t="shared" ref="AC9:AC50" si="50">SUM(S9:AB9)</f>
        <v>4.0256785326394358</v>
      </c>
      <c r="AE9" s="8">
        <f t="shared" ref="AE9:AE50" si="51">Y9/(Y9+W9)</f>
        <v>0.90922915328937604</v>
      </c>
      <c r="AF9" s="8">
        <f t="shared" ref="AF9:AF50" si="52">V9/(V9+U9)</f>
        <v>9.0327746046261551E-2</v>
      </c>
      <c r="AH9" s="8">
        <f t="shared" ref="AH9:AH50" si="53">IF(AC9&gt;4,0,2*(4-AC9))</f>
        <v>0</v>
      </c>
      <c r="AI9" s="8">
        <f t="shared" ref="AI9:AI50" si="54">AA9</f>
        <v>5.4339180542823263E-3</v>
      </c>
      <c r="AK9" s="8">
        <f t="shared" ref="AK9:AK50" si="55">T9*2</f>
        <v>5.6626685648557542E-3</v>
      </c>
      <c r="AL9" s="8">
        <f t="shared" ref="AL9:AL50" si="56">(U9+V9-AH9-AI9-AJ9-AK9)/2</f>
        <v>0.11121400438778647</v>
      </c>
      <c r="AM9" s="8">
        <f t="shared" ref="AM9:AM50" si="57">Z9-AL9-AH9/2-AK9</f>
        <v>-4.3734057032810247E-2</v>
      </c>
      <c r="AN9" s="8">
        <f t="shared" ref="AN9:AN50" si="58">(W9+X9+AB9+Y9-AM9-AK9/2)/2</f>
        <v>0.94710199866532152</v>
      </c>
      <c r="AO9" s="8">
        <f t="shared" ref="AO9:AO50" si="59">SUM(AH9:AN9)</f>
        <v>1.0256785326394358</v>
      </c>
      <c r="AQ9" s="8">
        <f t="shared" ref="AQ9:AQ50" si="60">W9/X9</f>
        <v>46.226932127559301</v>
      </c>
      <c r="AS9" s="8">
        <f t="shared" ref="AS9:AS50" si="61">2-S9</f>
        <v>0.14255520559207846</v>
      </c>
      <c r="AU9" s="8">
        <f t="shared" ref="AU9:AU50" si="62">U9-AS9</f>
        <v>6.9875639454263144E-2</v>
      </c>
      <c r="AV9" s="8">
        <f t="shared" ref="AV9:AV50" si="63">V9</f>
        <v>2.1093750348369439E-2</v>
      </c>
      <c r="AW9" s="8">
        <f t="shared" ref="AW9:AW50" si="64">T9</f>
        <v>2.8313342824278771E-3</v>
      </c>
      <c r="AX9" s="8">
        <f t="shared" ref="AX9:AX50" si="65">(1-AU9-AV9-AW9)*Y9/(Y9+W9)</f>
        <v>0.82394280035158607</v>
      </c>
      <c r="AY9" s="8">
        <f t="shared" ref="AY9:AY50" si="66">(1-AU9-AV9-AW9)*W9/(Y9+W9)</f>
        <v>8.2256475563353373E-2</v>
      </c>
      <c r="AZ9" s="8">
        <f t="shared" ref="AZ9:AZ50" si="67">SUM(AU9:AY9)</f>
        <v>0.99999999999999989</v>
      </c>
      <c r="BB9" s="8">
        <f t="shared" ref="BB9:BB50" si="68">Z9</f>
        <v>7.3142615919831983E-2</v>
      </c>
      <c r="BC9" s="8">
        <f t="shared" ref="BC9:BC50" si="69">AA9</f>
        <v>5.4339180542823263E-3</v>
      </c>
      <c r="BD9" s="8">
        <f t="shared" ref="BD9:BD50" si="70">X9</f>
        <v>3.625351608300755E-3</v>
      </c>
      <c r="BE9" s="8">
        <f t="shared" ref="BE9:BE50" si="71">(1-BB9-BC9-BD9)*Y9/(Y9+W9)</f>
        <v>0.83448880246248658</v>
      </c>
      <c r="BF9" s="8">
        <f t="shared" ref="BF9:BF50" si="72">(1-BB9-BC9-BD9)*W9/(Y9+W9)</f>
        <v>8.3309311955098289E-2</v>
      </c>
      <c r="BG9" s="8">
        <f t="shared" ref="BG9:BG50" si="73">SUM(BB9:BF9)</f>
        <v>0.99999999999999989</v>
      </c>
      <c r="BI9" s="21">
        <f t="shared" ref="BI9:BI50" si="74">AY9*BF9</f>
        <v>6.8527303830343252E-3</v>
      </c>
      <c r="BJ9" s="21"/>
      <c r="BK9" s="21"/>
      <c r="BM9" s="8">
        <f t="shared" ref="BM9:BM50" si="75">Y9/W9</f>
        <v>10.016753024106789</v>
      </c>
    </row>
    <row r="10" spans="1:65" s="8" customFormat="1">
      <c r="A10" s="44"/>
      <c r="B10" s="44"/>
      <c r="C10" s="44">
        <f>'Spinel-- no zeroes'!C10</f>
        <v>0</v>
      </c>
      <c r="D10" s="44"/>
      <c r="E10" s="44">
        <v>53.912050000000001</v>
      </c>
      <c r="F10" s="44">
        <v>0.10924383333333332</v>
      </c>
      <c r="G10" s="44">
        <v>5.2310049999999997</v>
      </c>
      <c r="H10" s="44">
        <v>0.77429516666666665</v>
      </c>
      <c r="I10" s="44">
        <v>5.8162050000000001</v>
      </c>
      <c r="J10" s="44">
        <v>0.12420749999999998</v>
      </c>
      <c r="K10" s="44">
        <v>32.685316666666665</v>
      </c>
      <c r="L10" s="44">
        <v>1.9812816666666668</v>
      </c>
      <c r="M10" s="44">
        <v>8.1339666666666671E-2</v>
      </c>
      <c r="N10" s="44">
        <v>0.12232233333333332</v>
      </c>
      <c r="O10" s="9">
        <f t="shared" si="38"/>
        <v>100.83726683333332</v>
      </c>
      <c r="Q10" s="8">
        <f t="shared" si="39"/>
        <v>2.8981374416886019</v>
      </c>
      <c r="R10" s="8">
        <v>6</v>
      </c>
      <c r="S10" s="8">
        <f t="shared" si="40"/>
        <v>1.8574447944079215</v>
      </c>
      <c r="T10" s="8">
        <f t="shared" si="41"/>
        <v>2.8313342824278771E-3</v>
      </c>
      <c r="U10" s="8">
        <f t="shared" si="42"/>
        <v>0.2124308450463416</v>
      </c>
      <c r="V10" s="8">
        <f t="shared" si="43"/>
        <v>2.1093750348369439E-2</v>
      </c>
      <c r="W10" s="8">
        <f t="shared" si="44"/>
        <v>0.16758888273545697</v>
      </c>
      <c r="X10" s="8">
        <f t="shared" si="45"/>
        <v>3.625351608300755E-3</v>
      </c>
      <c r="Y10" s="8">
        <f t="shared" si="46"/>
        <v>1.6786964479470667</v>
      </c>
      <c r="Z10" s="8">
        <f t="shared" si="47"/>
        <v>7.3142615919831983E-2</v>
      </c>
      <c r="AA10" s="8">
        <f t="shared" si="48"/>
        <v>5.4339180542823263E-3</v>
      </c>
      <c r="AB10" s="8">
        <f t="shared" si="49"/>
        <v>3.3905922894362475E-3</v>
      </c>
      <c r="AC10" s="8">
        <f t="shared" si="50"/>
        <v>4.0256785326394358</v>
      </c>
      <c r="AE10" s="8">
        <f t="shared" si="51"/>
        <v>0.90922915328937604</v>
      </c>
      <c r="AF10" s="8">
        <f t="shared" si="52"/>
        <v>9.0327746046261551E-2</v>
      </c>
      <c r="AH10" s="8">
        <f t="shared" si="53"/>
        <v>0</v>
      </c>
      <c r="AI10" s="8">
        <f t="shared" si="54"/>
        <v>5.4339180542823263E-3</v>
      </c>
      <c r="AK10" s="8">
        <f t="shared" si="55"/>
        <v>5.6626685648557542E-3</v>
      </c>
      <c r="AL10" s="8">
        <f t="shared" si="56"/>
        <v>0.11121400438778647</v>
      </c>
      <c r="AM10" s="8">
        <f t="shared" si="57"/>
        <v>-4.3734057032810247E-2</v>
      </c>
      <c r="AN10" s="8">
        <f t="shared" si="58"/>
        <v>0.94710199866532152</v>
      </c>
      <c r="AO10" s="8">
        <f t="shared" si="59"/>
        <v>1.0256785326394358</v>
      </c>
      <c r="AQ10" s="8">
        <f t="shared" si="60"/>
        <v>46.226932127559301</v>
      </c>
      <c r="AS10" s="8">
        <f t="shared" si="61"/>
        <v>0.14255520559207846</v>
      </c>
      <c r="AU10" s="8">
        <f t="shared" si="62"/>
        <v>6.9875639454263144E-2</v>
      </c>
      <c r="AV10" s="8">
        <f t="shared" si="63"/>
        <v>2.1093750348369439E-2</v>
      </c>
      <c r="AW10" s="8">
        <f t="shared" si="64"/>
        <v>2.8313342824278771E-3</v>
      </c>
      <c r="AX10" s="8">
        <f t="shared" si="65"/>
        <v>0.82394280035158607</v>
      </c>
      <c r="AY10" s="8">
        <f t="shared" si="66"/>
        <v>8.2256475563353373E-2</v>
      </c>
      <c r="AZ10" s="8">
        <f t="shared" si="67"/>
        <v>0.99999999999999989</v>
      </c>
      <c r="BB10" s="8">
        <f t="shared" si="68"/>
        <v>7.3142615919831983E-2</v>
      </c>
      <c r="BC10" s="8">
        <f t="shared" si="69"/>
        <v>5.4339180542823263E-3</v>
      </c>
      <c r="BD10" s="8">
        <f t="shared" si="70"/>
        <v>3.625351608300755E-3</v>
      </c>
      <c r="BE10" s="8">
        <f t="shared" si="71"/>
        <v>0.83448880246248658</v>
      </c>
      <c r="BF10" s="8">
        <f t="shared" si="72"/>
        <v>8.3309311955098289E-2</v>
      </c>
      <c r="BG10" s="8">
        <f t="shared" si="73"/>
        <v>0.99999999999999989</v>
      </c>
      <c r="BI10" s="21">
        <f t="shared" si="74"/>
        <v>6.8527303830343252E-3</v>
      </c>
      <c r="BJ10" s="21"/>
      <c r="BK10" s="21"/>
      <c r="BM10" s="8">
        <f t="shared" si="75"/>
        <v>10.016753024106789</v>
      </c>
    </row>
    <row r="11" spans="1:65" s="8" customFormat="1">
      <c r="A11" s="44"/>
      <c r="B11" s="44"/>
      <c r="C11" s="44">
        <f>'Spinel-- no zeroes'!C11</f>
        <v>0</v>
      </c>
      <c r="D11" s="44"/>
      <c r="E11" s="44">
        <v>53.912050000000001</v>
      </c>
      <c r="F11" s="44">
        <v>0.10924383333333332</v>
      </c>
      <c r="G11" s="44">
        <v>5.2310049999999997</v>
      </c>
      <c r="H11" s="44">
        <v>0.77429516666666665</v>
      </c>
      <c r="I11" s="44">
        <v>5.8162050000000001</v>
      </c>
      <c r="J11" s="44">
        <v>0.12420749999999998</v>
      </c>
      <c r="K11" s="44">
        <v>32.685316666666665</v>
      </c>
      <c r="L11" s="44">
        <v>1.9812816666666668</v>
      </c>
      <c r="M11" s="44">
        <v>8.1339666666666671E-2</v>
      </c>
      <c r="N11" s="44">
        <v>0.12232233333333332</v>
      </c>
      <c r="O11" s="9">
        <f t="shared" si="38"/>
        <v>100.83726683333332</v>
      </c>
      <c r="Q11" s="8">
        <f t="shared" si="39"/>
        <v>2.8981374416886019</v>
      </c>
      <c r="R11" s="8">
        <v>6</v>
      </c>
      <c r="S11" s="8">
        <f t="shared" si="40"/>
        <v>1.8574447944079215</v>
      </c>
      <c r="T11" s="8">
        <f t="shared" si="41"/>
        <v>2.8313342824278771E-3</v>
      </c>
      <c r="U11" s="8">
        <f t="shared" si="42"/>
        <v>0.2124308450463416</v>
      </c>
      <c r="V11" s="8">
        <f t="shared" si="43"/>
        <v>2.1093750348369439E-2</v>
      </c>
      <c r="W11" s="8">
        <f t="shared" si="44"/>
        <v>0.16758888273545697</v>
      </c>
      <c r="X11" s="8">
        <f t="shared" si="45"/>
        <v>3.625351608300755E-3</v>
      </c>
      <c r="Y11" s="8">
        <f t="shared" si="46"/>
        <v>1.6786964479470667</v>
      </c>
      <c r="Z11" s="8">
        <f t="shared" si="47"/>
        <v>7.3142615919831983E-2</v>
      </c>
      <c r="AA11" s="8">
        <f t="shared" si="48"/>
        <v>5.4339180542823263E-3</v>
      </c>
      <c r="AB11" s="8">
        <f t="shared" si="49"/>
        <v>3.3905922894362475E-3</v>
      </c>
      <c r="AC11" s="8">
        <f t="shared" si="50"/>
        <v>4.0256785326394358</v>
      </c>
      <c r="AE11" s="8">
        <f t="shared" si="51"/>
        <v>0.90922915328937604</v>
      </c>
      <c r="AF11" s="8">
        <f t="shared" si="52"/>
        <v>9.0327746046261551E-2</v>
      </c>
      <c r="AH11" s="8">
        <f t="shared" si="53"/>
        <v>0</v>
      </c>
      <c r="AI11" s="8">
        <f t="shared" si="54"/>
        <v>5.4339180542823263E-3</v>
      </c>
      <c r="AK11" s="8">
        <f t="shared" si="55"/>
        <v>5.6626685648557542E-3</v>
      </c>
      <c r="AL11" s="8">
        <f t="shared" si="56"/>
        <v>0.11121400438778647</v>
      </c>
      <c r="AM11" s="8">
        <f t="shared" si="57"/>
        <v>-4.3734057032810247E-2</v>
      </c>
      <c r="AN11" s="8">
        <f t="shared" si="58"/>
        <v>0.94710199866532152</v>
      </c>
      <c r="AO11" s="8">
        <f t="shared" si="59"/>
        <v>1.0256785326394358</v>
      </c>
      <c r="AQ11" s="8">
        <f t="shared" si="60"/>
        <v>46.226932127559301</v>
      </c>
      <c r="AS11" s="8">
        <f t="shared" si="61"/>
        <v>0.14255520559207846</v>
      </c>
      <c r="AU11" s="8">
        <f t="shared" si="62"/>
        <v>6.9875639454263144E-2</v>
      </c>
      <c r="AV11" s="8">
        <f t="shared" si="63"/>
        <v>2.1093750348369439E-2</v>
      </c>
      <c r="AW11" s="8">
        <f t="shared" si="64"/>
        <v>2.8313342824278771E-3</v>
      </c>
      <c r="AX11" s="8">
        <f t="shared" si="65"/>
        <v>0.82394280035158607</v>
      </c>
      <c r="AY11" s="8">
        <f t="shared" si="66"/>
        <v>8.2256475563353373E-2</v>
      </c>
      <c r="AZ11" s="8">
        <f t="shared" si="67"/>
        <v>0.99999999999999989</v>
      </c>
      <c r="BB11" s="8">
        <f t="shared" si="68"/>
        <v>7.3142615919831983E-2</v>
      </c>
      <c r="BC11" s="8">
        <f t="shared" si="69"/>
        <v>5.4339180542823263E-3</v>
      </c>
      <c r="BD11" s="8">
        <f t="shared" si="70"/>
        <v>3.625351608300755E-3</v>
      </c>
      <c r="BE11" s="8">
        <f t="shared" si="71"/>
        <v>0.83448880246248658</v>
      </c>
      <c r="BF11" s="8">
        <f t="shared" si="72"/>
        <v>8.3309311955098289E-2</v>
      </c>
      <c r="BG11" s="8">
        <f t="shared" si="73"/>
        <v>0.99999999999999989</v>
      </c>
      <c r="BI11" s="21">
        <f t="shared" si="74"/>
        <v>6.8527303830343252E-3</v>
      </c>
      <c r="BJ11" s="21"/>
      <c r="BK11" s="21"/>
      <c r="BM11" s="8">
        <f t="shared" si="75"/>
        <v>10.016753024106789</v>
      </c>
    </row>
    <row r="12" spans="1:65" s="8" customFormat="1">
      <c r="A12" s="44"/>
      <c r="B12" s="44"/>
      <c r="C12" s="44">
        <f>'Spinel-- no zeroes'!C12</f>
        <v>0</v>
      </c>
      <c r="D12" s="44"/>
      <c r="E12" s="44">
        <v>53.912050000000001</v>
      </c>
      <c r="F12" s="44">
        <v>0.10924383333333332</v>
      </c>
      <c r="G12" s="44">
        <v>5.2310049999999997</v>
      </c>
      <c r="H12" s="44">
        <v>0.77429516666666665</v>
      </c>
      <c r="I12" s="44">
        <v>5.8162050000000001</v>
      </c>
      <c r="J12" s="44">
        <v>0.12420749999999998</v>
      </c>
      <c r="K12" s="44">
        <v>32.685316666666665</v>
      </c>
      <c r="L12" s="44">
        <v>1.9812816666666668</v>
      </c>
      <c r="M12" s="44">
        <v>8.1339666666666671E-2</v>
      </c>
      <c r="N12" s="44">
        <v>0.12232233333333332</v>
      </c>
      <c r="O12" s="9">
        <f t="shared" si="38"/>
        <v>100.83726683333332</v>
      </c>
      <c r="Q12" s="8">
        <f t="shared" si="39"/>
        <v>2.8981374416886019</v>
      </c>
      <c r="R12" s="8">
        <v>6</v>
      </c>
      <c r="S12" s="8">
        <f t="shared" si="40"/>
        <v>1.8574447944079215</v>
      </c>
      <c r="T12" s="8">
        <f t="shared" si="41"/>
        <v>2.8313342824278771E-3</v>
      </c>
      <c r="U12" s="8">
        <f t="shared" si="42"/>
        <v>0.2124308450463416</v>
      </c>
      <c r="V12" s="8">
        <f t="shared" si="43"/>
        <v>2.1093750348369439E-2</v>
      </c>
      <c r="W12" s="8">
        <f t="shared" si="44"/>
        <v>0.16758888273545697</v>
      </c>
      <c r="X12" s="8">
        <f t="shared" si="45"/>
        <v>3.625351608300755E-3</v>
      </c>
      <c r="Y12" s="8">
        <f t="shared" si="46"/>
        <v>1.6786964479470667</v>
      </c>
      <c r="Z12" s="8">
        <f t="shared" si="47"/>
        <v>7.3142615919831983E-2</v>
      </c>
      <c r="AA12" s="8">
        <f t="shared" si="48"/>
        <v>5.4339180542823263E-3</v>
      </c>
      <c r="AB12" s="8">
        <f t="shared" si="49"/>
        <v>3.3905922894362475E-3</v>
      </c>
      <c r="AC12" s="8">
        <f t="shared" si="50"/>
        <v>4.0256785326394358</v>
      </c>
      <c r="AE12" s="8">
        <f t="shared" si="51"/>
        <v>0.90922915328937604</v>
      </c>
      <c r="AF12" s="8">
        <f t="shared" si="52"/>
        <v>9.0327746046261551E-2</v>
      </c>
      <c r="AH12" s="8">
        <f t="shared" si="53"/>
        <v>0</v>
      </c>
      <c r="AI12" s="8">
        <f t="shared" si="54"/>
        <v>5.4339180542823263E-3</v>
      </c>
      <c r="AK12" s="8">
        <f t="shared" si="55"/>
        <v>5.6626685648557542E-3</v>
      </c>
      <c r="AL12" s="8">
        <f t="shared" si="56"/>
        <v>0.11121400438778647</v>
      </c>
      <c r="AM12" s="8">
        <f t="shared" si="57"/>
        <v>-4.3734057032810247E-2</v>
      </c>
      <c r="AN12" s="8">
        <f t="shared" si="58"/>
        <v>0.94710199866532152</v>
      </c>
      <c r="AO12" s="8">
        <f t="shared" si="59"/>
        <v>1.0256785326394358</v>
      </c>
      <c r="AQ12" s="8">
        <f t="shared" si="60"/>
        <v>46.226932127559301</v>
      </c>
      <c r="AS12" s="8">
        <f t="shared" si="61"/>
        <v>0.14255520559207846</v>
      </c>
      <c r="AU12" s="8">
        <f t="shared" si="62"/>
        <v>6.9875639454263144E-2</v>
      </c>
      <c r="AV12" s="8">
        <f t="shared" si="63"/>
        <v>2.1093750348369439E-2</v>
      </c>
      <c r="AW12" s="8">
        <f t="shared" si="64"/>
        <v>2.8313342824278771E-3</v>
      </c>
      <c r="AX12" s="8">
        <f t="shared" si="65"/>
        <v>0.82394280035158607</v>
      </c>
      <c r="AY12" s="8">
        <f t="shared" si="66"/>
        <v>8.2256475563353373E-2</v>
      </c>
      <c r="AZ12" s="8">
        <f t="shared" si="67"/>
        <v>0.99999999999999989</v>
      </c>
      <c r="BB12" s="8">
        <f t="shared" si="68"/>
        <v>7.3142615919831983E-2</v>
      </c>
      <c r="BC12" s="8">
        <f t="shared" si="69"/>
        <v>5.4339180542823263E-3</v>
      </c>
      <c r="BD12" s="8">
        <f t="shared" si="70"/>
        <v>3.625351608300755E-3</v>
      </c>
      <c r="BE12" s="8">
        <f t="shared" si="71"/>
        <v>0.83448880246248658</v>
      </c>
      <c r="BF12" s="8">
        <f t="shared" si="72"/>
        <v>8.3309311955098289E-2</v>
      </c>
      <c r="BG12" s="8">
        <f t="shared" si="73"/>
        <v>0.99999999999999989</v>
      </c>
      <c r="BI12" s="21">
        <f t="shared" si="74"/>
        <v>6.8527303830343252E-3</v>
      </c>
      <c r="BJ12" s="21"/>
      <c r="BK12" s="21"/>
      <c r="BM12" s="8">
        <f t="shared" si="75"/>
        <v>10.016753024106789</v>
      </c>
    </row>
    <row r="13" spans="1:65" s="8" customFormat="1">
      <c r="A13" s="44"/>
      <c r="B13" s="44"/>
      <c r="C13" s="44">
        <f>'Spinel-- no zeroes'!C13</f>
        <v>0</v>
      </c>
      <c r="D13" s="44"/>
      <c r="E13" s="44">
        <v>53.912050000000001</v>
      </c>
      <c r="F13" s="44">
        <v>0.10924383333333332</v>
      </c>
      <c r="G13" s="44">
        <v>5.2310049999999997</v>
      </c>
      <c r="H13" s="44">
        <v>0.77429516666666665</v>
      </c>
      <c r="I13" s="44">
        <v>5.8162050000000001</v>
      </c>
      <c r="J13" s="44">
        <v>0.12420749999999998</v>
      </c>
      <c r="K13" s="44">
        <v>32.685316666666665</v>
      </c>
      <c r="L13" s="44">
        <v>1.9812816666666668</v>
      </c>
      <c r="M13" s="44">
        <v>8.1339666666666671E-2</v>
      </c>
      <c r="N13" s="44">
        <v>0.12232233333333332</v>
      </c>
      <c r="O13" s="9">
        <f t="shared" si="38"/>
        <v>100.83726683333332</v>
      </c>
      <c r="Q13" s="8">
        <f t="shared" si="39"/>
        <v>2.8981374416886019</v>
      </c>
      <c r="R13" s="8">
        <v>6</v>
      </c>
      <c r="S13" s="8">
        <f t="shared" si="40"/>
        <v>1.8574447944079215</v>
      </c>
      <c r="T13" s="8">
        <f t="shared" si="41"/>
        <v>2.8313342824278771E-3</v>
      </c>
      <c r="U13" s="8">
        <f t="shared" si="42"/>
        <v>0.2124308450463416</v>
      </c>
      <c r="V13" s="8">
        <f t="shared" si="43"/>
        <v>2.1093750348369439E-2</v>
      </c>
      <c r="W13" s="8">
        <f t="shared" si="44"/>
        <v>0.16758888273545697</v>
      </c>
      <c r="X13" s="8">
        <f t="shared" si="45"/>
        <v>3.625351608300755E-3</v>
      </c>
      <c r="Y13" s="8">
        <f t="shared" si="46"/>
        <v>1.6786964479470667</v>
      </c>
      <c r="Z13" s="8">
        <f t="shared" si="47"/>
        <v>7.3142615919831983E-2</v>
      </c>
      <c r="AA13" s="8">
        <f t="shared" si="48"/>
        <v>5.4339180542823263E-3</v>
      </c>
      <c r="AB13" s="8">
        <f t="shared" si="49"/>
        <v>3.3905922894362475E-3</v>
      </c>
      <c r="AC13" s="8">
        <f t="shared" si="50"/>
        <v>4.0256785326394358</v>
      </c>
      <c r="AE13" s="8">
        <f t="shared" si="51"/>
        <v>0.90922915328937604</v>
      </c>
      <c r="AF13" s="8">
        <f t="shared" si="52"/>
        <v>9.0327746046261551E-2</v>
      </c>
      <c r="AH13" s="8">
        <f t="shared" si="53"/>
        <v>0</v>
      </c>
      <c r="AI13" s="8">
        <f t="shared" si="54"/>
        <v>5.4339180542823263E-3</v>
      </c>
      <c r="AK13" s="8">
        <f t="shared" si="55"/>
        <v>5.6626685648557542E-3</v>
      </c>
      <c r="AL13" s="8">
        <f t="shared" si="56"/>
        <v>0.11121400438778647</v>
      </c>
      <c r="AM13" s="8">
        <f t="shared" si="57"/>
        <v>-4.3734057032810247E-2</v>
      </c>
      <c r="AN13" s="8">
        <f t="shared" si="58"/>
        <v>0.94710199866532152</v>
      </c>
      <c r="AO13" s="8">
        <f t="shared" si="59"/>
        <v>1.0256785326394358</v>
      </c>
      <c r="AQ13" s="8">
        <f t="shared" si="60"/>
        <v>46.226932127559301</v>
      </c>
      <c r="AS13" s="8">
        <f t="shared" si="61"/>
        <v>0.14255520559207846</v>
      </c>
      <c r="AU13" s="8">
        <f t="shared" si="62"/>
        <v>6.9875639454263144E-2</v>
      </c>
      <c r="AV13" s="8">
        <f t="shared" si="63"/>
        <v>2.1093750348369439E-2</v>
      </c>
      <c r="AW13" s="8">
        <f t="shared" si="64"/>
        <v>2.8313342824278771E-3</v>
      </c>
      <c r="AX13" s="8">
        <f t="shared" si="65"/>
        <v>0.82394280035158607</v>
      </c>
      <c r="AY13" s="8">
        <f t="shared" si="66"/>
        <v>8.2256475563353373E-2</v>
      </c>
      <c r="AZ13" s="8">
        <f t="shared" si="67"/>
        <v>0.99999999999999989</v>
      </c>
      <c r="BB13" s="8">
        <f t="shared" si="68"/>
        <v>7.3142615919831983E-2</v>
      </c>
      <c r="BC13" s="8">
        <f t="shared" si="69"/>
        <v>5.4339180542823263E-3</v>
      </c>
      <c r="BD13" s="8">
        <f t="shared" si="70"/>
        <v>3.625351608300755E-3</v>
      </c>
      <c r="BE13" s="8">
        <f t="shared" si="71"/>
        <v>0.83448880246248658</v>
      </c>
      <c r="BF13" s="8">
        <f t="shared" si="72"/>
        <v>8.3309311955098289E-2</v>
      </c>
      <c r="BG13" s="8">
        <f t="shared" si="73"/>
        <v>0.99999999999999989</v>
      </c>
      <c r="BI13" s="21">
        <f t="shared" si="74"/>
        <v>6.8527303830343252E-3</v>
      </c>
      <c r="BJ13" s="21"/>
      <c r="BK13" s="21"/>
      <c r="BM13" s="8">
        <f t="shared" si="75"/>
        <v>10.016753024106789</v>
      </c>
    </row>
    <row r="14" spans="1:65" s="8" customFormat="1">
      <c r="A14" s="44"/>
      <c r="B14" s="44"/>
      <c r="C14" s="44">
        <f>'Spinel-- no zeroes'!C14</f>
        <v>0</v>
      </c>
      <c r="D14" s="44"/>
      <c r="E14" s="44">
        <v>53.912050000000001</v>
      </c>
      <c r="F14" s="44">
        <v>0.10924383333333332</v>
      </c>
      <c r="G14" s="44">
        <v>5.2310049999999997</v>
      </c>
      <c r="H14" s="44">
        <v>0.77429516666666665</v>
      </c>
      <c r="I14" s="44">
        <v>5.8162050000000001</v>
      </c>
      <c r="J14" s="44">
        <v>0.12420749999999998</v>
      </c>
      <c r="K14" s="44">
        <v>32.685316666666665</v>
      </c>
      <c r="L14" s="44">
        <v>1.9812816666666668</v>
      </c>
      <c r="M14" s="44">
        <v>8.1339666666666671E-2</v>
      </c>
      <c r="N14" s="44">
        <v>0.12232233333333332</v>
      </c>
      <c r="O14" s="9">
        <f t="shared" si="38"/>
        <v>100.83726683333332</v>
      </c>
      <c r="Q14" s="8">
        <f t="shared" si="39"/>
        <v>2.8981374416886019</v>
      </c>
      <c r="R14" s="8">
        <v>6</v>
      </c>
      <c r="S14" s="8">
        <f t="shared" si="40"/>
        <v>1.8574447944079215</v>
      </c>
      <c r="T14" s="8">
        <f t="shared" si="41"/>
        <v>2.8313342824278771E-3</v>
      </c>
      <c r="U14" s="8">
        <f t="shared" si="42"/>
        <v>0.2124308450463416</v>
      </c>
      <c r="V14" s="8">
        <f t="shared" si="43"/>
        <v>2.1093750348369439E-2</v>
      </c>
      <c r="W14" s="8">
        <f t="shared" si="44"/>
        <v>0.16758888273545697</v>
      </c>
      <c r="X14" s="8">
        <f t="shared" si="45"/>
        <v>3.625351608300755E-3</v>
      </c>
      <c r="Y14" s="8">
        <f t="shared" si="46"/>
        <v>1.6786964479470667</v>
      </c>
      <c r="Z14" s="8">
        <f t="shared" si="47"/>
        <v>7.3142615919831983E-2</v>
      </c>
      <c r="AA14" s="8">
        <f t="shared" si="48"/>
        <v>5.4339180542823263E-3</v>
      </c>
      <c r="AB14" s="8">
        <f t="shared" si="49"/>
        <v>3.3905922894362475E-3</v>
      </c>
      <c r="AC14" s="8">
        <f t="shared" si="50"/>
        <v>4.0256785326394358</v>
      </c>
      <c r="AE14" s="8">
        <f t="shared" si="51"/>
        <v>0.90922915328937604</v>
      </c>
      <c r="AF14" s="8">
        <f t="shared" si="52"/>
        <v>9.0327746046261551E-2</v>
      </c>
      <c r="AH14" s="8">
        <f t="shared" si="53"/>
        <v>0</v>
      </c>
      <c r="AI14" s="8">
        <f t="shared" si="54"/>
        <v>5.4339180542823263E-3</v>
      </c>
      <c r="AK14" s="8">
        <f t="shared" si="55"/>
        <v>5.6626685648557542E-3</v>
      </c>
      <c r="AL14" s="8">
        <f t="shared" si="56"/>
        <v>0.11121400438778647</v>
      </c>
      <c r="AM14" s="8">
        <f t="shared" si="57"/>
        <v>-4.3734057032810247E-2</v>
      </c>
      <c r="AN14" s="8">
        <f t="shared" si="58"/>
        <v>0.94710199866532152</v>
      </c>
      <c r="AO14" s="8">
        <f t="shared" si="59"/>
        <v>1.0256785326394358</v>
      </c>
      <c r="AQ14" s="8">
        <f t="shared" si="60"/>
        <v>46.226932127559301</v>
      </c>
      <c r="AS14" s="8">
        <f t="shared" si="61"/>
        <v>0.14255520559207846</v>
      </c>
      <c r="AU14" s="8">
        <f t="shared" si="62"/>
        <v>6.9875639454263144E-2</v>
      </c>
      <c r="AV14" s="8">
        <f t="shared" si="63"/>
        <v>2.1093750348369439E-2</v>
      </c>
      <c r="AW14" s="8">
        <f t="shared" si="64"/>
        <v>2.8313342824278771E-3</v>
      </c>
      <c r="AX14" s="8">
        <f t="shared" si="65"/>
        <v>0.82394280035158607</v>
      </c>
      <c r="AY14" s="8">
        <f t="shared" si="66"/>
        <v>8.2256475563353373E-2</v>
      </c>
      <c r="AZ14" s="8">
        <f t="shared" si="67"/>
        <v>0.99999999999999989</v>
      </c>
      <c r="BB14" s="8">
        <f t="shared" si="68"/>
        <v>7.3142615919831983E-2</v>
      </c>
      <c r="BC14" s="8">
        <f t="shared" si="69"/>
        <v>5.4339180542823263E-3</v>
      </c>
      <c r="BD14" s="8">
        <f t="shared" si="70"/>
        <v>3.625351608300755E-3</v>
      </c>
      <c r="BE14" s="8">
        <f t="shared" si="71"/>
        <v>0.83448880246248658</v>
      </c>
      <c r="BF14" s="8">
        <f t="shared" si="72"/>
        <v>8.3309311955098289E-2</v>
      </c>
      <c r="BG14" s="8">
        <f t="shared" si="73"/>
        <v>0.99999999999999989</v>
      </c>
      <c r="BI14" s="21">
        <f t="shared" si="74"/>
        <v>6.8527303830343252E-3</v>
      </c>
      <c r="BJ14" s="21"/>
      <c r="BK14" s="21"/>
      <c r="BM14" s="8">
        <f t="shared" si="75"/>
        <v>10.016753024106789</v>
      </c>
    </row>
    <row r="15" spans="1:65" s="8" customFormat="1">
      <c r="A15" s="44"/>
      <c r="B15" s="44"/>
      <c r="C15" s="44">
        <f>'Spinel-- no zeroes'!C15</f>
        <v>0</v>
      </c>
      <c r="D15" s="44"/>
      <c r="E15" s="44">
        <v>53.912050000000001</v>
      </c>
      <c r="F15" s="44">
        <v>0.10924383333333332</v>
      </c>
      <c r="G15" s="44">
        <v>5.2310049999999997</v>
      </c>
      <c r="H15" s="44">
        <v>0.77429516666666665</v>
      </c>
      <c r="I15" s="44">
        <v>5.8162050000000001</v>
      </c>
      <c r="J15" s="44">
        <v>0.12420749999999998</v>
      </c>
      <c r="K15" s="44">
        <v>32.685316666666665</v>
      </c>
      <c r="L15" s="44">
        <v>1.9812816666666668</v>
      </c>
      <c r="M15" s="44">
        <v>8.1339666666666671E-2</v>
      </c>
      <c r="N15" s="44">
        <v>0.12232233333333332</v>
      </c>
      <c r="O15" s="9">
        <f t="shared" si="38"/>
        <v>100.83726683333332</v>
      </c>
      <c r="Q15" s="8">
        <f t="shared" si="39"/>
        <v>2.8981374416886019</v>
      </c>
      <c r="R15" s="8">
        <v>6</v>
      </c>
      <c r="S15" s="8">
        <f t="shared" si="40"/>
        <v>1.8574447944079215</v>
      </c>
      <c r="T15" s="8">
        <f t="shared" si="41"/>
        <v>2.8313342824278771E-3</v>
      </c>
      <c r="U15" s="8">
        <f t="shared" si="42"/>
        <v>0.2124308450463416</v>
      </c>
      <c r="V15" s="8">
        <f t="shared" si="43"/>
        <v>2.1093750348369439E-2</v>
      </c>
      <c r="W15" s="8">
        <f t="shared" si="44"/>
        <v>0.16758888273545697</v>
      </c>
      <c r="X15" s="8">
        <f t="shared" si="45"/>
        <v>3.625351608300755E-3</v>
      </c>
      <c r="Y15" s="8">
        <f t="shared" si="46"/>
        <v>1.6786964479470667</v>
      </c>
      <c r="Z15" s="8">
        <f t="shared" si="47"/>
        <v>7.3142615919831983E-2</v>
      </c>
      <c r="AA15" s="8">
        <f t="shared" si="48"/>
        <v>5.4339180542823263E-3</v>
      </c>
      <c r="AB15" s="8">
        <f t="shared" si="49"/>
        <v>3.3905922894362475E-3</v>
      </c>
      <c r="AC15" s="8">
        <f t="shared" si="50"/>
        <v>4.0256785326394358</v>
      </c>
      <c r="AE15" s="8">
        <f t="shared" si="51"/>
        <v>0.90922915328937604</v>
      </c>
      <c r="AF15" s="8">
        <f t="shared" si="52"/>
        <v>9.0327746046261551E-2</v>
      </c>
      <c r="AH15" s="8">
        <f t="shared" si="53"/>
        <v>0</v>
      </c>
      <c r="AI15" s="8">
        <f t="shared" si="54"/>
        <v>5.4339180542823263E-3</v>
      </c>
      <c r="AK15" s="8">
        <f t="shared" si="55"/>
        <v>5.6626685648557542E-3</v>
      </c>
      <c r="AL15" s="8">
        <f t="shared" si="56"/>
        <v>0.11121400438778647</v>
      </c>
      <c r="AM15" s="8">
        <f t="shared" si="57"/>
        <v>-4.3734057032810247E-2</v>
      </c>
      <c r="AN15" s="8">
        <f t="shared" si="58"/>
        <v>0.94710199866532152</v>
      </c>
      <c r="AO15" s="8">
        <f t="shared" si="59"/>
        <v>1.0256785326394358</v>
      </c>
      <c r="AQ15" s="8">
        <f t="shared" si="60"/>
        <v>46.226932127559301</v>
      </c>
      <c r="AS15" s="8">
        <f t="shared" si="61"/>
        <v>0.14255520559207846</v>
      </c>
      <c r="AU15" s="8">
        <f t="shared" si="62"/>
        <v>6.9875639454263144E-2</v>
      </c>
      <c r="AV15" s="8">
        <f t="shared" si="63"/>
        <v>2.1093750348369439E-2</v>
      </c>
      <c r="AW15" s="8">
        <f t="shared" si="64"/>
        <v>2.8313342824278771E-3</v>
      </c>
      <c r="AX15" s="8">
        <f t="shared" si="65"/>
        <v>0.82394280035158607</v>
      </c>
      <c r="AY15" s="8">
        <f t="shared" si="66"/>
        <v>8.2256475563353373E-2</v>
      </c>
      <c r="AZ15" s="8">
        <f t="shared" si="67"/>
        <v>0.99999999999999989</v>
      </c>
      <c r="BB15" s="8">
        <f t="shared" si="68"/>
        <v>7.3142615919831983E-2</v>
      </c>
      <c r="BC15" s="8">
        <f t="shared" si="69"/>
        <v>5.4339180542823263E-3</v>
      </c>
      <c r="BD15" s="8">
        <f t="shared" si="70"/>
        <v>3.625351608300755E-3</v>
      </c>
      <c r="BE15" s="8">
        <f t="shared" si="71"/>
        <v>0.83448880246248658</v>
      </c>
      <c r="BF15" s="8">
        <f t="shared" si="72"/>
        <v>8.3309311955098289E-2</v>
      </c>
      <c r="BG15" s="8">
        <f t="shared" si="73"/>
        <v>0.99999999999999989</v>
      </c>
      <c r="BI15" s="21">
        <f t="shared" si="74"/>
        <v>6.8527303830343252E-3</v>
      </c>
      <c r="BJ15" s="21"/>
      <c r="BK15" s="21"/>
      <c r="BM15" s="8">
        <f t="shared" si="75"/>
        <v>10.016753024106789</v>
      </c>
    </row>
    <row r="16" spans="1:65" s="8" customFormat="1">
      <c r="A16" s="44"/>
      <c r="B16" s="44"/>
      <c r="C16" s="44">
        <f>'Spinel-- no zeroes'!C16</f>
        <v>0</v>
      </c>
      <c r="D16" s="44"/>
      <c r="E16" s="44">
        <v>53.912050000000001</v>
      </c>
      <c r="F16" s="44">
        <v>0.10924383333333332</v>
      </c>
      <c r="G16" s="44">
        <v>5.2310049999999997</v>
      </c>
      <c r="H16" s="44">
        <v>0.77429516666666665</v>
      </c>
      <c r="I16" s="44">
        <v>5.8162050000000001</v>
      </c>
      <c r="J16" s="44">
        <v>0.12420749999999998</v>
      </c>
      <c r="K16" s="44">
        <v>32.685316666666665</v>
      </c>
      <c r="L16" s="44">
        <v>1.9812816666666668</v>
      </c>
      <c r="M16" s="44">
        <v>8.1339666666666671E-2</v>
      </c>
      <c r="N16" s="44">
        <v>0.12232233333333332</v>
      </c>
      <c r="O16" s="9">
        <f t="shared" si="38"/>
        <v>100.83726683333332</v>
      </c>
      <c r="Q16" s="8">
        <f t="shared" si="39"/>
        <v>2.8981374416886019</v>
      </c>
      <c r="R16" s="8">
        <v>6</v>
      </c>
      <c r="S16" s="8">
        <f t="shared" si="40"/>
        <v>1.8574447944079215</v>
      </c>
      <c r="T16" s="8">
        <f t="shared" si="41"/>
        <v>2.8313342824278771E-3</v>
      </c>
      <c r="U16" s="8">
        <f t="shared" si="42"/>
        <v>0.2124308450463416</v>
      </c>
      <c r="V16" s="8">
        <f t="shared" si="43"/>
        <v>2.1093750348369439E-2</v>
      </c>
      <c r="W16" s="8">
        <f t="shared" si="44"/>
        <v>0.16758888273545697</v>
      </c>
      <c r="X16" s="8">
        <f t="shared" si="45"/>
        <v>3.625351608300755E-3</v>
      </c>
      <c r="Y16" s="8">
        <f t="shared" si="46"/>
        <v>1.6786964479470667</v>
      </c>
      <c r="Z16" s="8">
        <f t="shared" si="47"/>
        <v>7.3142615919831983E-2</v>
      </c>
      <c r="AA16" s="8">
        <f t="shared" si="48"/>
        <v>5.4339180542823263E-3</v>
      </c>
      <c r="AB16" s="8">
        <f t="shared" si="49"/>
        <v>3.3905922894362475E-3</v>
      </c>
      <c r="AC16" s="8">
        <f t="shared" si="50"/>
        <v>4.0256785326394358</v>
      </c>
      <c r="AE16" s="8">
        <f t="shared" si="51"/>
        <v>0.90922915328937604</v>
      </c>
      <c r="AF16" s="8">
        <f t="shared" si="52"/>
        <v>9.0327746046261551E-2</v>
      </c>
      <c r="AH16" s="8">
        <f t="shared" si="53"/>
        <v>0</v>
      </c>
      <c r="AI16" s="8">
        <f t="shared" si="54"/>
        <v>5.4339180542823263E-3</v>
      </c>
      <c r="AK16" s="8">
        <f t="shared" si="55"/>
        <v>5.6626685648557542E-3</v>
      </c>
      <c r="AL16" s="8">
        <f t="shared" si="56"/>
        <v>0.11121400438778647</v>
      </c>
      <c r="AM16" s="8">
        <f t="shared" si="57"/>
        <v>-4.3734057032810247E-2</v>
      </c>
      <c r="AN16" s="8">
        <f t="shared" si="58"/>
        <v>0.94710199866532152</v>
      </c>
      <c r="AO16" s="8">
        <f t="shared" si="59"/>
        <v>1.0256785326394358</v>
      </c>
      <c r="AQ16" s="8">
        <f t="shared" si="60"/>
        <v>46.226932127559301</v>
      </c>
      <c r="AS16" s="8">
        <f t="shared" si="61"/>
        <v>0.14255520559207846</v>
      </c>
      <c r="AU16" s="8">
        <f t="shared" si="62"/>
        <v>6.9875639454263144E-2</v>
      </c>
      <c r="AV16" s="8">
        <f t="shared" si="63"/>
        <v>2.1093750348369439E-2</v>
      </c>
      <c r="AW16" s="8">
        <f t="shared" si="64"/>
        <v>2.8313342824278771E-3</v>
      </c>
      <c r="AX16" s="8">
        <f t="shared" si="65"/>
        <v>0.82394280035158607</v>
      </c>
      <c r="AY16" s="8">
        <f t="shared" si="66"/>
        <v>8.2256475563353373E-2</v>
      </c>
      <c r="AZ16" s="8">
        <f t="shared" si="67"/>
        <v>0.99999999999999989</v>
      </c>
      <c r="BB16" s="8">
        <f t="shared" si="68"/>
        <v>7.3142615919831983E-2</v>
      </c>
      <c r="BC16" s="8">
        <f t="shared" si="69"/>
        <v>5.4339180542823263E-3</v>
      </c>
      <c r="BD16" s="8">
        <f t="shared" si="70"/>
        <v>3.625351608300755E-3</v>
      </c>
      <c r="BE16" s="8">
        <f t="shared" si="71"/>
        <v>0.83448880246248658</v>
      </c>
      <c r="BF16" s="8">
        <f t="shared" si="72"/>
        <v>8.3309311955098289E-2</v>
      </c>
      <c r="BG16" s="8">
        <f t="shared" si="73"/>
        <v>0.99999999999999989</v>
      </c>
      <c r="BI16" s="21">
        <f t="shared" si="74"/>
        <v>6.8527303830343252E-3</v>
      </c>
      <c r="BJ16" s="21"/>
      <c r="BK16" s="21"/>
      <c r="BM16" s="8">
        <f t="shared" si="75"/>
        <v>10.016753024106789</v>
      </c>
    </row>
    <row r="17" spans="1:65" s="8" customFormat="1">
      <c r="A17" s="44"/>
      <c r="B17" s="44"/>
      <c r="C17" s="44">
        <f>'Spinel-- no zeroes'!C17</f>
        <v>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9">
        <f t="shared" si="38"/>
        <v>0</v>
      </c>
      <c r="Q17" s="8">
        <f t="shared" si="39"/>
        <v>0</v>
      </c>
      <c r="R17" s="8">
        <v>6</v>
      </c>
      <c r="S17" s="8" t="e">
        <f t="shared" si="40"/>
        <v>#DIV/0!</v>
      </c>
      <c r="T17" s="8" t="e">
        <f t="shared" si="41"/>
        <v>#DIV/0!</v>
      </c>
      <c r="U17" s="8" t="e">
        <f t="shared" si="42"/>
        <v>#DIV/0!</v>
      </c>
      <c r="V17" s="8" t="e">
        <f t="shared" si="43"/>
        <v>#DIV/0!</v>
      </c>
      <c r="W17" s="8" t="e">
        <f t="shared" si="44"/>
        <v>#DIV/0!</v>
      </c>
      <c r="X17" s="8" t="e">
        <f t="shared" si="45"/>
        <v>#DIV/0!</v>
      </c>
      <c r="Y17" s="8" t="e">
        <f t="shared" si="46"/>
        <v>#DIV/0!</v>
      </c>
      <c r="Z17" s="8" t="e">
        <f t="shared" si="47"/>
        <v>#DIV/0!</v>
      </c>
      <c r="AA17" s="8" t="e">
        <f t="shared" si="48"/>
        <v>#DIV/0!</v>
      </c>
      <c r="AB17" s="8" t="e">
        <f t="shared" si="49"/>
        <v>#DIV/0!</v>
      </c>
      <c r="AC17" s="8" t="e">
        <f t="shared" si="50"/>
        <v>#DIV/0!</v>
      </c>
      <c r="AE17" s="8" t="e">
        <f t="shared" si="51"/>
        <v>#DIV/0!</v>
      </c>
      <c r="AF17" s="8" t="e">
        <f t="shared" si="52"/>
        <v>#DIV/0!</v>
      </c>
      <c r="AH17" s="8" t="e">
        <f t="shared" si="53"/>
        <v>#DIV/0!</v>
      </c>
      <c r="AI17" s="8" t="e">
        <f t="shared" si="54"/>
        <v>#DIV/0!</v>
      </c>
      <c r="AK17" s="8" t="e">
        <f t="shared" si="55"/>
        <v>#DIV/0!</v>
      </c>
      <c r="AL17" s="8" t="e">
        <f t="shared" si="56"/>
        <v>#DIV/0!</v>
      </c>
      <c r="AM17" s="8" t="e">
        <f t="shared" si="57"/>
        <v>#DIV/0!</v>
      </c>
      <c r="AN17" s="8" t="e">
        <f t="shared" si="58"/>
        <v>#DIV/0!</v>
      </c>
      <c r="AO17" s="8" t="e">
        <f t="shared" si="59"/>
        <v>#DIV/0!</v>
      </c>
      <c r="AQ17" s="8" t="e">
        <f t="shared" si="60"/>
        <v>#DIV/0!</v>
      </c>
      <c r="AS17" s="8" t="e">
        <f t="shared" si="61"/>
        <v>#DIV/0!</v>
      </c>
      <c r="AU17" s="8" t="e">
        <f t="shared" si="62"/>
        <v>#DIV/0!</v>
      </c>
      <c r="AV17" s="8" t="e">
        <f t="shared" si="63"/>
        <v>#DIV/0!</v>
      </c>
      <c r="AW17" s="8" t="e">
        <f t="shared" si="64"/>
        <v>#DIV/0!</v>
      </c>
      <c r="AX17" s="8" t="e">
        <f t="shared" si="65"/>
        <v>#DIV/0!</v>
      </c>
      <c r="AY17" s="8" t="e">
        <f t="shared" si="66"/>
        <v>#DIV/0!</v>
      </c>
      <c r="AZ17" s="8" t="e">
        <f t="shared" si="67"/>
        <v>#DIV/0!</v>
      </c>
      <c r="BB17" s="8" t="e">
        <f t="shared" si="68"/>
        <v>#DIV/0!</v>
      </c>
      <c r="BC17" s="8" t="e">
        <f t="shared" si="69"/>
        <v>#DIV/0!</v>
      </c>
      <c r="BD17" s="8" t="e">
        <f t="shared" si="70"/>
        <v>#DIV/0!</v>
      </c>
      <c r="BE17" s="8" t="e">
        <f t="shared" si="71"/>
        <v>#DIV/0!</v>
      </c>
      <c r="BF17" s="8" t="e">
        <f t="shared" si="72"/>
        <v>#DIV/0!</v>
      </c>
      <c r="BG17" s="8" t="e">
        <f t="shared" si="73"/>
        <v>#DIV/0!</v>
      </c>
      <c r="BI17" s="21" t="e">
        <f t="shared" si="74"/>
        <v>#DIV/0!</v>
      </c>
      <c r="BJ17" s="21"/>
      <c r="BK17" s="21"/>
      <c r="BM17" s="8" t="e">
        <f t="shared" si="75"/>
        <v>#DIV/0!</v>
      </c>
    </row>
    <row r="18" spans="1:65" s="8" customFormat="1">
      <c r="A18" s="44"/>
      <c r="B18" s="44"/>
      <c r="C18" s="44">
        <f>'Spinel-- no zeroes'!C18</f>
        <v>0</v>
      </c>
      <c r="D18" s="44"/>
      <c r="E18" s="44">
        <v>53.912050000000001</v>
      </c>
      <c r="F18" s="44">
        <v>0.10924383333333332</v>
      </c>
      <c r="G18" s="44">
        <v>5.2310049999999997</v>
      </c>
      <c r="H18" s="44">
        <v>0.77429516666666665</v>
      </c>
      <c r="I18" s="44">
        <v>5.8162050000000001</v>
      </c>
      <c r="J18" s="44">
        <v>0.12420749999999998</v>
      </c>
      <c r="K18" s="44">
        <v>32.685316666666665</v>
      </c>
      <c r="L18" s="44">
        <v>1.9812816666666668</v>
      </c>
      <c r="M18" s="44">
        <v>8.1339666666666671E-2</v>
      </c>
      <c r="N18" s="44">
        <v>0.12232233333333332</v>
      </c>
      <c r="O18" s="9">
        <f t="shared" si="38"/>
        <v>100.83726683333332</v>
      </c>
      <c r="Q18" s="8">
        <f t="shared" si="39"/>
        <v>2.8981374416886019</v>
      </c>
      <c r="R18" s="8">
        <v>6</v>
      </c>
      <c r="S18" s="8">
        <f t="shared" si="40"/>
        <v>1.8574447944079215</v>
      </c>
      <c r="T18" s="8">
        <f t="shared" si="41"/>
        <v>2.8313342824278771E-3</v>
      </c>
      <c r="U18" s="8">
        <f t="shared" si="42"/>
        <v>0.2124308450463416</v>
      </c>
      <c r="V18" s="8">
        <f t="shared" si="43"/>
        <v>2.1093750348369439E-2</v>
      </c>
      <c r="W18" s="8">
        <f t="shared" si="44"/>
        <v>0.16758888273545697</v>
      </c>
      <c r="X18" s="8">
        <f t="shared" si="45"/>
        <v>3.625351608300755E-3</v>
      </c>
      <c r="Y18" s="8">
        <f t="shared" si="46"/>
        <v>1.6786964479470667</v>
      </c>
      <c r="Z18" s="8">
        <f t="shared" si="47"/>
        <v>7.3142615919831983E-2</v>
      </c>
      <c r="AA18" s="8">
        <f t="shared" si="48"/>
        <v>5.4339180542823263E-3</v>
      </c>
      <c r="AB18" s="8">
        <f t="shared" si="49"/>
        <v>3.3905922894362475E-3</v>
      </c>
      <c r="AC18" s="8">
        <f t="shared" si="50"/>
        <v>4.0256785326394358</v>
      </c>
      <c r="AE18" s="8">
        <f t="shared" si="51"/>
        <v>0.90922915328937604</v>
      </c>
      <c r="AF18" s="8">
        <f t="shared" si="52"/>
        <v>9.0327746046261551E-2</v>
      </c>
      <c r="AH18" s="8">
        <f t="shared" si="53"/>
        <v>0</v>
      </c>
      <c r="AI18" s="8">
        <f t="shared" si="54"/>
        <v>5.4339180542823263E-3</v>
      </c>
      <c r="AK18" s="8">
        <f t="shared" si="55"/>
        <v>5.6626685648557542E-3</v>
      </c>
      <c r="AL18" s="8">
        <f t="shared" si="56"/>
        <v>0.11121400438778647</v>
      </c>
      <c r="AM18" s="8">
        <f t="shared" si="57"/>
        <v>-4.3734057032810247E-2</v>
      </c>
      <c r="AN18" s="8">
        <f t="shared" si="58"/>
        <v>0.94710199866532152</v>
      </c>
      <c r="AO18" s="8">
        <f t="shared" si="59"/>
        <v>1.0256785326394358</v>
      </c>
      <c r="AQ18" s="8">
        <f t="shared" si="60"/>
        <v>46.226932127559301</v>
      </c>
      <c r="AS18" s="8">
        <f t="shared" si="61"/>
        <v>0.14255520559207846</v>
      </c>
      <c r="AU18" s="8">
        <f t="shared" si="62"/>
        <v>6.9875639454263144E-2</v>
      </c>
      <c r="AV18" s="8">
        <f t="shared" si="63"/>
        <v>2.1093750348369439E-2</v>
      </c>
      <c r="AW18" s="8">
        <f t="shared" si="64"/>
        <v>2.8313342824278771E-3</v>
      </c>
      <c r="AX18" s="8">
        <f t="shared" si="65"/>
        <v>0.82394280035158607</v>
      </c>
      <c r="AY18" s="8">
        <f t="shared" si="66"/>
        <v>8.2256475563353373E-2</v>
      </c>
      <c r="AZ18" s="8">
        <f t="shared" si="67"/>
        <v>0.99999999999999989</v>
      </c>
      <c r="BB18" s="8">
        <f t="shared" si="68"/>
        <v>7.3142615919831983E-2</v>
      </c>
      <c r="BC18" s="8">
        <f t="shared" si="69"/>
        <v>5.4339180542823263E-3</v>
      </c>
      <c r="BD18" s="8">
        <f t="shared" si="70"/>
        <v>3.625351608300755E-3</v>
      </c>
      <c r="BE18" s="8">
        <f t="shared" si="71"/>
        <v>0.83448880246248658</v>
      </c>
      <c r="BF18" s="8">
        <f t="shared" si="72"/>
        <v>8.3309311955098289E-2</v>
      </c>
      <c r="BG18" s="8">
        <f t="shared" si="73"/>
        <v>0.99999999999999989</v>
      </c>
      <c r="BI18" s="21">
        <f t="shared" si="74"/>
        <v>6.8527303830343252E-3</v>
      </c>
      <c r="BJ18" s="21"/>
      <c r="BK18" s="21"/>
      <c r="BM18" s="8">
        <f t="shared" si="75"/>
        <v>10.016753024106789</v>
      </c>
    </row>
    <row r="19" spans="1:65" s="8" customFormat="1">
      <c r="A19" s="44"/>
      <c r="B19" s="44"/>
      <c r="C19" s="44">
        <f>'Spinel-- no zeroes'!C19</f>
        <v>0</v>
      </c>
      <c r="D19" s="44"/>
      <c r="E19" s="44">
        <v>53.912050000000001</v>
      </c>
      <c r="F19" s="44">
        <v>0.10924383333333332</v>
      </c>
      <c r="G19" s="44">
        <v>5.2310049999999997</v>
      </c>
      <c r="H19" s="44">
        <v>0.77429516666666665</v>
      </c>
      <c r="I19" s="44">
        <v>5.8162050000000001</v>
      </c>
      <c r="J19" s="44">
        <v>0.12420749999999998</v>
      </c>
      <c r="K19" s="44">
        <v>32.685316666666665</v>
      </c>
      <c r="L19" s="44">
        <v>1.9812816666666668</v>
      </c>
      <c r="M19" s="44">
        <v>8.1339666666666671E-2</v>
      </c>
      <c r="N19" s="44">
        <v>0.12232233333333332</v>
      </c>
      <c r="O19" s="9">
        <f t="shared" si="38"/>
        <v>100.83726683333332</v>
      </c>
      <c r="Q19" s="8">
        <f t="shared" si="39"/>
        <v>2.8981374416886019</v>
      </c>
      <c r="R19" s="8">
        <v>6</v>
      </c>
      <c r="S19" s="8">
        <f t="shared" si="40"/>
        <v>1.8574447944079215</v>
      </c>
      <c r="T19" s="8">
        <f t="shared" si="41"/>
        <v>2.8313342824278771E-3</v>
      </c>
      <c r="U19" s="8">
        <f t="shared" si="42"/>
        <v>0.2124308450463416</v>
      </c>
      <c r="V19" s="8">
        <f t="shared" si="43"/>
        <v>2.1093750348369439E-2</v>
      </c>
      <c r="W19" s="8">
        <f t="shared" si="44"/>
        <v>0.16758888273545697</v>
      </c>
      <c r="X19" s="8">
        <f t="shared" si="45"/>
        <v>3.625351608300755E-3</v>
      </c>
      <c r="Y19" s="8">
        <f t="shared" si="46"/>
        <v>1.6786964479470667</v>
      </c>
      <c r="Z19" s="8">
        <f t="shared" si="47"/>
        <v>7.3142615919831983E-2</v>
      </c>
      <c r="AA19" s="8">
        <f t="shared" si="48"/>
        <v>5.4339180542823263E-3</v>
      </c>
      <c r="AB19" s="8">
        <f t="shared" si="49"/>
        <v>3.3905922894362475E-3</v>
      </c>
      <c r="AC19" s="8">
        <f t="shared" si="50"/>
        <v>4.0256785326394358</v>
      </c>
      <c r="AE19" s="8">
        <f t="shared" si="51"/>
        <v>0.90922915328937604</v>
      </c>
      <c r="AF19" s="8">
        <f t="shared" si="52"/>
        <v>9.0327746046261551E-2</v>
      </c>
      <c r="AH19" s="8">
        <f t="shared" si="53"/>
        <v>0</v>
      </c>
      <c r="AI19" s="8">
        <f t="shared" si="54"/>
        <v>5.4339180542823263E-3</v>
      </c>
      <c r="AK19" s="8">
        <f t="shared" si="55"/>
        <v>5.6626685648557542E-3</v>
      </c>
      <c r="AL19" s="8">
        <f t="shared" si="56"/>
        <v>0.11121400438778647</v>
      </c>
      <c r="AM19" s="8">
        <f t="shared" si="57"/>
        <v>-4.3734057032810247E-2</v>
      </c>
      <c r="AN19" s="8">
        <f t="shared" si="58"/>
        <v>0.94710199866532152</v>
      </c>
      <c r="AO19" s="8">
        <f t="shared" si="59"/>
        <v>1.0256785326394358</v>
      </c>
      <c r="AQ19" s="8">
        <f t="shared" si="60"/>
        <v>46.226932127559301</v>
      </c>
      <c r="AS19" s="8">
        <f t="shared" si="61"/>
        <v>0.14255520559207846</v>
      </c>
      <c r="AU19" s="8">
        <f t="shared" si="62"/>
        <v>6.9875639454263144E-2</v>
      </c>
      <c r="AV19" s="8">
        <f t="shared" si="63"/>
        <v>2.1093750348369439E-2</v>
      </c>
      <c r="AW19" s="8">
        <f t="shared" si="64"/>
        <v>2.8313342824278771E-3</v>
      </c>
      <c r="AX19" s="8">
        <f t="shared" si="65"/>
        <v>0.82394280035158607</v>
      </c>
      <c r="AY19" s="8">
        <f t="shared" si="66"/>
        <v>8.2256475563353373E-2</v>
      </c>
      <c r="AZ19" s="8">
        <f t="shared" si="67"/>
        <v>0.99999999999999989</v>
      </c>
      <c r="BB19" s="8">
        <f t="shared" si="68"/>
        <v>7.3142615919831983E-2</v>
      </c>
      <c r="BC19" s="8">
        <f t="shared" si="69"/>
        <v>5.4339180542823263E-3</v>
      </c>
      <c r="BD19" s="8">
        <f t="shared" si="70"/>
        <v>3.625351608300755E-3</v>
      </c>
      <c r="BE19" s="8">
        <f t="shared" si="71"/>
        <v>0.83448880246248658</v>
      </c>
      <c r="BF19" s="8">
        <f t="shared" si="72"/>
        <v>8.3309311955098289E-2</v>
      </c>
      <c r="BG19" s="8">
        <f t="shared" si="73"/>
        <v>0.99999999999999989</v>
      </c>
      <c r="BI19" s="21">
        <f t="shared" si="74"/>
        <v>6.8527303830343252E-3</v>
      </c>
      <c r="BJ19" s="21"/>
      <c r="BK19" s="21"/>
      <c r="BM19" s="8">
        <f t="shared" si="75"/>
        <v>10.016753024106789</v>
      </c>
    </row>
    <row r="20" spans="1:65" s="8" customFormat="1">
      <c r="A20" s="44"/>
      <c r="B20" s="44"/>
      <c r="C20" s="44">
        <f>'Spinel-- no zeroes'!C20</f>
        <v>0</v>
      </c>
      <c r="D20" s="44"/>
      <c r="E20" s="44">
        <v>53.912050000000001</v>
      </c>
      <c r="F20" s="44">
        <v>0.10924383333333332</v>
      </c>
      <c r="G20" s="44">
        <v>5.2310049999999997</v>
      </c>
      <c r="H20" s="44">
        <v>0.77429516666666665</v>
      </c>
      <c r="I20" s="44">
        <v>5.8162050000000001</v>
      </c>
      <c r="J20" s="44">
        <v>0.12420749999999998</v>
      </c>
      <c r="K20" s="44">
        <v>32.685316666666665</v>
      </c>
      <c r="L20" s="44">
        <v>1.9812816666666668</v>
      </c>
      <c r="M20" s="44">
        <v>8.1339666666666671E-2</v>
      </c>
      <c r="N20" s="44">
        <v>0.12232233333333332</v>
      </c>
      <c r="O20" s="9">
        <f t="shared" si="38"/>
        <v>100.83726683333332</v>
      </c>
      <c r="Q20" s="8">
        <f t="shared" si="39"/>
        <v>2.8981374416886019</v>
      </c>
      <c r="R20" s="8">
        <v>6</v>
      </c>
      <c r="S20" s="8">
        <f t="shared" si="40"/>
        <v>1.8574447944079215</v>
      </c>
      <c r="T20" s="8">
        <f t="shared" si="41"/>
        <v>2.8313342824278771E-3</v>
      </c>
      <c r="U20" s="8">
        <f t="shared" si="42"/>
        <v>0.2124308450463416</v>
      </c>
      <c r="V20" s="8">
        <f t="shared" si="43"/>
        <v>2.1093750348369439E-2</v>
      </c>
      <c r="W20" s="8">
        <f t="shared" si="44"/>
        <v>0.16758888273545697</v>
      </c>
      <c r="X20" s="8">
        <f t="shared" si="45"/>
        <v>3.625351608300755E-3</v>
      </c>
      <c r="Y20" s="8">
        <f t="shared" si="46"/>
        <v>1.6786964479470667</v>
      </c>
      <c r="Z20" s="8">
        <f t="shared" si="47"/>
        <v>7.3142615919831983E-2</v>
      </c>
      <c r="AA20" s="8">
        <f t="shared" si="48"/>
        <v>5.4339180542823263E-3</v>
      </c>
      <c r="AB20" s="8">
        <f t="shared" si="49"/>
        <v>3.3905922894362475E-3</v>
      </c>
      <c r="AC20" s="8">
        <f t="shared" si="50"/>
        <v>4.0256785326394358</v>
      </c>
      <c r="AE20" s="8">
        <f t="shared" si="51"/>
        <v>0.90922915328937604</v>
      </c>
      <c r="AF20" s="8">
        <f t="shared" si="52"/>
        <v>9.0327746046261551E-2</v>
      </c>
      <c r="AH20" s="8">
        <f t="shared" si="53"/>
        <v>0</v>
      </c>
      <c r="AI20" s="8">
        <f t="shared" si="54"/>
        <v>5.4339180542823263E-3</v>
      </c>
      <c r="AK20" s="8">
        <f t="shared" si="55"/>
        <v>5.6626685648557542E-3</v>
      </c>
      <c r="AL20" s="8">
        <f t="shared" si="56"/>
        <v>0.11121400438778647</v>
      </c>
      <c r="AM20" s="8">
        <f t="shared" si="57"/>
        <v>-4.3734057032810247E-2</v>
      </c>
      <c r="AN20" s="8">
        <f t="shared" si="58"/>
        <v>0.94710199866532152</v>
      </c>
      <c r="AO20" s="8">
        <f t="shared" si="59"/>
        <v>1.0256785326394358</v>
      </c>
      <c r="AQ20" s="8">
        <f t="shared" si="60"/>
        <v>46.226932127559301</v>
      </c>
      <c r="AS20" s="8">
        <f t="shared" si="61"/>
        <v>0.14255520559207846</v>
      </c>
      <c r="AU20" s="8">
        <f t="shared" si="62"/>
        <v>6.9875639454263144E-2</v>
      </c>
      <c r="AV20" s="8">
        <f t="shared" si="63"/>
        <v>2.1093750348369439E-2</v>
      </c>
      <c r="AW20" s="8">
        <f t="shared" si="64"/>
        <v>2.8313342824278771E-3</v>
      </c>
      <c r="AX20" s="8">
        <f t="shared" si="65"/>
        <v>0.82394280035158607</v>
      </c>
      <c r="AY20" s="8">
        <f t="shared" si="66"/>
        <v>8.2256475563353373E-2</v>
      </c>
      <c r="AZ20" s="8">
        <f t="shared" si="67"/>
        <v>0.99999999999999989</v>
      </c>
      <c r="BB20" s="8">
        <f t="shared" si="68"/>
        <v>7.3142615919831983E-2</v>
      </c>
      <c r="BC20" s="8">
        <f t="shared" si="69"/>
        <v>5.4339180542823263E-3</v>
      </c>
      <c r="BD20" s="8">
        <f t="shared" si="70"/>
        <v>3.625351608300755E-3</v>
      </c>
      <c r="BE20" s="8">
        <f t="shared" si="71"/>
        <v>0.83448880246248658</v>
      </c>
      <c r="BF20" s="8">
        <f t="shared" si="72"/>
        <v>8.3309311955098289E-2</v>
      </c>
      <c r="BG20" s="8">
        <f t="shared" si="73"/>
        <v>0.99999999999999989</v>
      </c>
      <c r="BI20" s="21">
        <f t="shared" si="74"/>
        <v>6.8527303830343252E-3</v>
      </c>
      <c r="BJ20" s="21"/>
      <c r="BK20" s="21"/>
      <c r="BM20" s="8">
        <f t="shared" si="75"/>
        <v>10.016753024106789</v>
      </c>
    </row>
    <row r="21" spans="1:65" s="8" customFormat="1">
      <c r="A21" s="44"/>
      <c r="B21" s="44"/>
      <c r="C21" s="44">
        <f>'Spinel-- no zeroes'!C21</f>
        <v>0</v>
      </c>
      <c r="D21" s="44"/>
      <c r="E21" s="44">
        <v>53.912050000000001</v>
      </c>
      <c r="F21" s="44">
        <v>0.10924383333333332</v>
      </c>
      <c r="G21" s="44">
        <v>5.2310049999999997</v>
      </c>
      <c r="H21" s="44">
        <v>0.77429516666666665</v>
      </c>
      <c r="I21" s="44">
        <v>5.8162050000000001</v>
      </c>
      <c r="J21" s="44">
        <v>0.12420749999999998</v>
      </c>
      <c r="K21" s="44">
        <v>32.685316666666665</v>
      </c>
      <c r="L21" s="44">
        <v>1.9812816666666668</v>
      </c>
      <c r="M21" s="44">
        <v>8.1339666666666671E-2</v>
      </c>
      <c r="N21" s="44">
        <v>0.12232233333333332</v>
      </c>
      <c r="O21" s="9">
        <f t="shared" si="38"/>
        <v>100.83726683333332</v>
      </c>
      <c r="Q21" s="8">
        <f t="shared" si="39"/>
        <v>2.8981374416886019</v>
      </c>
      <c r="R21" s="8">
        <v>6</v>
      </c>
      <c r="S21" s="8">
        <f t="shared" si="40"/>
        <v>1.8574447944079215</v>
      </c>
      <c r="T21" s="8">
        <f t="shared" si="41"/>
        <v>2.8313342824278771E-3</v>
      </c>
      <c r="U21" s="8">
        <f t="shared" si="42"/>
        <v>0.2124308450463416</v>
      </c>
      <c r="V21" s="8">
        <f t="shared" si="43"/>
        <v>2.1093750348369439E-2</v>
      </c>
      <c r="W21" s="8">
        <f t="shared" si="44"/>
        <v>0.16758888273545697</v>
      </c>
      <c r="X21" s="8">
        <f t="shared" si="45"/>
        <v>3.625351608300755E-3</v>
      </c>
      <c r="Y21" s="8">
        <f t="shared" si="46"/>
        <v>1.6786964479470667</v>
      </c>
      <c r="Z21" s="8">
        <f t="shared" si="47"/>
        <v>7.3142615919831983E-2</v>
      </c>
      <c r="AA21" s="8">
        <f t="shared" si="48"/>
        <v>5.4339180542823263E-3</v>
      </c>
      <c r="AB21" s="8">
        <f t="shared" si="49"/>
        <v>3.3905922894362475E-3</v>
      </c>
      <c r="AC21" s="8">
        <f t="shared" si="50"/>
        <v>4.0256785326394358</v>
      </c>
      <c r="AE21" s="8">
        <f t="shared" si="51"/>
        <v>0.90922915328937604</v>
      </c>
      <c r="AF21" s="8">
        <f t="shared" si="52"/>
        <v>9.0327746046261551E-2</v>
      </c>
      <c r="AH21" s="8">
        <f t="shared" si="53"/>
        <v>0</v>
      </c>
      <c r="AI21" s="8">
        <f t="shared" si="54"/>
        <v>5.4339180542823263E-3</v>
      </c>
      <c r="AK21" s="8">
        <f t="shared" si="55"/>
        <v>5.6626685648557542E-3</v>
      </c>
      <c r="AL21" s="8">
        <f t="shared" si="56"/>
        <v>0.11121400438778647</v>
      </c>
      <c r="AM21" s="8">
        <f t="shared" si="57"/>
        <v>-4.3734057032810247E-2</v>
      </c>
      <c r="AN21" s="8">
        <f t="shared" si="58"/>
        <v>0.94710199866532152</v>
      </c>
      <c r="AO21" s="8">
        <f t="shared" si="59"/>
        <v>1.0256785326394358</v>
      </c>
      <c r="AQ21" s="8">
        <f t="shared" si="60"/>
        <v>46.226932127559301</v>
      </c>
      <c r="AS21" s="8">
        <f t="shared" si="61"/>
        <v>0.14255520559207846</v>
      </c>
      <c r="AU21" s="8">
        <f t="shared" si="62"/>
        <v>6.9875639454263144E-2</v>
      </c>
      <c r="AV21" s="8">
        <f t="shared" si="63"/>
        <v>2.1093750348369439E-2</v>
      </c>
      <c r="AW21" s="8">
        <f t="shared" si="64"/>
        <v>2.8313342824278771E-3</v>
      </c>
      <c r="AX21" s="8">
        <f t="shared" si="65"/>
        <v>0.82394280035158607</v>
      </c>
      <c r="AY21" s="8">
        <f t="shared" si="66"/>
        <v>8.2256475563353373E-2</v>
      </c>
      <c r="AZ21" s="8">
        <f t="shared" si="67"/>
        <v>0.99999999999999989</v>
      </c>
      <c r="BB21" s="8">
        <f t="shared" si="68"/>
        <v>7.3142615919831983E-2</v>
      </c>
      <c r="BC21" s="8">
        <f t="shared" si="69"/>
        <v>5.4339180542823263E-3</v>
      </c>
      <c r="BD21" s="8">
        <f t="shared" si="70"/>
        <v>3.625351608300755E-3</v>
      </c>
      <c r="BE21" s="8">
        <f t="shared" si="71"/>
        <v>0.83448880246248658</v>
      </c>
      <c r="BF21" s="8">
        <f t="shared" si="72"/>
        <v>8.3309311955098289E-2</v>
      </c>
      <c r="BG21" s="8">
        <f t="shared" si="73"/>
        <v>0.99999999999999989</v>
      </c>
      <c r="BI21" s="21">
        <f t="shared" si="74"/>
        <v>6.8527303830343252E-3</v>
      </c>
      <c r="BJ21" s="21"/>
      <c r="BK21" s="21"/>
      <c r="BM21" s="8">
        <f t="shared" si="75"/>
        <v>10.016753024106789</v>
      </c>
    </row>
    <row r="22" spans="1:65" s="8" customFormat="1">
      <c r="A22" s="44"/>
      <c r="B22" s="44"/>
      <c r="C22" s="44">
        <f>'Spinel-- no zeroes'!C22</f>
        <v>0</v>
      </c>
      <c r="D22" s="44"/>
      <c r="E22" s="44">
        <v>53.912050000000001</v>
      </c>
      <c r="F22" s="44">
        <v>0.10924383333333332</v>
      </c>
      <c r="G22" s="44">
        <v>5.2310049999999997</v>
      </c>
      <c r="H22" s="44">
        <v>0.77429516666666665</v>
      </c>
      <c r="I22" s="44">
        <v>5.8162050000000001</v>
      </c>
      <c r="J22" s="44">
        <v>0.12420749999999998</v>
      </c>
      <c r="K22" s="44">
        <v>32.685316666666665</v>
      </c>
      <c r="L22" s="44">
        <v>1.9812816666666668</v>
      </c>
      <c r="M22" s="44">
        <v>8.1339666666666671E-2</v>
      </c>
      <c r="N22" s="44">
        <v>0.12232233333333332</v>
      </c>
      <c r="O22" s="9">
        <f t="shared" si="38"/>
        <v>100.83726683333332</v>
      </c>
      <c r="Q22" s="8">
        <f t="shared" si="39"/>
        <v>2.8981374416886019</v>
      </c>
      <c r="R22" s="8">
        <v>6</v>
      </c>
      <c r="S22" s="8">
        <f t="shared" si="40"/>
        <v>1.8574447944079215</v>
      </c>
      <c r="T22" s="8">
        <f t="shared" si="41"/>
        <v>2.8313342824278771E-3</v>
      </c>
      <c r="U22" s="8">
        <f t="shared" si="42"/>
        <v>0.2124308450463416</v>
      </c>
      <c r="V22" s="8">
        <f t="shared" si="43"/>
        <v>2.1093750348369439E-2</v>
      </c>
      <c r="W22" s="8">
        <f t="shared" si="44"/>
        <v>0.16758888273545697</v>
      </c>
      <c r="X22" s="8">
        <f t="shared" si="45"/>
        <v>3.625351608300755E-3</v>
      </c>
      <c r="Y22" s="8">
        <f t="shared" si="46"/>
        <v>1.6786964479470667</v>
      </c>
      <c r="Z22" s="8">
        <f t="shared" si="47"/>
        <v>7.3142615919831983E-2</v>
      </c>
      <c r="AA22" s="8">
        <f t="shared" si="48"/>
        <v>5.4339180542823263E-3</v>
      </c>
      <c r="AB22" s="8">
        <f t="shared" si="49"/>
        <v>3.3905922894362475E-3</v>
      </c>
      <c r="AC22" s="8">
        <f t="shared" si="50"/>
        <v>4.0256785326394358</v>
      </c>
      <c r="AE22" s="8">
        <f t="shared" si="51"/>
        <v>0.90922915328937604</v>
      </c>
      <c r="AF22" s="8">
        <f t="shared" si="52"/>
        <v>9.0327746046261551E-2</v>
      </c>
      <c r="AH22" s="8">
        <f t="shared" si="53"/>
        <v>0</v>
      </c>
      <c r="AI22" s="8">
        <f t="shared" si="54"/>
        <v>5.4339180542823263E-3</v>
      </c>
      <c r="AK22" s="8">
        <f t="shared" si="55"/>
        <v>5.6626685648557542E-3</v>
      </c>
      <c r="AL22" s="8">
        <f t="shared" si="56"/>
        <v>0.11121400438778647</v>
      </c>
      <c r="AM22" s="8">
        <f t="shared" si="57"/>
        <v>-4.3734057032810247E-2</v>
      </c>
      <c r="AN22" s="8">
        <f t="shared" si="58"/>
        <v>0.94710199866532152</v>
      </c>
      <c r="AO22" s="8">
        <f t="shared" si="59"/>
        <v>1.0256785326394358</v>
      </c>
      <c r="AQ22" s="8">
        <f t="shared" si="60"/>
        <v>46.226932127559301</v>
      </c>
      <c r="AS22" s="8">
        <f t="shared" si="61"/>
        <v>0.14255520559207846</v>
      </c>
      <c r="AU22" s="8">
        <f t="shared" si="62"/>
        <v>6.9875639454263144E-2</v>
      </c>
      <c r="AV22" s="8">
        <f t="shared" si="63"/>
        <v>2.1093750348369439E-2</v>
      </c>
      <c r="AW22" s="8">
        <f t="shared" si="64"/>
        <v>2.8313342824278771E-3</v>
      </c>
      <c r="AX22" s="8">
        <f t="shared" si="65"/>
        <v>0.82394280035158607</v>
      </c>
      <c r="AY22" s="8">
        <f t="shared" si="66"/>
        <v>8.2256475563353373E-2</v>
      </c>
      <c r="AZ22" s="8">
        <f t="shared" si="67"/>
        <v>0.99999999999999989</v>
      </c>
      <c r="BB22" s="8">
        <f t="shared" si="68"/>
        <v>7.3142615919831983E-2</v>
      </c>
      <c r="BC22" s="8">
        <f t="shared" si="69"/>
        <v>5.4339180542823263E-3</v>
      </c>
      <c r="BD22" s="8">
        <f t="shared" si="70"/>
        <v>3.625351608300755E-3</v>
      </c>
      <c r="BE22" s="8">
        <f t="shared" si="71"/>
        <v>0.83448880246248658</v>
      </c>
      <c r="BF22" s="8">
        <f t="shared" si="72"/>
        <v>8.3309311955098289E-2</v>
      </c>
      <c r="BG22" s="8">
        <f t="shared" si="73"/>
        <v>0.99999999999999989</v>
      </c>
      <c r="BI22" s="21">
        <f t="shared" si="74"/>
        <v>6.8527303830343252E-3</v>
      </c>
      <c r="BJ22" s="21"/>
      <c r="BK22" s="21"/>
      <c r="BM22" s="8">
        <f t="shared" si="75"/>
        <v>10.016753024106789</v>
      </c>
    </row>
    <row r="23" spans="1:65" s="8" customFormat="1">
      <c r="A23" s="44"/>
      <c r="B23" s="44"/>
      <c r="C23" s="44">
        <f>'Spinel-- no zeroes'!C23</f>
        <v>0</v>
      </c>
      <c r="D23" s="44"/>
      <c r="E23" s="44">
        <v>53.912050000000001</v>
      </c>
      <c r="F23" s="44">
        <v>0.10924383333333332</v>
      </c>
      <c r="G23" s="44">
        <v>5.2310049999999997</v>
      </c>
      <c r="H23" s="44">
        <v>0.77429516666666665</v>
      </c>
      <c r="I23" s="44">
        <v>5.8162050000000001</v>
      </c>
      <c r="J23" s="44">
        <v>0.12420749999999998</v>
      </c>
      <c r="K23" s="44">
        <v>32.685316666666665</v>
      </c>
      <c r="L23" s="44">
        <v>1.9812816666666668</v>
      </c>
      <c r="M23" s="44">
        <v>8.1339666666666671E-2</v>
      </c>
      <c r="N23" s="44">
        <v>0.12232233333333332</v>
      </c>
      <c r="O23" s="9">
        <f t="shared" si="38"/>
        <v>100.83726683333332</v>
      </c>
      <c r="Q23" s="8">
        <f t="shared" si="39"/>
        <v>2.8981374416886019</v>
      </c>
      <c r="R23" s="8">
        <v>6</v>
      </c>
      <c r="S23" s="8">
        <f t="shared" si="40"/>
        <v>1.8574447944079215</v>
      </c>
      <c r="T23" s="8">
        <f t="shared" si="41"/>
        <v>2.8313342824278771E-3</v>
      </c>
      <c r="U23" s="8">
        <f t="shared" si="42"/>
        <v>0.2124308450463416</v>
      </c>
      <c r="V23" s="8">
        <f t="shared" si="43"/>
        <v>2.1093750348369439E-2</v>
      </c>
      <c r="W23" s="8">
        <f t="shared" si="44"/>
        <v>0.16758888273545697</v>
      </c>
      <c r="X23" s="8">
        <f t="shared" si="45"/>
        <v>3.625351608300755E-3</v>
      </c>
      <c r="Y23" s="8">
        <f t="shared" si="46"/>
        <v>1.6786964479470667</v>
      </c>
      <c r="Z23" s="8">
        <f t="shared" si="47"/>
        <v>7.3142615919831983E-2</v>
      </c>
      <c r="AA23" s="8">
        <f t="shared" si="48"/>
        <v>5.4339180542823263E-3</v>
      </c>
      <c r="AB23" s="8">
        <f t="shared" si="49"/>
        <v>3.3905922894362475E-3</v>
      </c>
      <c r="AC23" s="8">
        <f t="shared" si="50"/>
        <v>4.0256785326394358</v>
      </c>
      <c r="AE23" s="8">
        <f t="shared" si="51"/>
        <v>0.90922915328937604</v>
      </c>
      <c r="AF23" s="8">
        <f t="shared" si="52"/>
        <v>9.0327746046261551E-2</v>
      </c>
      <c r="AH23" s="8">
        <f t="shared" si="53"/>
        <v>0</v>
      </c>
      <c r="AI23" s="8">
        <f t="shared" si="54"/>
        <v>5.4339180542823263E-3</v>
      </c>
      <c r="AK23" s="8">
        <f t="shared" si="55"/>
        <v>5.6626685648557542E-3</v>
      </c>
      <c r="AL23" s="8">
        <f t="shared" si="56"/>
        <v>0.11121400438778647</v>
      </c>
      <c r="AM23" s="8">
        <f t="shared" si="57"/>
        <v>-4.3734057032810247E-2</v>
      </c>
      <c r="AN23" s="8">
        <f t="shared" si="58"/>
        <v>0.94710199866532152</v>
      </c>
      <c r="AO23" s="8">
        <f t="shared" si="59"/>
        <v>1.0256785326394358</v>
      </c>
      <c r="AQ23" s="8">
        <f t="shared" si="60"/>
        <v>46.226932127559301</v>
      </c>
      <c r="AS23" s="8">
        <f t="shared" si="61"/>
        <v>0.14255520559207846</v>
      </c>
      <c r="AU23" s="8">
        <f t="shared" si="62"/>
        <v>6.9875639454263144E-2</v>
      </c>
      <c r="AV23" s="8">
        <f t="shared" si="63"/>
        <v>2.1093750348369439E-2</v>
      </c>
      <c r="AW23" s="8">
        <f t="shared" si="64"/>
        <v>2.8313342824278771E-3</v>
      </c>
      <c r="AX23" s="8">
        <f t="shared" si="65"/>
        <v>0.82394280035158607</v>
      </c>
      <c r="AY23" s="8">
        <f t="shared" si="66"/>
        <v>8.2256475563353373E-2</v>
      </c>
      <c r="AZ23" s="8">
        <f t="shared" si="67"/>
        <v>0.99999999999999989</v>
      </c>
      <c r="BB23" s="8">
        <f t="shared" si="68"/>
        <v>7.3142615919831983E-2</v>
      </c>
      <c r="BC23" s="8">
        <f t="shared" si="69"/>
        <v>5.4339180542823263E-3</v>
      </c>
      <c r="BD23" s="8">
        <f t="shared" si="70"/>
        <v>3.625351608300755E-3</v>
      </c>
      <c r="BE23" s="8">
        <f t="shared" si="71"/>
        <v>0.83448880246248658</v>
      </c>
      <c r="BF23" s="8">
        <f t="shared" si="72"/>
        <v>8.3309311955098289E-2</v>
      </c>
      <c r="BG23" s="8">
        <f t="shared" si="73"/>
        <v>0.99999999999999989</v>
      </c>
      <c r="BI23" s="21">
        <f t="shared" si="74"/>
        <v>6.8527303830343252E-3</v>
      </c>
      <c r="BJ23" s="21"/>
      <c r="BK23" s="21"/>
      <c r="BM23" s="8">
        <f t="shared" si="75"/>
        <v>10.016753024106789</v>
      </c>
    </row>
    <row r="24" spans="1:65" s="8" customFormat="1">
      <c r="A24" s="44"/>
      <c r="B24" s="44"/>
      <c r="C24" s="44">
        <f>'Spinel-- no zeroes'!C24</f>
        <v>0</v>
      </c>
      <c r="D24" s="44"/>
      <c r="E24" s="44">
        <v>53.912050000000001</v>
      </c>
      <c r="F24" s="44">
        <v>0.10924383333333332</v>
      </c>
      <c r="G24" s="44">
        <v>5.2310049999999997</v>
      </c>
      <c r="H24" s="44">
        <v>0.77429516666666665</v>
      </c>
      <c r="I24" s="44">
        <v>5.8162050000000001</v>
      </c>
      <c r="J24" s="44">
        <v>0.12420749999999998</v>
      </c>
      <c r="K24" s="44">
        <v>32.685316666666665</v>
      </c>
      <c r="L24" s="44">
        <v>1.9812816666666668</v>
      </c>
      <c r="M24" s="44">
        <v>8.1339666666666671E-2</v>
      </c>
      <c r="N24" s="44">
        <v>0.12232233333333332</v>
      </c>
      <c r="O24" s="9">
        <f t="shared" si="38"/>
        <v>100.83726683333332</v>
      </c>
      <c r="Q24" s="8">
        <f t="shared" si="39"/>
        <v>2.8981374416886019</v>
      </c>
      <c r="R24" s="8">
        <v>6</v>
      </c>
      <c r="S24" s="8">
        <f t="shared" si="40"/>
        <v>1.8574447944079215</v>
      </c>
      <c r="T24" s="8">
        <f t="shared" si="41"/>
        <v>2.8313342824278771E-3</v>
      </c>
      <c r="U24" s="8">
        <f t="shared" si="42"/>
        <v>0.2124308450463416</v>
      </c>
      <c r="V24" s="8">
        <f t="shared" si="43"/>
        <v>2.1093750348369439E-2</v>
      </c>
      <c r="W24" s="8">
        <f t="shared" si="44"/>
        <v>0.16758888273545697</v>
      </c>
      <c r="X24" s="8">
        <f t="shared" si="45"/>
        <v>3.625351608300755E-3</v>
      </c>
      <c r="Y24" s="8">
        <f t="shared" si="46"/>
        <v>1.6786964479470667</v>
      </c>
      <c r="Z24" s="8">
        <f t="shared" si="47"/>
        <v>7.3142615919831983E-2</v>
      </c>
      <c r="AA24" s="8">
        <f t="shared" si="48"/>
        <v>5.4339180542823263E-3</v>
      </c>
      <c r="AB24" s="8">
        <f t="shared" si="49"/>
        <v>3.3905922894362475E-3</v>
      </c>
      <c r="AC24" s="8">
        <f t="shared" si="50"/>
        <v>4.0256785326394358</v>
      </c>
      <c r="AE24" s="8">
        <f t="shared" si="51"/>
        <v>0.90922915328937604</v>
      </c>
      <c r="AF24" s="8">
        <f t="shared" si="52"/>
        <v>9.0327746046261551E-2</v>
      </c>
      <c r="AH24" s="8">
        <f t="shared" si="53"/>
        <v>0</v>
      </c>
      <c r="AI24" s="8">
        <f t="shared" si="54"/>
        <v>5.4339180542823263E-3</v>
      </c>
      <c r="AK24" s="8">
        <f t="shared" si="55"/>
        <v>5.6626685648557542E-3</v>
      </c>
      <c r="AL24" s="8">
        <f t="shared" si="56"/>
        <v>0.11121400438778647</v>
      </c>
      <c r="AM24" s="8">
        <f t="shared" si="57"/>
        <v>-4.3734057032810247E-2</v>
      </c>
      <c r="AN24" s="8">
        <f t="shared" si="58"/>
        <v>0.94710199866532152</v>
      </c>
      <c r="AO24" s="8">
        <f t="shared" si="59"/>
        <v>1.0256785326394358</v>
      </c>
      <c r="AQ24" s="8">
        <f t="shared" si="60"/>
        <v>46.226932127559301</v>
      </c>
      <c r="AS24" s="8">
        <f t="shared" si="61"/>
        <v>0.14255520559207846</v>
      </c>
      <c r="AU24" s="8">
        <f t="shared" si="62"/>
        <v>6.9875639454263144E-2</v>
      </c>
      <c r="AV24" s="8">
        <f t="shared" si="63"/>
        <v>2.1093750348369439E-2</v>
      </c>
      <c r="AW24" s="8">
        <f t="shared" si="64"/>
        <v>2.8313342824278771E-3</v>
      </c>
      <c r="AX24" s="8">
        <f t="shared" si="65"/>
        <v>0.82394280035158607</v>
      </c>
      <c r="AY24" s="8">
        <f t="shared" si="66"/>
        <v>8.2256475563353373E-2</v>
      </c>
      <c r="AZ24" s="8">
        <f t="shared" si="67"/>
        <v>0.99999999999999989</v>
      </c>
      <c r="BB24" s="8">
        <f t="shared" si="68"/>
        <v>7.3142615919831983E-2</v>
      </c>
      <c r="BC24" s="8">
        <f t="shared" si="69"/>
        <v>5.4339180542823263E-3</v>
      </c>
      <c r="BD24" s="8">
        <f t="shared" si="70"/>
        <v>3.625351608300755E-3</v>
      </c>
      <c r="BE24" s="8">
        <f t="shared" si="71"/>
        <v>0.83448880246248658</v>
      </c>
      <c r="BF24" s="8">
        <f t="shared" si="72"/>
        <v>8.3309311955098289E-2</v>
      </c>
      <c r="BG24" s="8">
        <f t="shared" si="73"/>
        <v>0.99999999999999989</v>
      </c>
      <c r="BI24" s="21">
        <f t="shared" si="74"/>
        <v>6.8527303830343252E-3</v>
      </c>
      <c r="BJ24" s="21"/>
      <c r="BK24" s="21"/>
      <c r="BM24" s="8">
        <f t="shared" si="75"/>
        <v>10.016753024106789</v>
      </c>
    </row>
    <row r="25" spans="1:65" s="8" customFormat="1">
      <c r="A25" s="44"/>
      <c r="B25" s="44"/>
      <c r="C25" s="44">
        <f>'Spinel-- no zeroes'!C25</f>
        <v>0</v>
      </c>
      <c r="D25" s="44"/>
      <c r="E25" s="44">
        <v>53.912050000000001</v>
      </c>
      <c r="F25" s="44">
        <v>0.10924383333333332</v>
      </c>
      <c r="G25" s="44">
        <v>5.2310049999999997</v>
      </c>
      <c r="H25" s="44">
        <v>0.77429516666666665</v>
      </c>
      <c r="I25" s="44">
        <v>5.8162050000000001</v>
      </c>
      <c r="J25" s="44">
        <v>0.12420749999999998</v>
      </c>
      <c r="K25" s="44">
        <v>32.685316666666665</v>
      </c>
      <c r="L25" s="44">
        <v>1.9812816666666668</v>
      </c>
      <c r="M25" s="44">
        <v>8.1339666666666671E-2</v>
      </c>
      <c r="N25" s="44">
        <v>0.12232233333333332</v>
      </c>
      <c r="O25" s="9">
        <f t="shared" si="38"/>
        <v>100.83726683333332</v>
      </c>
      <c r="Q25" s="8">
        <f t="shared" si="39"/>
        <v>2.8981374416886019</v>
      </c>
      <c r="R25" s="8">
        <v>6</v>
      </c>
      <c r="S25" s="8">
        <f t="shared" si="40"/>
        <v>1.8574447944079215</v>
      </c>
      <c r="T25" s="8">
        <f t="shared" si="41"/>
        <v>2.8313342824278771E-3</v>
      </c>
      <c r="U25" s="8">
        <f t="shared" si="42"/>
        <v>0.2124308450463416</v>
      </c>
      <c r="V25" s="8">
        <f t="shared" si="43"/>
        <v>2.1093750348369439E-2</v>
      </c>
      <c r="W25" s="8">
        <f t="shared" si="44"/>
        <v>0.16758888273545697</v>
      </c>
      <c r="X25" s="8">
        <f t="shared" si="45"/>
        <v>3.625351608300755E-3</v>
      </c>
      <c r="Y25" s="8">
        <f t="shared" si="46"/>
        <v>1.6786964479470667</v>
      </c>
      <c r="Z25" s="8">
        <f t="shared" si="47"/>
        <v>7.3142615919831983E-2</v>
      </c>
      <c r="AA25" s="8">
        <f t="shared" si="48"/>
        <v>5.4339180542823263E-3</v>
      </c>
      <c r="AB25" s="8">
        <f t="shared" si="49"/>
        <v>3.3905922894362475E-3</v>
      </c>
      <c r="AC25" s="8">
        <f t="shared" si="50"/>
        <v>4.0256785326394358</v>
      </c>
      <c r="AE25" s="8">
        <f t="shared" si="51"/>
        <v>0.90922915328937604</v>
      </c>
      <c r="AF25" s="8">
        <f t="shared" si="52"/>
        <v>9.0327746046261551E-2</v>
      </c>
      <c r="AH25" s="8">
        <f t="shared" si="53"/>
        <v>0</v>
      </c>
      <c r="AI25" s="8">
        <f t="shared" si="54"/>
        <v>5.4339180542823263E-3</v>
      </c>
      <c r="AK25" s="8">
        <f t="shared" si="55"/>
        <v>5.6626685648557542E-3</v>
      </c>
      <c r="AL25" s="8">
        <f t="shared" si="56"/>
        <v>0.11121400438778647</v>
      </c>
      <c r="AM25" s="8">
        <f t="shared" si="57"/>
        <v>-4.3734057032810247E-2</v>
      </c>
      <c r="AN25" s="8">
        <f t="shared" si="58"/>
        <v>0.94710199866532152</v>
      </c>
      <c r="AO25" s="8">
        <f t="shared" si="59"/>
        <v>1.0256785326394358</v>
      </c>
      <c r="AQ25" s="8">
        <f t="shared" si="60"/>
        <v>46.226932127559301</v>
      </c>
      <c r="AS25" s="8">
        <f t="shared" si="61"/>
        <v>0.14255520559207846</v>
      </c>
      <c r="AU25" s="8">
        <f t="shared" si="62"/>
        <v>6.9875639454263144E-2</v>
      </c>
      <c r="AV25" s="8">
        <f t="shared" si="63"/>
        <v>2.1093750348369439E-2</v>
      </c>
      <c r="AW25" s="8">
        <f t="shared" si="64"/>
        <v>2.8313342824278771E-3</v>
      </c>
      <c r="AX25" s="8">
        <f t="shared" si="65"/>
        <v>0.82394280035158607</v>
      </c>
      <c r="AY25" s="8">
        <f t="shared" si="66"/>
        <v>8.2256475563353373E-2</v>
      </c>
      <c r="AZ25" s="8">
        <f t="shared" si="67"/>
        <v>0.99999999999999989</v>
      </c>
      <c r="BB25" s="8">
        <f t="shared" si="68"/>
        <v>7.3142615919831983E-2</v>
      </c>
      <c r="BC25" s="8">
        <f t="shared" si="69"/>
        <v>5.4339180542823263E-3</v>
      </c>
      <c r="BD25" s="8">
        <f t="shared" si="70"/>
        <v>3.625351608300755E-3</v>
      </c>
      <c r="BE25" s="8">
        <f t="shared" si="71"/>
        <v>0.83448880246248658</v>
      </c>
      <c r="BF25" s="8">
        <f t="shared" si="72"/>
        <v>8.3309311955098289E-2</v>
      </c>
      <c r="BG25" s="8">
        <f t="shared" si="73"/>
        <v>0.99999999999999989</v>
      </c>
      <c r="BI25" s="21">
        <f t="shared" si="74"/>
        <v>6.8527303830343252E-3</v>
      </c>
      <c r="BJ25" s="21"/>
      <c r="BK25" s="21"/>
      <c r="BM25" s="8">
        <f t="shared" si="75"/>
        <v>10.016753024106789</v>
      </c>
    </row>
    <row r="26" spans="1:65" s="8" customFormat="1">
      <c r="A26" s="44"/>
      <c r="B26" s="44"/>
      <c r="C26" s="44">
        <f>'Spinel-- no zeroes'!C26</f>
        <v>0</v>
      </c>
      <c r="D26" s="44"/>
      <c r="E26" s="44">
        <v>53.912050000000001</v>
      </c>
      <c r="F26" s="44">
        <v>0.10924383333333332</v>
      </c>
      <c r="G26" s="44">
        <v>5.2310049999999997</v>
      </c>
      <c r="H26" s="44">
        <v>0.77429516666666665</v>
      </c>
      <c r="I26" s="44">
        <v>5.8162050000000001</v>
      </c>
      <c r="J26" s="44">
        <v>0.12420749999999998</v>
      </c>
      <c r="K26" s="44">
        <v>32.685316666666665</v>
      </c>
      <c r="L26" s="44">
        <v>1.9812816666666668</v>
      </c>
      <c r="M26" s="44">
        <v>8.1339666666666671E-2</v>
      </c>
      <c r="N26" s="44">
        <v>0.12232233333333332</v>
      </c>
      <c r="O26" s="9">
        <f t="shared" si="38"/>
        <v>100.83726683333332</v>
      </c>
      <c r="Q26" s="8">
        <f t="shared" si="39"/>
        <v>2.8981374416886019</v>
      </c>
      <c r="R26" s="8">
        <v>6</v>
      </c>
      <c r="S26" s="8">
        <f t="shared" si="40"/>
        <v>1.8574447944079215</v>
      </c>
      <c r="T26" s="8">
        <f t="shared" si="41"/>
        <v>2.8313342824278771E-3</v>
      </c>
      <c r="U26" s="8">
        <f t="shared" si="42"/>
        <v>0.2124308450463416</v>
      </c>
      <c r="V26" s="8">
        <f t="shared" si="43"/>
        <v>2.1093750348369439E-2</v>
      </c>
      <c r="W26" s="8">
        <f t="shared" si="44"/>
        <v>0.16758888273545697</v>
      </c>
      <c r="X26" s="8">
        <f t="shared" si="45"/>
        <v>3.625351608300755E-3</v>
      </c>
      <c r="Y26" s="8">
        <f t="shared" si="46"/>
        <v>1.6786964479470667</v>
      </c>
      <c r="Z26" s="8">
        <f t="shared" si="47"/>
        <v>7.3142615919831983E-2</v>
      </c>
      <c r="AA26" s="8">
        <f t="shared" si="48"/>
        <v>5.4339180542823263E-3</v>
      </c>
      <c r="AB26" s="8">
        <f t="shared" si="49"/>
        <v>3.3905922894362475E-3</v>
      </c>
      <c r="AC26" s="8">
        <f t="shared" si="50"/>
        <v>4.0256785326394358</v>
      </c>
      <c r="AE26" s="8">
        <f t="shared" si="51"/>
        <v>0.90922915328937604</v>
      </c>
      <c r="AF26" s="8">
        <f t="shared" si="52"/>
        <v>9.0327746046261551E-2</v>
      </c>
      <c r="AH26" s="8">
        <f t="shared" si="53"/>
        <v>0</v>
      </c>
      <c r="AI26" s="8">
        <f t="shared" si="54"/>
        <v>5.4339180542823263E-3</v>
      </c>
      <c r="AK26" s="8">
        <f t="shared" si="55"/>
        <v>5.6626685648557542E-3</v>
      </c>
      <c r="AL26" s="8">
        <f t="shared" si="56"/>
        <v>0.11121400438778647</v>
      </c>
      <c r="AM26" s="8">
        <f t="shared" si="57"/>
        <v>-4.3734057032810247E-2</v>
      </c>
      <c r="AN26" s="8">
        <f t="shared" si="58"/>
        <v>0.94710199866532152</v>
      </c>
      <c r="AO26" s="8">
        <f t="shared" si="59"/>
        <v>1.0256785326394358</v>
      </c>
      <c r="AQ26" s="8">
        <f t="shared" si="60"/>
        <v>46.226932127559301</v>
      </c>
      <c r="AS26" s="8">
        <f t="shared" si="61"/>
        <v>0.14255520559207846</v>
      </c>
      <c r="AU26" s="8">
        <f t="shared" si="62"/>
        <v>6.9875639454263144E-2</v>
      </c>
      <c r="AV26" s="8">
        <f t="shared" si="63"/>
        <v>2.1093750348369439E-2</v>
      </c>
      <c r="AW26" s="8">
        <f t="shared" si="64"/>
        <v>2.8313342824278771E-3</v>
      </c>
      <c r="AX26" s="8">
        <f t="shared" si="65"/>
        <v>0.82394280035158607</v>
      </c>
      <c r="AY26" s="8">
        <f t="shared" si="66"/>
        <v>8.2256475563353373E-2</v>
      </c>
      <c r="AZ26" s="8">
        <f t="shared" si="67"/>
        <v>0.99999999999999989</v>
      </c>
      <c r="BB26" s="8">
        <f t="shared" si="68"/>
        <v>7.3142615919831983E-2</v>
      </c>
      <c r="BC26" s="8">
        <f t="shared" si="69"/>
        <v>5.4339180542823263E-3</v>
      </c>
      <c r="BD26" s="8">
        <f t="shared" si="70"/>
        <v>3.625351608300755E-3</v>
      </c>
      <c r="BE26" s="8">
        <f t="shared" si="71"/>
        <v>0.83448880246248658</v>
      </c>
      <c r="BF26" s="8">
        <f t="shared" si="72"/>
        <v>8.3309311955098289E-2</v>
      </c>
      <c r="BG26" s="8">
        <f t="shared" si="73"/>
        <v>0.99999999999999989</v>
      </c>
      <c r="BI26" s="21">
        <f t="shared" si="74"/>
        <v>6.8527303830343252E-3</v>
      </c>
      <c r="BJ26" s="21"/>
      <c r="BK26" s="21"/>
      <c r="BM26" s="8">
        <f t="shared" si="75"/>
        <v>10.016753024106789</v>
      </c>
    </row>
    <row r="27" spans="1:65" s="8" customFormat="1">
      <c r="A27" s="44"/>
      <c r="B27" s="44"/>
      <c r="C27" s="44">
        <f>'Spinel-- no zeroes'!C27</f>
        <v>0</v>
      </c>
      <c r="D27" s="44"/>
      <c r="E27" s="44">
        <v>53.912050000000001</v>
      </c>
      <c r="F27" s="44">
        <v>0.10924383333333332</v>
      </c>
      <c r="G27" s="44">
        <v>5.2310049999999997</v>
      </c>
      <c r="H27" s="44">
        <v>0.77429516666666665</v>
      </c>
      <c r="I27" s="44">
        <v>5.8162050000000001</v>
      </c>
      <c r="J27" s="44">
        <v>0.12420749999999998</v>
      </c>
      <c r="K27" s="44">
        <v>32.685316666666665</v>
      </c>
      <c r="L27" s="44">
        <v>1.9812816666666668</v>
      </c>
      <c r="M27" s="44">
        <v>8.1339666666666671E-2</v>
      </c>
      <c r="N27" s="44">
        <v>0.12232233333333332</v>
      </c>
      <c r="O27" s="9">
        <f t="shared" si="38"/>
        <v>100.83726683333332</v>
      </c>
      <c r="Q27" s="8">
        <f t="shared" si="39"/>
        <v>2.8981374416886019</v>
      </c>
      <c r="R27" s="8">
        <v>6</v>
      </c>
      <c r="S27" s="8">
        <f t="shared" si="40"/>
        <v>1.8574447944079215</v>
      </c>
      <c r="T27" s="8">
        <f t="shared" si="41"/>
        <v>2.8313342824278771E-3</v>
      </c>
      <c r="U27" s="8">
        <f t="shared" si="42"/>
        <v>0.2124308450463416</v>
      </c>
      <c r="V27" s="8">
        <f t="shared" si="43"/>
        <v>2.1093750348369439E-2</v>
      </c>
      <c r="W27" s="8">
        <f t="shared" si="44"/>
        <v>0.16758888273545697</v>
      </c>
      <c r="X27" s="8">
        <f t="shared" si="45"/>
        <v>3.625351608300755E-3</v>
      </c>
      <c r="Y27" s="8">
        <f t="shared" si="46"/>
        <v>1.6786964479470667</v>
      </c>
      <c r="Z27" s="8">
        <f t="shared" si="47"/>
        <v>7.3142615919831983E-2</v>
      </c>
      <c r="AA27" s="8">
        <f t="shared" si="48"/>
        <v>5.4339180542823263E-3</v>
      </c>
      <c r="AB27" s="8">
        <f t="shared" si="49"/>
        <v>3.3905922894362475E-3</v>
      </c>
      <c r="AC27" s="8">
        <f t="shared" si="50"/>
        <v>4.0256785326394358</v>
      </c>
      <c r="AE27" s="8">
        <f t="shared" si="51"/>
        <v>0.90922915328937604</v>
      </c>
      <c r="AF27" s="8">
        <f t="shared" si="52"/>
        <v>9.0327746046261551E-2</v>
      </c>
      <c r="AH27" s="8">
        <f t="shared" si="53"/>
        <v>0</v>
      </c>
      <c r="AI27" s="8">
        <f t="shared" si="54"/>
        <v>5.4339180542823263E-3</v>
      </c>
      <c r="AK27" s="8">
        <f t="shared" si="55"/>
        <v>5.6626685648557542E-3</v>
      </c>
      <c r="AL27" s="8">
        <f t="shared" si="56"/>
        <v>0.11121400438778647</v>
      </c>
      <c r="AM27" s="8">
        <f t="shared" si="57"/>
        <v>-4.3734057032810247E-2</v>
      </c>
      <c r="AN27" s="8">
        <f t="shared" si="58"/>
        <v>0.94710199866532152</v>
      </c>
      <c r="AO27" s="8">
        <f t="shared" si="59"/>
        <v>1.0256785326394358</v>
      </c>
      <c r="AQ27" s="8">
        <f t="shared" si="60"/>
        <v>46.226932127559301</v>
      </c>
      <c r="AS27" s="8">
        <f t="shared" si="61"/>
        <v>0.14255520559207846</v>
      </c>
      <c r="AU27" s="8">
        <f t="shared" si="62"/>
        <v>6.9875639454263144E-2</v>
      </c>
      <c r="AV27" s="8">
        <f t="shared" si="63"/>
        <v>2.1093750348369439E-2</v>
      </c>
      <c r="AW27" s="8">
        <f t="shared" si="64"/>
        <v>2.8313342824278771E-3</v>
      </c>
      <c r="AX27" s="8">
        <f t="shared" si="65"/>
        <v>0.82394280035158607</v>
      </c>
      <c r="AY27" s="8">
        <f t="shared" si="66"/>
        <v>8.2256475563353373E-2</v>
      </c>
      <c r="AZ27" s="8">
        <f t="shared" si="67"/>
        <v>0.99999999999999989</v>
      </c>
      <c r="BB27" s="8">
        <f t="shared" si="68"/>
        <v>7.3142615919831983E-2</v>
      </c>
      <c r="BC27" s="8">
        <f t="shared" si="69"/>
        <v>5.4339180542823263E-3</v>
      </c>
      <c r="BD27" s="8">
        <f t="shared" si="70"/>
        <v>3.625351608300755E-3</v>
      </c>
      <c r="BE27" s="8">
        <f t="shared" si="71"/>
        <v>0.83448880246248658</v>
      </c>
      <c r="BF27" s="8">
        <f t="shared" si="72"/>
        <v>8.3309311955098289E-2</v>
      </c>
      <c r="BG27" s="8">
        <f t="shared" si="73"/>
        <v>0.99999999999999989</v>
      </c>
      <c r="BI27" s="21">
        <f t="shared" si="74"/>
        <v>6.8527303830343252E-3</v>
      </c>
      <c r="BJ27" s="21"/>
      <c r="BK27" s="21"/>
      <c r="BM27" s="8">
        <f t="shared" si="75"/>
        <v>10.016753024106789</v>
      </c>
    </row>
    <row r="28" spans="1:65" s="8" customFormat="1">
      <c r="A28" s="44"/>
      <c r="B28" s="44"/>
      <c r="C28" s="44">
        <f>'Spinel-- no zeroes'!C28</f>
        <v>0</v>
      </c>
      <c r="D28" s="44"/>
      <c r="E28" s="44">
        <v>53.912050000000001</v>
      </c>
      <c r="F28" s="44">
        <v>0.10924383333333332</v>
      </c>
      <c r="G28" s="44">
        <v>5.2310049999999997</v>
      </c>
      <c r="H28" s="44">
        <v>0.77429516666666665</v>
      </c>
      <c r="I28" s="44">
        <v>5.8162050000000001</v>
      </c>
      <c r="J28" s="44">
        <v>0.12420749999999998</v>
      </c>
      <c r="K28" s="44">
        <v>32.685316666666665</v>
      </c>
      <c r="L28" s="44">
        <v>1.9812816666666668</v>
      </c>
      <c r="M28" s="44">
        <v>8.1339666666666671E-2</v>
      </c>
      <c r="N28" s="44">
        <v>0.12232233333333332</v>
      </c>
      <c r="O28" s="9">
        <f t="shared" si="38"/>
        <v>100.83726683333332</v>
      </c>
      <c r="Q28" s="8">
        <f t="shared" si="39"/>
        <v>2.8981374416886019</v>
      </c>
      <c r="R28" s="8">
        <v>6</v>
      </c>
      <c r="S28" s="8">
        <f t="shared" si="40"/>
        <v>1.8574447944079215</v>
      </c>
      <c r="T28" s="8">
        <f t="shared" si="41"/>
        <v>2.8313342824278771E-3</v>
      </c>
      <c r="U28" s="8">
        <f t="shared" si="42"/>
        <v>0.2124308450463416</v>
      </c>
      <c r="V28" s="8">
        <f t="shared" si="43"/>
        <v>2.1093750348369439E-2</v>
      </c>
      <c r="W28" s="8">
        <f t="shared" si="44"/>
        <v>0.16758888273545697</v>
      </c>
      <c r="X28" s="8">
        <f t="shared" si="45"/>
        <v>3.625351608300755E-3</v>
      </c>
      <c r="Y28" s="8">
        <f t="shared" si="46"/>
        <v>1.6786964479470667</v>
      </c>
      <c r="Z28" s="8">
        <f t="shared" si="47"/>
        <v>7.3142615919831983E-2</v>
      </c>
      <c r="AA28" s="8">
        <f t="shared" si="48"/>
        <v>5.4339180542823263E-3</v>
      </c>
      <c r="AB28" s="8">
        <f t="shared" si="49"/>
        <v>3.3905922894362475E-3</v>
      </c>
      <c r="AC28" s="8">
        <f t="shared" si="50"/>
        <v>4.0256785326394358</v>
      </c>
      <c r="AE28" s="8">
        <f t="shared" si="51"/>
        <v>0.90922915328937604</v>
      </c>
      <c r="AF28" s="8">
        <f t="shared" si="52"/>
        <v>9.0327746046261551E-2</v>
      </c>
      <c r="AH28" s="8">
        <f t="shared" si="53"/>
        <v>0</v>
      </c>
      <c r="AI28" s="8">
        <f t="shared" si="54"/>
        <v>5.4339180542823263E-3</v>
      </c>
      <c r="AK28" s="8">
        <f t="shared" si="55"/>
        <v>5.6626685648557542E-3</v>
      </c>
      <c r="AL28" s="8">
        <f t="shared" si="56"/>
        <v>0.11121400438778647</v>
      </c>
      <c r="AM28" s="8">
        <f t="shared" si="57"/>
        <v>-4.3734057032810247E-2</v>
      </c>
      <c r="AN28" s="8">
        <f t="shared" si="58"/>
        <v>0.94710199866532152</v>
      </c>
      <c r="AO28" s="8">
        <f t="shared" si="59"/>
        <v>1.0256785326394358</v>
      </c>
      <c r="AQ28" s="8">
        <f t="shared" si="60"/>
        <v>46.226932127559301</v>
      </c>
      <c r="AS28" s="8">
        <f t="shared" si="61"/>
        <v>0.14255520559207846</v>
      </c>
      <c r="AU28" s="8">
        <f t="shared" si="62"/>
        <v>6.9875639454263144E-2</v>
      </c>
      <c r="AV28" s="8">
        <f t="shared" si="63"/>
        <v>2.1093750348369439E-2</v>
      </c>
      <c r="AW28" s="8">
        <f t="shared" si="64"/>
        <v>2.8313342824278771E-3</v>
      </c>
      <c r="AX28" s="8">
        <f t="shared" si="65"/>
        <v>0.82394280035158607</v>
      </c>
      <c r="AY28" s="8">
        <f t="shared" si="66"/>
        <v>8.2256475563353373E-2</v>
      </c>
      <c r="AZ28" s="8">
        <f t="shared" si="67"/>
        <v>0.99999999999999989</v>
      </c>
      <c r="BB28" s="8">
        <f t="shared" si="68"/>
        <v>7.3142615919831983E-2</v>
      </c>
      <c r="BC28" s="8">
        <f t="shared" si="69"/>
        <v>5.4339180542823263E-3</v>
      </c>
      <c r="BD28" s="8">
        <f t="shared" si="70"/>
        <v>3.625351608300755E-3</v>
      </c>
      <c r="BE28" s="8">
        <f t="shared" si="71"/>
        <v>0.83448880246248658</v>
      </c>
      <c r="BF28" s="8">
        <f t="shared" si="72"/>
        <v>8.3309311955098289E-2</v>
      </c>
      <c r="BG28" s="8">
        <f t="shared" si="73"/>
        <v>0.99999999999999989</v>
      </c>
      <c r="BI28" s="21">
        <f t="shared" si="74"/>
        <v>6.8527303830343252E-3</v>
      </c>
      <c r="BJ28" s="21"/>
      <c r="BK28" s="21"/>
      <c r="BM28" s="8">
        <f t="shared" si="75"/>
        <v>10.016753024106789</v>
      </c>
    </row>
    <row r="29" spans="1:65" s="8" customFormat="1">
      <c r="A29" s="44"/>
      <c r="B29" s="44"/>
      <c r="C29" s="44">
        <f>'Spinel-- no zeroes'!C29</f>
        <v>0</v>
      </c>
      <c r="D29" s="44"/>
      <c r="E29" s="44">
        <v>53.912050000000001</v>
      </c>
      <c r="F29" s="44">
        <v>0.10924383333333332</v>
      </c>
      <c r="G29" s="44">
        <v>5.2310049999999997</v>
      </c>
      <c r="H29" s="44">
        <v>0.77429516666666665</v>
      </c>
      <c r="I29" s="44">
        <v>5.8162050000000001</v>
      </c>
      <c r="J29" s="44">
        <v>0.12420749999999998</v>
      </c>
      <c r="K29" s="44">
        <v>32.685316666666665</v>
      </c>
      <c r="L29" s="44">
        <v>1.9812816666666668</v>
      </c>
      <c r="M29" s="44">
        <v>8.1339666666666671E-2</v>
      </c>
      <c r="N29" s="44">
        <v>0.12232233333333332</v>
      </c>
      <c r="O29" s="9">
        <f t="shared" si="38"/>
        <v>100.83726683333332</v>
      </c>
      <c r="Q29" s="8">
        <f t="shared" si="39"/>
        <v>2.8981374416886019</v>
      </c>
      <c r="R29" s="8">
        <v>6</v>
      </c>
      <c r="S29" s="8">
        <f t="shared" si="40"/>
        <v>1.8574447944079215</v>
      </c>
      <c r="T29" s="8">
        <f t="shared" si="41"/>
        <v>2.8313342824278771E-3</v>
      </c>
      <c r="U29" s="8">
        <f t="shared" si="42"/>
        <v>0.2124308450463416</v>
      </c>
      <c r="V29" s="8">
        <f t="shared" si="43"/>
        <v>2.1093750348369439E-2</v>
      </c>
      <c r="W29" s="8">
        <f t="shared" si="44"/>
        <v>0.16758888273545697</v>
      </c>
      <c r="X29" s="8">
        <f t="shared" si="45"/>
        <v>3.625351608300755E-3</v>
      </c>
      <c r="Y29" s="8">
        <f t="shared" si="46"/>
        <v>1.6786964479470667</v>
      </c>
      <c r="Z29" s="8">
        <f t="shared" si="47"/>
        <v>7.3142615919831983E-2</v>
      </c>
      <c r="AA29" s="8">
        <f t="shared" si="48"/>
        <v>5.4339180542823263E-3</v>
      </c>
      <c r="AB29" s="8">
        <f t="shared" si="49"/>
        <v>3.3905922894362475E-3</v>
      </c>
      <c r="AC29" s="8">
        <f t="shared" si="50"/>
        <v>4.0256785326394358</v>
      </c>
      <c r="AE29" s="8">
        <f t="shared" si="51"/>
        <v>0.90922915328937604</v>
      </c>
      <c r="AF29" s="8">
        <f t="shared" si="52"/>
        <v>9.0327746046261551E-2</v>
      </c>
      <c r="AH29" s="8">
        <f t="shared" si="53"/>
        <v>0</v>
      </c>
      <c r="AI29" s="8">
        <f t="shared" si="54"/>
        <v>5.4339180542823263E-3</v>
      </c>
      <c r="AK29" s="8">
        <f t="shared" si="55"/>
        <v>5.6626685648557542E-3</v>
      </c>
      <c r="AL29" s="8">
        <f t="shared" si="56"/>
        <v>0.11121400438778647</v>
      </c>
      <c r="AM29" s="8">
        <f t="shared" si="57"/>
        <v>-4.3734057032810247E-2</v>
      </c>
      <c r="AN29" s="8">
        <f t="shared" si="58"/>
        <v>0.94710199866532152</v>
      </c>
      <c r="AO29" s="8">
        <f t="shared" si="59"/>
        <v>1.0256785326394358</v>
      </c>
      <c r="AQ29" s="8">
        <f t="shared" si="60"/>
        <v>46.226932127559301</v>
      </c>
      <c r="AS29" s="8">
        <f t="shared" si="61"/>
        <v>0.14255520559207846</v>
      </c>
      <c r="AU29" s="8">
        <f t="shared" si="62"/>
        <v>6.9875639454263144E-2</v>
      </c>
      <c r="AV29" s="8">
        <f t="shared" si="63"/>
        <v>2.1093750348369439E-2</v>
      </c>
      <c r="AW29" s="8">
        <f t="shared" si="64"/>
        <v>2.8313342824278771E-3</v>
      </c>
      <c r="AX29" s="8">
        <f t="shared" si="65"/>
        <v>0.82394280035158607</v>
      </c>
      <c r="AY29" s="8">
        <f t="shared" si="66"/>
        <v>8.2256475563353373E-2</v>
      </c>
      <c r="AZ29" s="8">
        <f t="shared" si="67"/>
        <v>0.99999999999999989</v>
      </c>
      <c r="BB29" s="8">
        <f t="shared" si="68"/>
        <v>7.3142615919831983E-2</v>
      </c>
      <c r="BC29" s="8">
        <f t="shared" si="69"/>
        <v>5.4339180542823263E-3</v>
      </c>
      <c r="BD29" s="8">
        <f t="shared" si="70"/>
        <v>3.625351608300755E-3</v>
      </c>
      <c r="BE29" s="8">
        <f t="shared" si="71"/>
        <v>0.83448880246248658</v>
      </c>
      <c r="BF29" s="8">
        <f t="shared" si="72"/>
        <v>8.3309311955098289E-2</v>
      </c>
      <c r="BG29" s="8">
        <f t="shared" si="73"/>
        <v>0.99999999999999989</v>
      </c>
      <c r="BI29" s="21">
        <f t="shared" si="74"/>
        <v>6.8527303830343252E-3</v>
      </c>
      <c r="BJ29" s="21"/>
      <c r="BK29" s="21"/>
      <c r="BM29" s="8">
        <f t="shared" si="75"/>
        <v>10.016753024106789</v>
      </c>
    </row>
    <row r="30" spans="1:65" s="8" customFormat="1">
      <c r="A30" s="44"/>
      <c r="B30" s="44"/>
      <c r="C30" s="44">
        <f>'Spinel-- no zeroes'!C30</f>
        <v>0</v>
      </c>
      <c r="D30" s="44"/>
      <c r="E30" s="44">
        <v>53.912050000000001</v>
      </c>
      <c r="F30" s="44">
        <v>0.10924383333333332</v>
      </c>
      <c r="G30" s="44">
        <v>5.2310049999999997</v>
      </c>
      <c r="H30" s="44">
        <v>0.77429516666666665</v>
      </c>
      <c r="I30" s="44">
        <v>5.8162050000000001</v>
      </c>
      <c r="J30" s="44">
        <v>0.12420749999999998</v>
      </c>
      <c r="K30" s="44">
        <v>32.685316666666665</v>
      </c>
      <c r="L30" s="44">
        <v>1.9812816666666668</v>
      </c>
      <c r="M30" s="44">
        <v>8.1339666666666671E-2</v>
      </c>
      <c r="N30" s="44">
        <v>0.12232233333333332</v>
      </c>
      <c r="O30" s="9">
        <f t="shared" si="38"/>
        <v>100.83726683333332</v>
      </c>
      <c r="Q30" s="8">
        <f t="shared" si="39"/>
        <v>2.8981374416886019</v>
      </c>
      <c r="R30" s="8">
        <v>6</v>
      </c>
      <c r="S30" s="8">
        <f t="shared" si="40"/>
        <v>1.8574447944079215</v>
      </c>
      <c r="T30" s="8">
        <f t="shared" si="41"/>
        <v>2.8313342824278771E-3</v>
      </c>
      <c r="U30" s="8">
        <f t="shared" si="42"/>
        <v>0.2124308450463416</v>
      </c>
      <c r="V30" s="8">
        <f t="shared" si="43"/>
        <v>2.1093750348369439E-2</v>
      </c>
      <c r="W30" s="8">
        <f t="shared" si="44"/>
        <v>0.16758888273545697</v>
      </c>
      <c r="X30" s="8">
        <f t="shared" si="45"/>
        <v>3.625351608300755E-3</v>
      </c>
      <c r="Y30" s="8">
        <f t="shared" si="46"/>
        <v>1.6786964479470667</v>
      </c>
      <c r="Z30" s="8">
        <f t="shared" si="47"/>
        <v>7.3142615919831983E-2</v>
      </c>
      <c r="AA30" s="8">
        <f t="shared" si="48"/>
        <v>5.4339180542823263E-3</v>
      </c>
      <c r="AB30" s="8">
        <f t="shared" si="49"/>
        <v>3.3905922894362475E-3</v>
      </c>
      <c r="AC30" s="8">
        <f t="shared" si="50"/>
        <v>4.0256785326394358</v>
      </c>
      <c r="AE30" s="8">
        <f t="shared" si="51"/>
        <v>0.90922915328937604</v>
      </c>
      <c r="AF30" s="8">
        <f t="shared" si="52"/>
        <v>9.0327746046261551E-2</v>
      </c>
      <c r="AH30" s="8">
        <f t="shared" si="53"/>
        <v>0</v>
      </c>
      <c r="AI30" s="8">
        <f t="shared" si="54"/>
        <v>5.4339180542823263E-3</v>
      </c>
      <c r="AK30" s="8">
        <f t="shared" si="55"/>
        <v>5.6626685648557542E-3</v>
      </c>
      <c r="AL30" s="8">
        <f t="shared" si="56"/>
        <v>0.11121400438778647</v>
      </c>
      <c r="AM30" s="8">
        <f t="shared" si="57"/>
        <v>-4.3734057032810247E-2</v>
      </c>
      <c r="AN30" s="8">
        <f t="shared" si="58"/>
        <v>0.94710199866532152</v>
      </c>
      <c r="AO30" s="8">
        <f t="shared" si="59"/>
        <v>1.0256785326394358</v>
      </c>
      <c r="AQ30" s="8">
        <f t="shared" si="60"/>
        <v>46.226932127559301</v>
      </c>
      <c r="AS30" s="8">
        <f t="shared" si="61"/>
        <v>0.14255520559207846</v>
      </c>
      <c r="AU30" s="8">
        <f t="shared" si="62"/>
        <v>6.9875639454263144E-2</v>
      </c>
      <c r="AV30" s="8">
        <f t="shared" si="63"/>
        <v>2.1093750348369439E-2</v>
      </c>
      <c r="AW30" s="8">
        <f t="shared" si="64"/>
        <v>2.8313342824278771E-3</v>
      </c>
      <c r="AX30" s="8">
        <f t="shared" si="65"/>
        <v>0.82394280035158607</v>
      </c>
      <c r="AY30" s="8">
        <f t="shared" si="66"/>
        <v>8.2256475563353373E-2</v>
      </c>
      <c r="AZ30" s="8">
        <f t="shared" si="67"/>
        <v>0.99999999999999989</v>
      </c>
      <c r="BB30" s="8">
        <f t="shared" si="68"/>
        <v>7.3142615919831983E-2</v>
      </c>
      <c r="BC30" s="8">
        <f t="shared" si="69"/>
        <v>5.4339180542823263E-3</v>
      </c>
      <c r="BD30" s="8">
        <f t="shared" si="70"/>
        <v>3.625351608300755E-3</v>
      </c>
      <c r="BE30" s="8">
        <f t="shared" si="71"/>
        <v>0.83448880246248658</v>
      </c>
      <c r="BF30" s="8">
        <f t="shared" si="72"/>
        <v>8.3309311955098289E-2</v>
      </c>
      <c r="BG30" s="8">
        <f t="shared" si="73"/>
        <v>0.99999999999999989</v>
      </c>
      <c r="BI30" s="21">
        <f t="shared" si="74"/>
        <v>6.8527303830343252E-3</v>
      </c>
      <c r="BJ30" s="21"/>
      <c r="BK30" s="21"/>
      <c r="BM30" s="8">
        <f t="shared" si="75"/>
        <v>10.016753024106789</v>
      </c>
    </row>
    <row r="31" spans="1:65" s="8" customFormat="1">
      <c r="A31" s="44"/>
      <c r="B31" s="44"/>
      <c r="C31" s="44">
        <f>'Spinel-- no zeroes'!C31</f>
        <v>0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9">
        <f t="shared" si="38"/>
        <v>0</v>
      </c>
      <c r="Q31" s="8">
        <f t="shared" si="39"/>
        <v>0</v>
      </c>
      <c r="R31" s="8">
        <v>6</v>
      </c>
      <c r="S31" s="8" t="e">
        <f t="shared" si="40"/>
        <v>#DIV/0!</v>
      </c>
      <c r="T31" s="8" t="e">
        <f t="shared" si="41"/>
        <v>#DIV/0!</v>
      </c>
      <c r="U31" s="8" t="e">
        <f t="shared" si="42"/>
        <v>#DIV/0!</v>
      </c>
      <c r="V31" s="8" t="e">
        <f t="shared" si="43"/>
        <v>#DIV/0!</v>
      </c>
      <c r="W31" s="8" t="e">
        <f t="shared" si="44"/>
        <v>#DIV/0!</v>
      </c>
      <c r="X31" s="8" t="e">
        <f t="shared" si="45"/>
        <v>#DIV/0!</v>
      </c>
      <c r="Y31" s="8" t="e">
        <f t="shared" si="46"/>
        <v>#DIV/0!</v>
      </c>
      <c r="Z31" s="8" t="e">
        <f t="shared" si="47"/>
        <v>#DIV/0!</v>
      </c>
      <c r="AA31" s="8" t="e">
        <f t="shared" si="48"/>
        <v>#DIV/0!</v>
      </c>
      <c r="AB31" s="8" t="e">
        <f t="shared" si="49"/>
        <v>#DIV/0!</v>
      </c>
      <c r="AC31" s="8" t="e">
        <f t="shared" si="50"/>
        <v>#DIV/0!</v>
      </c>
      <c r="AE31" s="8" t="e">
        <f t="shared" si="51"/>
        <v>#DIV/0!</v>
      </c>
      <c r="AF31" s="8" t="e">
        <f t="shared" si="52"/>
        <v>#DIV/0!</v>
      </c>
      <c r="AH31" s="8" t="e">
        <f t="shared" si="53"/>
        <v>#DIV/0!</v>
      </c>
      <c r="AI31" s="8" t="e">
        <f t="shared" si="54"/>
        <v>#DIV/0!</v>
      </c>
      <c r="AK31" s="8" t="e">
        <f t="shared" si="55"/>
        <v>#DIV/0!</v>
      </c>
      <c r="AL31" s="8" t="e">
        <f t="shared" si="56"/>
        <v>#DIV/0!</v>
      </c>
      <c r="AM31" s="8" t="e">
        <f t="shared" si="57"/>
        <v>#DIV/0!</v>
      </c>
      <c r="AN31" s="8" t="e">
        <f t="shared" si="58"/>
        <v>#DIV/0!</v>
      </c>
      <c r="AO31" s="8" t="e">
        <f t="shared" si="59"/>
        <v>#DIV/0!</v>
      </c>
      <c r="AQ31" s="8" t="e">
        <f t="shared" si="60"/>
        <v>#DIV/0!</v>
      </c>
      <c r="AS31" s="8" t="e">
        <f t="shared" si="61"/>
        <v>#DIV/0!</v>
      </c>
      <c r="AU31" s="8" t="e">
        <f t="shared" si="62"/>
        <v>#DIV/0!</v>
      </c>
      <c r="AV31" s="8" t="e">
        <f t="shared" si="63"/>
        <v>#DIV/0!</v>
      </c>
      <c r="AW31" s="8" t="e">
        <f t="shared" si="64"/>
        <v>#DIV/0!</v>
      </c>
      <c r="AX31" s="8" t="e">
        <f t="shared" si="65"/>
        <v>#DIV/0!</v>
      </c>
      <c r="AY31" s="8" t="e">
        <f t="shared" si="66"/>
        <v>#DIV/0!</v>
      </c>
      <c r="AZ31" s="8" t="e">
        <f t="shared" si="67"/>
        <v>#DIV/0!</v>
      </c>
      <c r="BB31" s="8" t="e">
        <f t="shared" si="68"/>
        <v>#DIV/0!</v>
      </c>
      <c r="BC31" s="8" t="e">
        <f t="shared" si="69"/>
        <v>#DIV/0!</v>
      </c>
      <c r="BD31" s="8" t="e">
        <f t="shared" si="70"/>
        <v>#DIV/0!</v>
      </c>
      <c r="BE31" s="8" t="e">
        <f t="shared" si="71"/>
        <v>#DIV/0!</v>
      </c>
      <c r="BF31" s="8" t="e">
        <f t="shared" si="72"/>
        <v>#DIV/0!</v>
      </c>
      <c r="BG31" s="8" t="e">
        <f t="shared" si="73"/>
        <v>#DIV/0!</v>
      </c>
      <c r="BI31" s="21" t="e">
        <f t="shared" si="74"/>
        <v>#DIV/0!</v>
      </c>
      <c r="BJ31" s="21"/>
      <c r="BK31" s="21"/>
      <c r="BM31" s="8" t="e">
        <f t="shared" si="75"/>
        <v>#DIV/0!</v>
      </c>
    </row>
    <row r="32" spans="1:65" s="8" customFormat="1">
      <c r="A32" s="44"/>
      <c r="B32" s="44"/>
      <c r="C32" s="44">
        <f>'Spinel-- no zeroes'!C32</f>
        <v>0</v>
      </c>
      <c r="D32" s="44"/>
      <c r="E32" s="44">
        <v>53.912050000000001</v>
      </c>
      <c r="F32" s="44">
        <v>0.10924383333333332</v>
      </c>
      <c r="G32" s="44">
        <v>5.2310049999999997</v>
      </c>
      <c r="H32" s="44">
        <v>0.77429516666666665</v>
      </c>
      <c r="I32" s="44">
        <v>5.8162050000000001</v>
      </c>
      <c r="J32" s="44">
        <v>0.12420749999999998</v>
      </c>
      <c r="K32" s="44">
        <v>32.685316666666665</v>
      </c>
      <c r="L32" s="44">
        <v>1.9812816666666668</v>
      </c>
      <c r="M32" s="44">
        <v>8.1339666666666671E-2</v>
      </c>
      <c r="N32" s="44">
        <v>0.12232233333333332</v>
      </c>
      <c r="O32" s="9">
        <f t="shared" si="38"/>
        <v>100.83726683333332</v>
      </c>
      <c r="Q32" s="8">
        <f t="shared" si="39"/>
        <v>2.8981374416886019</v>
      </c>
      <c r="R32" s="8">
        <v>6</v>
      </c>
      <c r="S32" s="8">
        <f t="shared" si="40"/>
        <v>1.8574447944079215</v>
      </c>
      <c r="T32" s="8">
        <f t="shared" si="41"/>
        <v>2.8313342824278771E-3</v>
      </c>
      <c r="U32" s="8">
        <f t="shared" si="42"/>
        <v>0.2124308450463416</v>
      </c>
      <c r="V32" s="8">
        <f t="shared" si="43"/>
        <v>2.1093750348369439E-2</v>
      </c>
      <c r="W32" s="8">
        <f t="shared" si="44"/>
        <v>0.16758888273545697</v>
      </c>
      <c r="X32" s="8">
        <f t="shared" si="45"/>
        <v>3.625351608300755E-3</v>
      </c>
      <c r="Y32" s="8">
        <f t="shared" si="46"/>
        <v>1.6786964479470667</v>
      </c>
      <c r="Z32" s="8">
        <f t="shared" si="47"/>
        <v>7.3142615919831983E-2</v>
      </c>
      <c r="AA32" s="8">
        <f t="shared" si="48"/>
        <v>5.4339180542823263E-3</v>
      </c>
      <c r="AB32" s="8">
        <f t="shared" si="49"/>
        <v>3.3905922894362475E-3</v>
      </c>
      <c r="AC32" s="8">
        <f t="shared" si="50"/>
        <v>4.0256785326394358</v>
      </c>
      <c r="AE32" s="8">
        <f t="shared" si="51"/>
        <v>0.90922915328937604</v>
      </c>
      <c r="AF32" s="8">
        <f t="shared" si="52"/>
        <v>9.0327746046261551E-2</v>
      </c>
      <c r="AH32" s="8">
        <f t="shared" si="53"/>
        <v>0</v>
      </c>
      <c r="AI32" s="8">
        <f t="shared" si="54"/>
        <v>5.4339180542823263E-3</v>
      </c>
      <c r="AK32" s="8">
        <f t="shared" si="55"/>
        <v>5.6626685648557542E-3</v>
      </c>
      <c r="AL32" s="8">
        <f t="shared" si="56"/>
        <v>0.11121400438778647</v>
      </c>
      <c r="AM32" s="8">
        <f t="shared" si="57"/>
        <v>-4.3734057032810247E-2</v>
      </c>
      <c r="AN32" s="8">
        <f t="shared" si="58"/>
        <v>0.94710199866532152</v>
      </c>
      <c r="AO32" s="8">
        <f t="shared" si="59"/>
        <v>1.0256785326394358</v>
      </c>
      <c r="AQ32" s="8">
        <f t="shared" si="60"/>
        <v>46.226932127559301</v>
      </c>
      <c r="AS32" s="8">
        <f t="shared" si="61"/>
        <v>0.14255520559207846</v>
      </c>
      <c r="AU32" s="8">
        <f t="shared" si="62"/>
        <v>6.9875639454263144E-2</v>
      </c>
      <c r="AV32" s="8">
        <f t="shared" si="63"/>
        <v>2.1093750348369439E-2</v>
      </c>
      <c r="AW32" s="8">
        <f t="shared" si="64"/>
        <v>2.8313342824278771E-3</v>
      </c>
      <c r="AX32" s="8">
        <f t="shared" si="65"/>
        <v>0.82394280035158607</v>
      </c>
      <c r="AY32" s="8">
        <f t="shared" si="66"/>
        <v>8.2256475563353373E-2</v>
      </c>
      <c r="AZ32" s="8">
        <f t="shared" si="67"/>
        <v>0.99999999999999989</v>
      </c>
      <c r="BB32" s="8">
        <f t="shared" si="68"/>
        <v>7.3142615919831983E-2</v>
      </c>
      <c r="BC32" s="8">
        <f t="shared" si="69"/>
        <v>5.4339180542823263E-3</v>
      </c>
      <c r="BD32" s="8">
        <f t="shared" si="70"/>
        <v>3.625351608300755E-3</v>
      </c>
      <c r="BE32" s="8">
        <f t="shared" si="71"/>
        <v>0.83448880246248658</v>
      </c>
      <c r="BF32" s="8">
        <f t="shared" si="72"/>
        <v>8.3309311955098289E-2</v>
      </c>
      <c r="BG32" s="8">
        <f t="shared" si="73"/>
        <v>0.99999999999999989</v>
      </c>
      <c r="BI32" s="21">
        <f t="shared" si="74"/>
        <v>6.8527303830343252E-3</v>
      </c>
      <c r="BJ32" s="21"/>
      <c r="BK32" s="21"/>
      <c r="BM32" s="8">
        <f t="shared" si="75"/>
        <v>10.016753024106789</v>
      </c>
    </row>
    <row r="33" spans="1:65" s="8" customFormat="1">
      <c r="A33" s="44"/>
      <c r="B33" s="44"/>
      <c r="C33" s="44">
        <f>'Spinel-- no zeroes'!C33</f>
        <v>0</v>
      </c>
      <c r="D33" s="44"/>
      <c r="E33" s="44">
        <v>53.912050000000001</v>
      </c>
      <c r="F33" s="44">
        <v>0.10924383333333332</v>
      </c>
      <c r="G33" s="44">
        <v>5.2310049999999997</v>
      </c>
      <c r="H33" s="44">
        <v>0.77429516666666665</v>
      </c>
      <c r="I33" s="44">
        <v>5.8162050000000001</v>
      </c>
      <c r="J33" s="44">
        <v>0.12420749999999998</v>
      </c>
      <c r="K33" s="44">
        <v>32.685316666666665</v>
      </c>
      <c r="L33" s="44">
        <v>1.9812816666666668</v>
      </c>
      <c r="M33" s="44">
        <v>8.1339666666666671E-2</v>
      </c>
      <c r="N33" s="44">
        <v>0.12232233333333332</v>
      </c>
      <c r="O33" s="9">
        <f t="shared" si="38"/>
        <v>100.83726683333332</v>
      </c>
      <c r="Q33" s="8">
        <f t="shared" si="39"/>
        <v>2.8981374416886019</v>
      </c>
      <c r="R33" s="8">
        <v>6</v>
      </c>
      <c r="S33" s="8">
        <f t="shared" si="40"/>
        <v>1.8574447944079215</v>
      </c>
      <c r="T33" s="8">
        <f t="shared" si="41"/>
        <v>2.8313342824278771E-3</v>
      </c>
      <c r="U33" s="8">
        <f t="shared" si="42"/>
        <v>0.2124308450463416</v>
      </c>
      <c r="V33" s="8">
        <f t="shared" si="43"/>
        <v>2.1093750348369439E-2</v>
      </c>
      <c r="W33" s="8">
        <f t="shared" si="44"/>
        <v>0.16758888273545697</v>
      </c>
      <c r="X33" s="8">
        <f t="shared" si="45"/>
        <v>3.625351608300755E-3</v>
      </c>
      <c r="Y33" s="8">
        <f t="shared" si="46"/>
        <v>1.6786964479470667</v>
      </c>
      <c r="Z33" s="8">
        <f t="shared" si="47"/>
        <v>7.3142615919831983E-2</v>
      </c>
      <c r="AA33" s="8">
        <f t="shared" si="48"/>
        <v>5.4339180542823263E-3</v>
      </c>
      <c r="AB33" s="8">
        <f t="shared" si="49"/>
        <v>3.3905922894362475E-3</v>
      </c>
      <c r="AC33" s="8">
        <f t="shared" si="50"/>
        <v>4.0256785326394358</v>
      </c>
      <c r="AE33" s="8">
        <f t="shared" si="51"/>
        <v>0.90922915328937604</v>
      </c>
      <c r="AF33" s="8">
        <f t="shared" si="52"/>
        <v>9.0327746046261551E-2</v>
      </c>
      <c r="AH33" s="8">
        <f t="shared" si="53"/>
        <v>0</v>
      </c>
      <c r="AI33" s="8">
        <f t="shared" si="54"/>
        <v>5.4339180542823263E-3</v>
      </c>
      <c r="AK33" s="8">
        <f t="shared" si="55"/>
        <v>5.6626685648557542E-3</v>
      </c>
      <c r="AL33" s="8">
        <f t="shared" si="56"/>
        <v>0.11121400438778647</v>
      </c>
      <c r="AM33" s="8">
        <f t="shared" si="57"/>
        <v>-4.3734057032810247E-2</v>
      </c>
      <c r="AN33" s="8">
        <f t="shared" si="58"/>
        <v>0.94710199866532152</v>
      </c>
      <c r="AO33" s="8">
        <f t="shared" si="59"/>
        <v>1.0256785326394358</v>
      </c>
      <c r="AQ33" s="8">
        <f t="shared" si="60"/>
        <v>46.226932127559301</v>
      </c>
      <c r="AS33" s="8">
        <f t="shared" si="61"/>
        <v>0.14255520559207846</v>
      </c>
      <c r="AU33" s="8">
        <f t="shared" si="62"/>
        <v>6.9875639454263144E-2</v>
      </c>
      <c r="AV33" s="8">
        <f t="shared" si="63"/>
        <v>2.1093750348369439E-2</v>
      </c>
      <c r="AW33" s="8">
        <f t="shared" si="64"/>
        <v>2.8313342824278771E-3</v>
      </c>
      <c r="AX33" s="8">
        <f t="shared" si="65"/>
        <v>0.82394280035158607</v>
      </c>
      <c r="AY33" s="8">
        <f t="shared" si="66"/>
        <v>8.2256475563353373E-2</v>
      </c>
      <c r="AZ33" s="8">
        <f t="shared" si="67"/>
        <v>0.99999999999999989</v>
      </c>
      <c r="BB33" s="8">
        <f t="shared" si="68"/>
        <v>7.3142615919831983E-2</v>
      </c>
      <c r="BC33" s="8">
        <f t="shared" si="69"/>
        <v>5.4339180542823263E-3</v>
      </c>
      <c r="BD33" s="8">
        <f t="shared" si="70"/>
        <v>3.625351608300755E-3</v>
      </c>
      <c r="BE33" s="8">
        <f t="shared" si="71"/>
        <v>0.83448880246248658</v>
      </c>
      <c r="BF33" s="8">
        <f t="shared" si="72"/>
        <v>8.3309311955098289E-2</v>
      </c>
      <c r="BG33" s="8">
        <f t="shared" si="73"/>
        <v>0.99999999999999989</v>
      </c>
      <c r="BI33" s="21">
        <f t="shared" si="74"/>
        <v>6.8527303830343252E-3</v>
      </c>
      <c r="BJ33" s="21"/>
      <c r="BK33" s="21"/>
      <c r="BM33" s="8">
        <f t="shared" si="75"/>
        <v>10.016753024106789</v>
      </c>
    </row>
    <row r="34" spans="1:65" s="8" customFormat="1">
      <c r="A34" s="44"/>
      <c r="B34" s="44"/>
      <c r="C34" s="44">
        <f>'Spinel-- no zeroes'!C34</f>
        <v>0</v>
      </c>
      <c r="D34" s="44"/>
      <c r="E34" s="44">
        <v>53.912050000000001</v>
      </c>
      <c r="F34" s="44">
        <v>0.10924383333333332</v>
      </c>
      <c r="G34" s="44">
        <v>5.2310049999999997</v>
      </c>
      <c r="H34" s="44">
        <v>0.77429516666666665</v>
      </c>
      <c r="I34" s="44">
        <v>5.8162050000000001</v>
      </c>
      <c r="J34" s="44">
        <v>0.12420749999999998</v>
      </c>
      <c r="K34" s="44">
        <v>32.685316666666665</v>
      </c>
      <c r="L34" s="44">
        <v>1.9812816666666668</v>
      </c>
      <c r="M34" s="44">
        <v>8.1339666666666671E-2</v>
      </c>
      <c r="N34" s="44">
        <v>0.12232233333333332</v>
      </c>
      <c r="O34" s="9">
        <f t="shared" si="38"/>
        <v>100.83726683333332</v>
      </c>
      <c r="Q34" s="8">
        <f t="shared" si="39"/>
        <v>2.8981374416886019</v>
      </c>
      <c r="R34" s="8">
        <v>6</v>
      </c>
      <c r="S34" s="8">
        <f t="shared" si="40"/>
        <v>1.8574447944079215</v>
      </c>
      <c r="T34" s="8">
        <f t="shared" si="41"/>
        <v>2.8313342824278771E-3</v>
      </c>
      <c r="U34" s="8">
        <f t="shared" si="42"/>
        <v>0.2124308450463416</v>
      </c>
      <c r="V34" s="8">
        <f t="shared" si="43"/>
        <v>2.1093750348369439E-2</v>
      </c>
      <c r="W34" s="8">
        <f t="shared" si="44"/>
        <v>0.16758888273545697</v>
      </c>
      <c r="X34" s="8">
        <f t="shared" si="45"/>
        <v>3.625351608300755E-3</v>
      </c>
      <c r="Y34" s="8">
        <f t="shared" si="46"/>
        <v>1.6786964479470667</v>
      </c>
      <c r="Z34" s="8">
        <f t="shared" si="47"/>
        <v>7.3142615919831983E-2</v>
      </c>
      <c r="AA34" s="8">
        <f t="shared" si="48"/>
        <v>5.4339180542823263E-3</v>
      </c>
      <c r="AB34" s="8">
        <f t="shared" si="49"/>
        <v>3.3905922894362475E-3</v>
      </c>
      <c r="AC34" s="8">
        <f t="shared" si="50"/>
        <v>4.0256785326394358</v>
      </c>
      <c r="AE34" s="8">
        <f t="shared" si="51"/>
        <v>0.90922915328937604</v>
      </c>
      <c r="AF34" s="8">
        <f t="shared" si="52"/>
        <v>9.0327746046261551E-2</v>
      </c>
      <c r="AH34" s="8">
        <f t="shared" si="53"/>
        <v>0</v>
      </c>
      <c r="AI34" s="8">
        <f t="shared" si="54"/>
        <v>5.4339180542823263E-3</v>
      </c>
      <c r="AK34" s="8">
        <f t="shared" si="55"/>
        <v>5.6626685648557542E-3</v>
      </c>
      <c r="AL34" s="8">
        <f t="shared" si="56"/>
        <v>0.11121400438778647</v>
      </c>
      <c r="AM34" s="8">
        <f t="shared" si="57"/>
        <v>-4.3734057032810247E-2</v>
      </c>
      <c r="AN34" s="8">
        <f t="shared" si="58"/>
        <v>0.94710199866532152</v>
      </c>
      <c r="AO34" s="8">
        <f t="shared" si="59"/>
        <v>1.0256785326394358</v>
      </c>
      <c r="AQ34" s="8">
        <f t="shared" si="60"/>
        <v>46.226932127559301</v>
      </c>
      <c r="AS34" s="8">
        <f t="shared" si="61"/>
        <v>0.14255520559207846</v>
      </c>
      <c r="AU34" s="8">
        <f t="shared" si="62"/>
        <v>6.9875639454263144E-2</v>
      </c>
      <c r="AV34" s="8">
        <f t="shared" si="63"/>
        <v>2.1093750348369439E-2</v>
      </c>
      <c r="AW34" s="8">
        <f t="shared" si="64"/>
        <v>2.8313342824278771E-3</v>
      </c>
      <c r="AX34" s="8">
        <f t="shared" si="65"/>
        <v>0.82394280035158607</v>
      </c>
      <c r="AY34" s="8">
        <f t="shared" si="66"/>
        <v>8.2256475563353373E-2</v>
      </c>
      <c r="AZ34" s="8">
        <f t="shared" si="67"/>
        <v>0.99999999999999989</v>
      </c>
      <c r="BB34" s="8">
        <f t="shared" si="68"/>
        <v>7.3142615919831983E-2</v>
      </c>
      <c r="BC34" s="8">
        <f t="shared" si="69"/>
        <v>5.4339180542823263E-3</v>
      </c>
      <c r="BD34" s="8">
        <f t="shared" si="70"/>
        <v>3.625351608300755E-3</v>
      </c>
      <c r="BE34" s="8">
        <f t="shared" si="71"/>
        <v>0.83448880246248658</v>
      </c>
      <c r="BF34" s="8">
        <f t="shared" si="72"/>
        <v>8.3309311955098289E-2</v>
      </c>
      <c r="BG34" s="8">
        <f t="shared" si="73"/>
        <v>0.99999999999999989</v>
      </c>
      <c r="BI34" s="21">
        <f t="shared" si="74"/>
        <v>6.8527303830343252E-3</v>
      </c>
      <c r="BJ34" s="21"/>
      <c r="BK34" s="21"/>
      <c r="BM34" s="8">
        <f t="shared" si="75"/>
        <v>10.016753024106789</v>
      </c>
    </row>
    <row r="35" spans="1:65" s="8" customFormat="1">
      <c r="A35" s="44"/>
      <c r="B35" s="44"/>
      <c r="C35" s="44">
        <f>'Spinel-- no zeroes'!C35</f>
        <v>0</v>
      </c>
      <c r="D35" s="44"/>
      <c r="E35" s="44">
        <v>53.912050000000001</v>
      </c>
      <c r="F35" s="44">
        <v>0.10924383333333332</v>
      </c>
      <c r="G35" s="44">
        <v>5.2310049999999997</v>
      </c>
      <c r="H35" s="44">
        <v>0.77429516666666665</v>
      </c>
      <c r="I35" s="44">
        <v>5.8162050000000001</v>
      </c>
      <c r="J35" s="44">
        <v>0.12420749999999998</v>
      </c>
      <c r="K35" s="44">
        <v>32.685316666666665</v>
      </c>
      <c r="L35" s="44">
        <v>1.9812816666666668</v>
      </c>
      <c r="M35" s="44">
        <v>8.1339666666666671E-2</v>
      </c>
      <c r="N35" s="44">
        <v>0.12232233333333332</v>
      </c>
      <c r="O35" s="9">
        <f t="shared" si="38"/>
        <v>100.83726683333332</v>
      </c>
      <c r="Q35" s="8">
        <f t="shared" si="39"/>
        <v>2.8981374416886019</v>
      </c>
      <c r="R35" s="8">
        <v>6</v>
      </c>
      <c r="S35" s="8">
        <f t="shared" si="40"/>
        <v>1.8574447944079215</v>
      </c>
      <c r="T35" s="8">
        <f t="shared" si="41"/>
        <v>2.8313342824278771E-3</v>
      </c>
      <c r="U35" s="8">
        <f t="shared" si="42"/>
        <v>0.2124308450463416</v>
      </c>
      <c r="V35" s="8">
        <f t="shared" si="43"/>
        <v>2.1093750348369439E-2</v>
      </c>
      <c r="W35" s="8">
        <f t="shared" si="44"/>
        <v>0.16758888273545697</v>
      </c>
      <c r="X35" s="8">
        <f t="shared" si="45"/>
        <v>3.625351608300755E-3</v>
      </c>
      <c r="Y35" s="8">
        <f t="shared" si="46"/>
        <v>1.6786964479470667</v>
      </c>
      <c r="Z35" s="8">
        <f t="shared" si="47"/>
        <v>7.3142615919831983E-2</v>
      </c>
      <c r="AA35" s="8">
        <f t="shared" si="48"/>
        <v>5.4339180542823263E-3</v>
      </c>
      <c r="AB35" s="8">
        <f t="shared" si="49"/>
        <v>3.3905922894362475E-3</v>
      </c>
      <c r="AC35" s="8">
        <f t="shared" si="50"/>
        <v>4.0256785326394358</v>
      </c>
      <c r="AE35" s="8">
        <f t="shared" si="51"/>
        <v>0.90922915328937604</v>
      </c>
      <c r="AF35" s="8">
        <f t="shared" si="52"/>
        <v>9.0327746046261551E-2</v>
      </c>
      <c r="AH35" s="8">
        <f t="shared" si="53"/>
        <v>0</v>
      </c>
      <c r="AI35" s="8">
        <f t="shared" si="54"/>
        <v>5.4339180542823263E-3</v>
      </c>
      <c r="AK35" s="8">
        <f t="shared" si="55"/>
        <v>5.6626685648557542E-3</v>
      </c>
      <c r="AL35" s="8">
        <f t="shared" si="56"/>
        <v>0.11121400438778647</v>
      </c>
      <c r="AM35" s="8">
        <f t="shared" si="57"/>
        <v>-4.3734057032810247E-2</v>
      </c>
      <c r="AN35" s="8">
        <f t="shared" si="58"/>
        <v>0.94710199866532152</v>
      </c>
      <c r="AO35" s="8">
        <f t="shared" si="59"/>
        <v>1.0256785326394358</v>
      </c>
      <c r="AQ35" s="8">
        <f t="shared" si="60"/>
        <v>46.226932127559301</v>
      </c>
      <c r="AS35" s="8">
        <f t="shared" si="61"/>
        <v>0.14255520559207846</v>
      </c>
      <c r="AU35" s="8">
        <f t="shared" si="62"/>
        <v>6.9875639454263144E-2</v>
      </c>
      <c r="AV35" s="8">
        <f t="shared" si="63"/>
        <v>2.1093750348369439E-2</v>
      </c>
      <c r="AW35" s="8">
        <f t="shared" si="64"/>
        <v>2.8313342824278771E-3</v>
      </c>
      <c r="AX35" s="8">
        <f t="shared" si="65"/>
        <v>0.82394280035158607</v>
      </c>
      <c r="AY35" s="8">
        <f t="shared" si="66"/>
        <v>8.2256475563353373E-2</v>
      </c>
      <c r="AZ35" s="8">
        <f t="shared" si="67"/>
        <v>0.99999999999999989</v>
      </c>
      <c r="BB35" s="8">
        <f t="shared" si="68"/>
        <v>7.3142615919831983E-2</v>
      </c>
      <c r="BC35" s="8">
        <f t="shared" si="69"/>
        <v>5.4339180542823263E-3</v>
      </c>
      <c r="BD35" s="8">
        <f t="shared" si="70"/>
        <v>3.625351608300755E-3</v>
      </c>
      <c r="BE35" s="8">
        <f t="shared" si="71"/>
        <v>0.83448880246248658</v>
      </c>
      <c r="BF35" s="8">
        <f t="shared" si="72"/>
        <v>8.3309311955098289E-2</v>
      </c>
      <c r="BG35" s="8">
        <f t="shared" si="73"/>
        <v>0.99999999999999989</v>
      </c>
      <c r="BI35" s="21">
        <f t="shared" si="74"/>
        <v>6.8527303830343252E-3</v>
      </c>
      <c r="BJ35" s="21"/>
      <c r="BK35" s="21"/>
      <c r="BM35" s="8">
        <f t="shared" si="75"/>
        <v>10.016753024106789</v>
      </c>
    </row>
    <row r="36" spans="1:65" s="8" customFormat="1">
      <c r="A36" s="44"/>
      <c r="B36" s="44"/>
      <c r="C36" s="44">
        <f>'Spinel-- no zeroes'!C36</f>
        <v>0</v>
      </c>
      <c r="D36" s="44"/>
      <c r="E36" s="44">
        <v>53.912050000000001</v>
      </c>
      <c r="F36" s="44">
        <v>0.10924383333333332</v>
      </c>
      <c r="G36" s="44">
        <v>5.2310049999999997</v>
      </c>
      <c r="H36" s="44">
        <v>0.77429516666666665</v>
      </c>
      <c r="I36" s="44">
        <v>5.8162050000000001</v>
      </c>
      <c r="J36" s="44">
        <v>0.12420749999999998</v>
      </c>
      <c r="K36" s="44">
        <v>32.685316666666665</v>
      </c>
      <c r="L36" s="44">
        <v>1.9812816666666668</v>
      </c>
      <c r="M36" s="44">
        <v>8.1339666666666671E-2</v>
      </c>
      <c r="N36" s="44">
        <v>0.12232233333333332</v>
      </c>
      <c r="O36" s="9">
        <f t="shared" si="38"/>
        <v>100.83726683333332</v>
      </c>
      <c r="Q36" s="8">
        <f t="shared" si="39"/>
        <v>2.8981374416886019</v>
      </c>
      <c r="R36" s="8">
        <v>6</v>
      </c>
      <c r="S36" s="8">
        <f t="shared" si="40"/>
        <v>1.8574447944079215</v>
      </c>
      <c r="T36" s="8">
        <f t="shared" si="41"/>
        <v>2.8313342824278771E-3</v>
      </c>
      <c r="U36" s="8">
        <f t="shared" si="42"/>
        <v>0.2124308450463416</v>
      </c>
      <c r="V36" s="8">
        <f t="shared" si="43"/>
        <v>2.1093750348369439E-2</v>
      </c>
      <c r="W36" s="8">
        <f t="shared" si="44"/>
        <v>0.16758888273545697</v>
      </c>
      <c r="X36" s="8">
        <f t="shared" si="45"/>
        <v>3.625351608300755E-3</v>
      </c>
      <c r="Y36" s="8">
        <f t="shared" si="46"/>
        <v>1.6786964479470667</v>
      </c>
      <c r="Z36" s="8">
        <f t="shared" si="47"/>
        <v>7.3142615919831983E-2</v>
      </c>
      <c r="AA36" s="8">
        <f t="shared" si="48"/>
        <v>5.4339180542823263E-3</v>
      </c>
      <c r="AB36" s="8">
        <f t="shared" si="49"/>
        <v>3.3905922894362475E-3</v>
      </c>
      <c r="AC36" s="8">
        <f t="shared" si="50"/>
        <v>4.0256785326394358</v>
      </c>
      <c r="AE36" s="8">
        <f t="shared" si="51"/>
        <v>0.90922915328937604</v>
      </c>
      <c r="AF36" s="8">
        <f t="shared" si="52"/>
        <v>9.0327746046261551E-2</v>
      </c>
      <c r="AH36" s="8">
        <f t="shared" si="53"/>
        <v>0</v>
      </c>
      <c r="AI36" s="8">
        <f t="shared" si="54"/>
        <v>5.4339180542823263E-3</v>
      </c>
      <c r="AK36" s="8">
        <f t="shared" si="55"/>
        <v>5.6626685648557542E-3</v>
      </c>
      <c r="AL36" s="8">
        <f t="shared" si="56"/>
        <v>0.11121400438778647</v>
      </c>
      <c r="AM36" s="8">
        <f t="shared" si="57"/>
        <v>-4.3734057032810247E-2</v>
      </c>
      <c r="AN36" s="8">
        <f t="shared" si="58"/>
        <v>0.94710199866532152</v>
      </c>
      <c r="AO36" s="8">
        <f t="shared" si="59"/>
        <v>1.0256785326394358</v>
      </c>
      <c r="AQ36" s="8">
        <f t="shared" si="60"/>
        <v>46.226932127559301</v>
      </c>
      <c r="AS36" s="8">
        <f t="shared" si="61"/>
        <v>0.14255520559207846</v>
      </c>
      <c r="AU36" s="8">
        <f t="shared" si="62"/>
        <v>6.9875639454263144E-2</v>
      </c>
      <c r="AV36" s="8">
        <f t="shared" si="63"/>
        <v>2.1093750348369439E-2</v>
      </c>
      <c r="AW36" s="8">
        <f t="shared" si="64"/>
        <v>2.8313342824278771E-3</v>
      </c>
      <c r="AX36" s="8">
        <f t="shared" si="65"/>
        <v>0.82394280035158607</v>
      </c>
      <c r="AY36" s="8">
        <f t="shared" si="66"/>
        <v>8.2256475563353373E-2</v>
      </c>
      <c r="AZ36" s="8">
        <f t="shared" si="67"/>
        <v>0.99999999999999989</v>
      </c>
      <c r="BB36" s="8">
        <f t="shared" si="68"/>
        <v>7.3142615919831983E-2</v>
      </c>
      <c r="BC36" s="8">
        <f t="shared" si="69"/>
        <v>5.4339180542823263E-3</v>
      </c>
      <c r="BD36" s="8">
        <f t="shared" si="70"/>
        <v>3.625351608300755E-3</v>
      </c>
      <c r="BE36" s="8">
        <f t="shared" si="71"/>
        <v>0.83448880246248658</v>
      </c>
      <c r="BF36" s="8">
        <f t="shared" si="72"/>
        <v>8.3309311955098289E-2</v>
      </c>
      <c r="BG36" s="8">
        <f t="shared" si="73"/>
        <v>0.99999999999999989</v>
      </c>
      <c r="BI36" s="21">
        <f t="shared" si="74"/>
        <v>6.8527303830343252E-3</v>
      </c>
      <c r="BJ36" s="21"/>
      <c r="BK36" s="21"/>
      <c r="BM36" s="8">
        <f t="shared" si="75"/>
        <v>10.016753024106789</v>
      </c>
    </row>
    <row r="37" spans="1:65" s="8" customFormat="1">
      <c r="A37" s="44"/>
      <c r="B37" s="44"/>
      <c r="C37" s="44">
        <f>'Spinel-- no zeroes'!C37</f>
        <v>0</v>
      </c>
      <c r="D37" s="44"/>
      <c r="E37" s="44">
        <v>53.912050000000001</v>
      </c>
      <c r="F37" s="44">
        <v>0.10924383333333332</v>
      </c>
      <c r="G37" s="44">
        <v>5.2310049999999997</v>
      </c>
      <c r="H37" s="44">
        <v>0.77429516666666665</v>
      </c>
      <c r="I37" s="44">
        <v>5.8162050000000001</v>
      </c>
      <c r="J37" s="44">
        <v>0.12420749999999998</v>
      </c>
      <c r="K37" s="44">
        <v>32.685316666666665</v>
      </c>
      <c r="L37" s="44">
        <v>1.9812816666666668</v>
      </c>
      <c r="M37" s="44">
        <v>8.1339666666666671E-2</v>
      </c>
      <c r="N37" s="44">
        <v>0.12232233333333332</v>
      </c>
      <c r="O37" s="9">
        <f t="shared" si="38"/>
        <v>100.83726683333332</v>
      </c>
      <c r="Q37" s="8">
        <f t="shared" si="39"/>
        <v>2.8981374416886019</v>
      </c>
      <c r="R37" s="8">
        <v>6</v>
      </c>
      <c r="S37" s="8">
        <f t="shared" si="40"/>
        <v>1.8574447944079215</v>
      </c>
      <c r="T37" s="8">
        <f t="shared" si="41"/>
        <v>2.8313342824278771E-3</v>
      </c>
      <c r="U37" s="8">
        <f t="shared" si="42"/>
        <v>0.2124308450463416</v>
      </c>
      <c r="V37" s="8">
        <f t="shared" si="43"/>
        <v>2.1093750348369439E-2</v>
      </c>
      <c r="W37" s="8">
        <f t="shared" si="44"/>
        <v>0.16758888273545697</v>
      </c>
      <c r="X37" s="8">
        <f t="shared" si="45"/>
        <v>3.625351608300755E-3</v>
      </c>
      <c r="Y37" s="8">
        <f t="shared" si="46"/>
        <v>1.6786964479470667</v>
      </c>
      <c r="Z37" s="8">
        <f t="shared" si="47"/>
        <v>7.3142615919831983E-2</v>
      </c>
      <c r="AA37" s="8">
        <f t="shared" si="48"/>
        <v>5.4339180542823263E-3</v>
      </c>
      <c r="AB37" s="8">
        <f t="shared" si="49"/>
        <v>3.3905922894362475E-3</v>
      </c>
      <c r="AC37" s="8">
        <f t="shared" si="50"/>
        <v>4.0256785326394358</v>
      </c>
      <c r="AE37" s="8">
        <f t="shared" si="51"/>
        <v>0.90922915328937604</v>
      </c>
      <c r="AF37" s="8">
        <f t="shared" si="52"/>
        <v>9.0327746046261551E-2</v>
      </c>
      <c r="AH37" s="8">
        <f t="shared" si="53"/>
        <v>0</v>
      </c>
      <c r="AI37" s="8">
        <f t="shared" si="54"/>
        <v>5.4339180542823263E-3</v>
      </c>
      <c r="AK37" s="8">
        <f t="shared" si="55"/>
        <v>5.6626685648557542E-3</v>
      </c>
      <c r="AL37" s="8">
        <f t="shared" si="56"/>
        <v>0.11121400438778647</v>
      </c>
      <c r="AM37" s="8">
        <f t="shared" si="57"/>
        <v>-4.3734057032810247E-2</v>
      </c>
      <c r="AN37" s="8">
        <f t="shared" si="58"/>
        <v>0.94710199866532152</v>
      </c>
      <c r="AO37" s="8">
        <f t="shared" si="59"/>
        <v>1.0256785326394358</v>
      </c>
      <c r="AQ37" s="8">
        <f t="shared" si="60"/>
        <v>46.226932127559301</v>
      </c>
      <c r="AS37" s="8">
        <f t="shared" si="61"/>
        <v>0.14255520559207846</v>
      </c>
      <c r="AU37" s="8">
        <f t="shared" si="62"/>
        <v>6.9875639454263144E-2</v>
      </c>
      <c r="AV37" s="8">
        <f t="shared" si="63"/>
        <v>2.1093750348369439E-2</v>
      </c>
      <c r="AW37" s="8">
        <f t="shared" si="64"/>
        <v>2.8313342824278771E-3</v>
      </c>
      <c r="AX37" s="8">
        <f t="shared" si="65"/>
        <v>0.82394280035158607</v>
      </c>
      <c r="AY37" s="8">
        <f t="shared" si="66"/>
        <v>8.2256475563353373E-2</v>
      </c>
      <c r="AZ37" s="8">
        <f t="shared" si="67"/>
        <v>0.99999999999999989</v>
      </c>
      <c r="BB37" s="8">
        <f t="shared" si="68"/>
        <v>7.3142615919831983E-2</v>
      </c>
      <c r="BC37" s="8">
        <f t="shared" si="69"/>
        <v>5.4339180542823263E-3</v>
      </c>
      <c r="BD37" s="8">
        <f t="shared" si="70"/>
        <v>3.625351608300755E-3</v>
      </c>
      <c r="BE37" s="8">
        <f t="shared" si="71"/>
        <v>0.83448880246248658</v>
      </c>
      <c r="BF37" s="8">
        <f t="shared" si="72"/>
        <v>8.3309311955098289E-2</v>
      </c>
      <c r="BG37" s="8">
        <f t="shared" si="73"/>
        <v>0.99999999999999989</v>
      </c>
      <c r="BI37" s="21">
        <f t="shared" si="74"/>
        <v>6.8527303830343252E-3</v>
      </c>
      <c r="BJ37" s="21"/>
      <c r="BK37" s="21"/>
      <c r="BM37" s="8">
        <f t="shared" si="75"/>
        <v>10.016753024106789</v>
      </c>
    </row>
    <row r="38" spans="1:65" s="8" customFormat="1">
      <c r="A38" s="44"/>
      <c r="B38" s="44"/>
      <c r="C38" s="44">
        <f>'Spinel-- no zeroes'!C38</f>
        <v>0</v>
      </c>
      <c r="D38" s="44"/>
      <c r="E38" s="44">
        <v>53.912050000000001</v>
      </c>
      <c r="F38" s="44">
        <v>0.10924383333333332</v>
      </c>
      <c r="G38" s="44">
        <v>5.2310049999999997</v>
      </c>
      <c r="H38" s="44">
        <v>0.77429516666666665</v>
      </c>
      <c r="I38" s="44">
        <v>5.8162050000000001</v>
      </c>
      <c r="J38" s="44">
        <v>0.12420749999999998</v>
      </c>
      <c r="K38" s="44">
        <v>32.685316666666665</v>
      </c>
      <c r="L38" s="44">
        <v>1.9812816666666668</v>
      </c>
      <c r="M38" s="44">
        <v>8.1339666666666671E-2</v>
      </c>
      <c r="N38" s="44">
        <v>0.12232233333333332</v>
      </c>
      <c r="O38" s="9">
        <f t="shared" si="38"/>
        <v>100.83726683333332</v>
      </c>
      <c r="Q38" s="8">
        <f t="shared" si="39"/>
        <v>2.8981374416886019</v>
      </c>
      <c r="R38" s="8">
        <v>6</v>
      </c>
      <c r="S38" s="8">
        <f t="shared" si="40"/>
        <v>1.8574447944079215</v>
      </c>
      <c r="T38" s="8">
        <f t="shared" si="41"/>
        <v>2.8313342824278771E-3</v>
      </c>
      <c r="U38" s="8">
        <f t="shared" si="42"/>
        <v>0.2124308450463416</v>
      </c>
      <c r="V38" s="8">
        <f t="shared" si="43"/>
        <v>2.1093750348369439E-2</v>
      </c>
      <c r="W38" s="8">
        <f t="shared" si="44"/>
        <v>0.16758888273545697</v>
      </c>
      <c r="X38" s="8">
        <f t="shared" si="45"/>
        <v>3.625351608300755E-3</v>
      </c>
      <c r="Y38" s="8">
        <f t="shared" si="46"/>
        <v>1.6786964479470667</v>
      </c>
      <c r="Z38" s="8">
        <f t="shared" si="47"/>
        <v>7.3142615919831983E-2</v>
      </c>
      <c r="AA38" s="8">
        <f t="shared" si="48"/>
        <v>5.4339180542823263E-3</v>
      </c>
      <c r="AB38" s="8">
        <f t="shared" si="49"/>
        <v>3.3905922894362475E-3</v>
      </c>
      <c r="AC38" s="8">
        <f t="shared" si="50"/>
        <v>4.0256785326394358</v>
      </c>
      <c r="AE38" s="8">
        <f t="shared" si="51"/>
        <v>0.90922915328937604</v>
      </c>
      <c r="AF38" s="8">
        <f t="shared" si="52"/>
        <v>9.0327746046261551E-2</v>
      </c>
      <c r="AH38" s="8">
        <f t="shared" si="53"/>
        <v>0</v>
      </c>
      <c r="AI38" s="8">
        <f t="shared" si="54"/>
        <v>5.4339180542823263E-3</v>
      </c>
      <c r="AK38" s="8">
        <f t="shared" si="55"/>
        <v>5.6626685648557542E-3</v>
      </c>
      <c r="AL38" s="8">
        <f t="shared" si="56"/>
        <v>0.11121400438778647</v>
      </c>
      <c r="AM38" s="8">
        <f t="shared" si="57"/>
        <v>-4.3734057032810247E-2</v>
      </c>
      <c r="AN38" s="8">
        <f t="shared" si="58"/>
        <v>0.94710199866532152</v>
      </c>
      <c r="AO38" s="8">
        <f t="shared" si="59"/>
        <v>1.0256785326394358</v>
      </c>
      <c r="AQ38" s="8">
        <f t="shared" si="60"/>
        <v>46.226932127559301</v>
      </c>
      <c r="AS38" s="8">
        <f t="shared" si="61"/>
        <v>0.14255520559207846</v>
      </c>
      <c r="AU38" s="8">
        <f t="shared" si="62"/>
        <v>6.9875639454263144E-2</v>
      </c>
      <c r="AV38" s="8">
        <f t="shared" si="63"/>
        <v>2.1093750348369439E-2</v>
      </c>
      <c r="AW38" s="8">
        <f t="shared" si="64"/>
        <v>2.8313342824278771E-3</v>
      </c>
      <c r="AX38" s="8">
        <f t="shared" si="65"/>
        <v>0.82394280035158607</v>
      </c>
      <c r="AY38" s="8">
        <f t="shared" si="66"/>
        <v>8.2256475563353373E-2</v>
      </c>
      <c r="AZ38" s="8">
        <f t="shared" si="67"/>
        <v>0.99999999999999989</v>
      </c>
      <c r="BB38" s="8">
        <f t="shared" si="68"/>
        <v>7.3142615919831983E-2</v>
      </c>
      <c r="BC38" s="8">
        <f t="shared" si="69"/>
        <v>5.4339180542823263E-3</v>
      </c>
      <c r="BD38" s="8">
        <f t="shared" si="70"/>
        <v>3.625351608300755E-3</v>
      </c>
      <c r="BE38" s="8">
        <f t="shared" si="71"/>
        <v>0.83448880246248658</v>
      </c>
      <c r="BF38" s="8">
        <f t="shared" si="72"/>
        <v>8.3309311955098289E-2</v>
      </c>
      <c r="BG38" s="8">
        <f t="shared" si="73"/>
        <v>0.99999999999999989</v>
      </c>
      <c r="BI38" s="21">
        <f t="shared" si="74"/>
        <v>6.8527303830343252E-3</v>
      </c>
      <c r="BJ38" s="21"/>
      <c r="BK38" s="21"/>
      <c r="BM38" s="8">
        <f t="shared" si="75"/>
        <v>10.016753024106789</v>
      </c>
    </row>
    <row r="39" spans="1:65" s="8" customFormat="1">
      <c r="A39" s="44"/>
      <c r="B39" s="44"/>
      <c r="C39" s="44">
        <f>'Spinel-- no zeroes'!C39</f>
        <v>0</v>
      </c>
      <c r="D39" s="44"/>
      <c r="E39" s="44">
        <v>53.912050000000001</v>
      </c>
      <c r="F39" s="44">
        <v>0.10924383333333332</v>
      </c>
      <c r="G39" s="44">
        <v>5.2310049999999997</v>
      </c>
      <c r="H39" s="44">
        <v>0.77429516666666665</v>
      </c>
      <c r="I39" s="44">
        <v>5.8162050000000001</v>
      </c>
      <c r="J39" s="44">
        <v>0.12420749999999998</v>
      </c>
      <c r="K39" s="44">
        <v>32.685316666666665</v>
      </c>
      <c r="L39" s="44">
        <v>1.9812816666666668</v>
      </c>
      <c r="M39" s="44">
        <v>8.1339666666666671E-2</v>
      </c>
      <c r="N39" s="44">
        <v>0.12232233333333332</v>
      </c>
      <c r="O39" s="9">
        <f t="shared" si="38"/>
        <v>100.83726683333332</v>
      </c>
      <c r="Q39" s="8">
        <f t="shared" si="39"/>
        <v>2.8981374416886019</v>
      </c>
      <c r="R39" s="8">
        <v>6</v>
      </c>
      <c r="S39" s="8">
        <f t="shared" si="40"/>
        <v>1.8574447944079215</v>
      </c>
      <c r="T39" s="8">
        <f t="shared" si="41"/>
        <v>2.8313342824278771E-3</v>
      </c>
      <c r="U39" s="8">
        <f t="shared" si="42"/>
        <v>0.2124308450463416</v>
      </c>
      <c r="V39" s="8">
        <f t="shared" si="43"/>
        <v>2.1093750348369439E-2</v>
      </c>
      <c r="W39" s="8">
        <f t="shared" si="44"/>
        <v>0.16758888273545697</v>
      </c>
      <c r="X39" s="8">
        <f t="shared" si="45"/>
        <v>3.625351608300755E-3</v>
      </c>
      <c r="Y39" s="8">
        <f t="shared" si="46"/>
        <v>1.6786964479470667</v>
      </c>
      <c r="Z39" s="8">
        <f t="shared" si="47"/>
        <v>7.3142615919831983E-2</v>
      </c>
      <c r="AA39" s="8">
        <f t="shared" si="48"/>
        <v>5.4339180542823263E-3</v>
      </c>
      <c r="AB39" s="8">
        <f t="shared" si="49"/>
        <v>3.3905922894362475E-3</v>
      </c>
      <c r="AC39" s="8">
        <f t="shared" si="50"/>
        <v>4.0256785326394358</v>
      </c>
      <c r="AE39" s="8">
        <f t="shared" si="51"/>
        <v>0.90922915328937604</v>
      </c>
      <c r="AF39" s="8">
        <f t="shared" si="52"/>
        <v>9.0327746046261551E-2</v>
      </c>
      <c r="AH39" s="8">
        <f t="shared" si="53"/>
        <v>0</v>
      </c>
      <c r="AI39" s="8">
        <f t="shared" si="54"/>
        <v>5.4339180542823263E-3</v>
      </c>
      <c r="AK39" s="8">
        <f t="shared" si="55"/>
        <v>5.6626685648557542E-3</v>
      </c>
      <c r="AL39" s="8">
        <f t="shared" si="56"/>
        <v>0.11121400438778647</v>
      </c>
      <c r="AM39" s="8">
        <f t="shared" si="57"/>
        <v>-4.3734057032810247E-2</v>
      </c>
      <c r="AN39" s="8">
        <f t="shared" si="58"/>
        <v>0.94710199866532152</v>
      </c>
      <c r="AO39" s="8">
        <f t="shared" si="59"/>
        <v>1.0256785326394358</v>
      </c>
      <c r="AQ39" s="8">
        <f t="shared" si="60"/>
        <v>46.226932127559301</v>
      </c>
      <c r="AS39" s="8">
        <f t="shared" si="61"/>
        <v>0.14255520559207846</v>
      </c>
      <c r="AU39" s="8">
        <f t="shared" si="62"/>
        <v>6.9875639454263144E-2</v>
      </c>
      <c r="AV39" s="8">
        <f t="shared" si="63"/>
        <v>2.1093750348369439E-2</v>
      </c>
      <c r="AW39" s="8">
        <f t="shared" si="64"/>
        <v>2.8313342824278771E-3</v>
      </c>
      <c r="AX39" s="8">
        <f t="shared" si="65"/>
        <v>0.82394280035158607</v>
      </c>
      <c r="AY39" s="8">
        <f t="shared" si="66"/>
        <v>8.2256475563353373E-2</v>
      </c>
      <c r="AZ39" s="8">
        <f t="shared" si="67"/>
        <v>0.99999999999999989</v>
      </c>
      <c r="BB39" s="8">
        <f t="shared" si="68"/>
        <v>7.3142615919831983E-2</v>
      </c>
      <c r="BC39" s="8">
        <f t="shared" si="69"/>
        <v>5.4339180542823263E-3</v>
      </c>
      <c r="BD39" s="8">
        <f t="shared" si="70"/>
        <v>3.625351608300755E-3</v>
      </c>
      <c r="BE39" s="8">
        <f t="shared" si="71"/>
        <v>0.83448880246248658</v>
      </c>
      <c r="BF39" s="8">
        <f t="shared" si="72"/>
        <v>8.3309311955098289E-2</v>
      </c>
      <c r="BG39" s="8">
        <f t="shared" si="73"/>
        <v>0.99999999999999989</v>
      </c>
      <c r="BI39" s="21">
        <f t="shared" si="74"/>
        <v>6.8527303830343252E-3</v>
      </c>
      <c r="BJ39" s="21"/>
      <c r="BK39" s="21"/>
      <c r="BM39" s="8">
        <f t="shared" si="75"/>
        <v>10.016753024106789</v>
      </c>
    </row>
    <row r="40" spans="1:65" s="8" customFormat="1">
      <c r="A40" s="44"/>
      <c r="B40" s="44"/>
      <c r="C40" s="44">
        <f>'Spinel-- no zeroes'!C40</f>
        <v>0</v>
      </c>
      <c r="D40" s="44"/>
      <c r="E40" s="44">
        <v>53.912050000000001</v>
      </c>
      <c r="F40" s="44">
        <v>0.10924383333333332</v>
      </c>
      <c r="G40" s="44">
        <v>5.2310049999999997</v>
      </c>
      <c r="H40" s="44">
        <v>0.77429516666666665</v>
      </c>
      <c r="I40" s="44">
        <v>5.8162050000000001</v>
      </c>
      <c r="J40" s="44">
        <v>0.12420749999999998</v>
      </c>
      <c r="K40" s="44">
        <v>32.685316666666665</v>
      </c>
      <c r="L40" s="44">
        <v>1.9812816666666668</v>
      </c>
      <c r="M40" s="44">
        <v>8.1339666666666671E-2</v>
      </c>
      <c r="N40" s="44">
        <v>0.12232233333333332</v>
      </c>
      <c r="O40" s="9">
        <f t="shared" si="38"/>
        <v>100.83726683333332</v>
      </c>
      <c r="Q40" s="8">
        <f t="shared" si="39"/>
        <v>2.8981374416886019</v>
      </c>
      <c r="R40" s="8">
        <v>6</v>
      </c>
      <c r="S40" s="8">
        <f t="shared" si="40"/>
        <v>1.8574447944079215</v>
      </c>
      <c r="T40" s="8">
        <f t="shared" si="41"/>
        <v>2.8313342824278771E-3</v>
      </c>
      <c r="U40" s="8">
        <f t="shared" si="42"/>
        <v>0.2124308450463416</v>
      </c>
      <c r="V40" s="8">
        <f t="shared" si="43"/>
        <v>2.1093750348369439E-2</v>
      </c>
      <c r="W40" s="8">
        <f t="shared" si="44"/>
        <v>0.16758888273545697</v>
      </c>
      <c r="X40" s="8">
        <f t="shared" si="45"/>
        <v>3.625351608300755E-3</v>
      </c>
      <c r="Y40" s="8">
        <f t="shared" si="46"/>
        <v>1.6786964479470667</v>
      </c>
      <c r="Z40" s="8">
        <f t="shared" si="47"/>
        <v>7.3142615919831983E-2</v>
      </c>
      <c r="AA40" s="8">
        <f t="shared" si="48"/>
        <v>5.4339180542823263E-3</v>
      </c>
      <c r="AB40" s="8">
        <f t="shared" si="49"/>
        <v>3.3905922894362475E-3</v>
      </c>
      <c r="AC40" s="8">
        <f t="shared" si="50"/>
        <v>4.0256785326394358</v>
      </c>
      <c r="AE40" s="8">
        <f t="shared" si="51"/>
        <v>0.90922915328937604</v>
      </c>
      <c r="AF40" s="8">
        <f t="shared" si="52"/>
        <v>9.0327746046261551E-2</v>
      </c>
      <c r="AH40" s="8">
        <f t="shared" si="53"/>
        <v>0</v>
      </c>
      <c r="AI40" s="8">
        <f t="shared" si="54"/>
        <v>5.4339180542823263E-3</v>
      </c>
      <c r="AK40" s="8">
        <f t="shared" si="55"/>
        <v>5.6626685648557542E-3</v>
      </c>
      <c r="AL40" s="8">
        <f t="shared" si="56"/>
        <v>0.11121400438778647</v>
      </c>
      <c r="AM40" s="8">
        <f t="shared" si="57"/>
        <v>-4.3734057032810247E-2</v>
      </c>
      <c r="AN40" s="8">
        <f t="shared" si="58"/>
        <v>0.94710199866532152</v>
      </c>
      <c r="AO40" s="8">
        <f t="shared" si="59"/>
        <v>1.0256785326394358</v>
      </c>
      <c r="AQ40" s="8">
        <f t="shared" si="60"/>
        <v>46.226932127559301</v>
      </c>
      <c r="AS40" s="8">
        <f t="shared" si="61"/>
        <v>0.14255520559207846</v>
      </c>
      <c r="AU40" s="8">
        <f t="shared" si="62"/>
        <v>6.9875639454263144E-2</v>
      </c>
      <c r="AV40" s="8">
        <f t="shared" si="63"/>
        <v>2.1093750348369439E-2</v>
      </c>
      <c r="AW40" s="8">
        <f t="shared" si="64"/>
        <v>2.8313342824278771E-3</v>
      </c>
      <c r="AX40" s="8">
        <f t="shared" si="65"/>
        <v>0.82394280035158607</v>
      </c>
      <c r="AY40" s="8">
        <f t="shared" si="66"/>
        <v>8.2256475563353373E-2</v>
      </c>
      <c r="AZ40" s="8">
        <f t="shared" si="67"/>
        <v>0.99999999999999989</v>
      </c>
      <c r="BB40" s="8">
        <f t="shared" si="68"/>
        <v>7.3142615919831983E-2</v>
      </c>
      <c r="BC40" s="8">
        <f t="shared" si="69"/>
        <v>5.4339180542823263E-3</v>
      </c>
      <c r="BD40" s="8">
        <f t="shared" si="70"/>
        <v>3.625351608300755E-3</v>
      </c>
      <c r="BE40" s="8">
        <f t="shared" si="71"/>
        <v>0.83448880246248658</v>
      </c>
      <c r="BF40" s="8">
        <f t="shared" si="72"/>
        <v>8.3309311955098289E-2</v>
      </c>
      <c r="BG40" s="8">
        <f t="shared" si="73"/>
        <v>0.99999999999999989</v>
      </c>
      <c r="BI40" s="21">
        <f t="shared" si="74"/>
        <v>6.8527303830343252E-3</v>
      </c>
      <c r="BJ40" s="21"/>
      <c r="BK40" s="21"/>
      <c r="BM40" s="8">
        <f t="shared" si="75"/>
        <v>10.016753024106789</v>
      </c>
    </row>
    <row r="41" spans="1:65" s="8" customFormat="1">
      <c r="A41" s="44"/>
      <c r="B41" s="44"/>
      <c r="C41" s="44">
        <f>'Spinel-- no zeroes'!C41</f>
        <v>0</v>
      </c>
      <c r="D41" s="44"/>
      <c r="E41" s="44">
        <v>53.912050000000001</v>
      </c>
      <c r="F41" s="44">
        <v>0.10924383333333332</v>
      </c>
      <c r="G41" s="44">
        <v>5.2310049999999997</v>
      </c>
      <c r="H41" s="44">
        <v>0.77429516666666665</v>
      </c>
      <c r="I41" s="44">
        <v>5.8162050000000001</v>
      </c>
      <c r="J41" s="44">
        <v>0.12420749999999998</v>
      </c>
      <c r="K41" s="44">
        <v>32.685316666666665</v>
      </c>
      <c r="L41" s="44">
        <v>1.9812816666666668</v>
      </c>
      <c r="M41" s="44">
        <v>8.1339666666666671E-2</v>
      </c>
      <c r="N41" s="44">
        <v>0.12232233333333332</v>
      </c>
      <c r="O41" s="9">
        <f t="shared" si="38"/>
        <v>100.83726683333332</v>
      </c>
      <c r="Q41" s="8">
        <f t="shared" si="39"/>
        <v>2.8981374416886019</v>
      </c>
      <c r="R41" s="8">
        <v>6</v>
      </c>
      <c r="S41" s="8">
        <f t="shared" si="40"/>
        <v>1.8574447944079215</v>
      </c>
      <c r="T41" s="8">
        <f t="shared" si="41"/>
        <v>2.8313342824278771E-3</v>
      </c>
      <c r="U41" s="8">
        <f t="shared" si="42"/>
        <v>0.2124308450463416</v>
      </c>
      <c r="V41" s="8">
        <f t="shared" si="43"/>
        <v>2.1093750348369439E-2</v>
      </c>
      <c r="W41" s="8">
        <f t="shared" si="44"/>
        <v>0.16758888273545697</v>
      </c>
      <c r="X41" s="8">
        <f t="shared" si="45"/>
        <v>3.625351608300755E-3</v>
      </c>
      <c r="Y41" s="8">
        <f t="shared" si="46"/>
        <v>1.6786964479470667</v>
      </c>
      <c r="Z41" s="8">
        <f t="shared" si="47"/>
        <v>7.3142615919831983E-2</v>
      </c>
      <c r="AA41" s="8">
        <f t="shared" si="48"/>
        <v>5.4339180542823263E-3</v>
      </c>
      <c r="AB41" s="8">
        <f t="shared" si="49"/>
        <v>3.3905922894362475E-3</v>
      </c>
      <c r="AC41" s="8">
        <f t="shared" si="50"/>
        <v>4.0256785326394358</v>
      </c>
      <c r="AE41" s="8">
        <f t="shared" si="51"/>
        <v>0.90922915328937604</v>
      </c>
      <c r="AF41" s="8">
        <f t="shared" si="52"/>
        <v>9.0327746046261551E-2</v>
      </c>
      <c r="AH41" s="8">
        <f t="shared" si="53"/>
        <v>0</v>
      </c>
      <c r="AI41" s="8">
        <f t="shared" si="54"/>
        <v>5.4339180542823263E-3</v>
      </c>
      <c r="AK41" s="8">
        <f t="shared" si="55"/>
        <v>5.6626685648557542E-3</v>
      </c>
      <c r="AL41" s="8">
        <f t="shared" si="56"/>
        <v>0.11121400438778647</v>
      </c>
      <c r="AM41" s="8">
        <f t="shared" si="57"/>
        <v>-4.3734057032810247E-2</v>
      </c>
      <c r="AN41" s="8">
        <f t="shared" si="58"/>
        <v>0.94710199866532152</v>
      </c>
      <c r="AO41" s="8">
        <f t="shared" si="59"/>
        <v>1.0256785326394358</v>
      </c>
      <c r="AQ41" s="8">
        <f t="shared" si="60"/>
        <v>46.226932127559301</v>
      </c>
      <c r="AS41" s="8">
        <f t="shared" si="61"/>
        <v>0.14255520559207846</v>
      </c>
      <c r="AU41" s="8">
        <f t="shared" si="62"/>
        <v>6.9875639454263144E-2</v>
      </c>
      <c r="AV41" s="8">
        <f t="shared" si="63"/>
        <v>2.1093750348369439E-2</v>
      </c>
      <c r="AW41" s="8">
        <f t="shared" si="64"/>
        <v>2.8313342824278771E-3</v>
      </c>
      <c r="AX41" s="8">
        <f t="shared" si="65"/>
        <v>0.82394280035158607</v>
      </c>
      <c r="AY41" s="8">
        <f t="shared" si="66"/>
        <v>8.2256475563353373E-2</v>
      </c>
      <c r="AZ41" s="8">
        <f t="shared" si="67"/>
        <v>0.99999999999999989</v>
      </c>
      <c r="BB41" s="8">
        <f t="shared" si="68"/>
        <v>7.3142615919831983E-2</v>
      </c>
      <c r="BC41" s="8">
        <f t="shared" si="69"/>
        <v>5.4339180542823263E-3</v>
      </c>
      <c r="BD41" s="8">
        <f t="shared" si="70"/>
        <v>3.625351608300755E-3</v>
      </c>
      <c r="BE41" s="8">
        <f t="shared" si="71"/>
        <v>0.83448880246248658</v>
      </c>
      <c r="BF41" s="8">
        <f t="shared" si="72"/>
        <v>8.3309311955098289E-2</v>
      </c>
      <c r="BG41" s="8">
        <f t="shared" si="73"/>
        <v>0.99999999999999989</v>
      </c>
      <c r="BI41" s="21">
        <f t="shared" si="74"/>
        <v>6.8527303830343252E-3</v>
      </c>
      <c r="BJ41" s="21"/>
      <c r="BK41" s="21"/>
      <c r="BM41" s="8">
        <f t="shared" si="75"/>
        <v>10.016753024106789</v>
      </c>
    </row>
    <row r="42" spans="1:65" s="8" customFormat="1">
      <c r="A42" s="44"/>
      <c r="B42" s="44"/>
      <c r="C42" s="44">
        <f>'Spinel-- no zeroes'!C42</f>
        <v>0</v>
      </c>
      <c r="D42" s="44"/>
      <c r="E42" s="44">
        <v>53.912050000000001</v>
      </c>
      <c r="F42" s="44">
        <v>0.10924383333333332</v>
      </c>
      <c r="G42" s="44">
        <v>5.2310049999999997</v>
      </c>
      <c r="H42" s="44">
        <v>0.77429516666666665</v>
      </c>
      <c r="I42" s="44">
        <v>5.8162050000000001</v>
      </c>
      <c r="J42" s="44">
        <v>0.12420749999999998</v>
      </c>
      <c r="K42" s="44">
        <v>32.685316666666665</v>
      </c>
      <c r="L42" s="44">
        <v>1.9812816666666668</v>
      </c>
      <c r="M42" s="44">
        <v>8.1339666666666671E-2</v>
      </c>
      <c r="N42" s="44">
        <v>0.12232233333333332</v>
      </c>
      <c r="O42" s="9">
        <f t="shared" si="38"/>
        <v>100.83726683333332</v>
      </c>
      <c r="Q42" s="8">
        <f t="shared" si="39"/>
        <v>2.8981374416886019</v>
      </c>
      <c r="R42" s="8">
        <v>6</v>
      </c>
      <c r="S42" s="8">
        <f t="shared" si="40"/>
        <v>1.8574447944079215</v>
      </c>
      <c r="T42" s="8">
        <f t="shared" si="41"/>
        <v>2.8313342824278771E-3</v>
      </c>
      <c r="U42" s="8">
        <f t="shared" si="42"/>
        <v>0.2124308450463416</v>
      </c>
      <c r="V42" s="8">
        <f t="shared" si="43"/>
        <v>2.1093750348369439E-2</v>
      </c>
      <c r="W42" s="8">
        <f t="shared" si="44"/>
        <v>0.16758888273545697</v>
      </c>
      <c r="X42" s="8">
        <f t="shared" si="45"/>
        <v>3.625351608300755E-3</v>
      </c>
      <c r="Y42" s="8">
        <f t="shared" si="46"/>
        <v>1.6786964479470667</v>
      </c>
      <c r="Z42" s="8">
        <f t="shared" si="47"/>
        <v>7.3142615919831983E-2</v>
      </c>
      <c r="AA42" s="8">
        <f t="shared" si="48"/>
        <v>5.4339180542823263E-3</v>
      </c>
      <c r="AB42" s="8">
        <f t="shared" si="49"/>
        <v>3.3905922894362475E-3</v>
      </c>
      <c r="AC42" s="8">
        <f t="shared" si="50"/>
        <v>4.0256785326394358</v>
      </c>
      <c r="AE42" s="8">
        <f t="shared" si="51"/>
        <v>0.90922915328937604</v>
      </c>
      <c r="AF42" s="8">
        <f t="shared" si="52"/>
        <v>9.0327746046261551E-2</v>
      </c>
      <c r="AH42" s="8">
        <f t="shared" si="53"/>
        <v>0</v>
      </c>
      <c r="AI42" s="8">
        <f t="shared" si="54"/>
        <v>5.4339180542823263E-3</v>
      </c>
      <c r="AK42" s="8">
        <f t="shared" si="55"/>
        <v>5.6626685648557542E-3</v>
      </c>
      <c r="AL42" s="8">
        <f t="shared" si="56"/>
        <v>0.11121400438778647</v>
      </c>
      <c r="AM42" s="8">
        <f t="shared" si="57"/>
        <v>-4.3734057032810247E-2</v>
      </c>
      <c r="AN42" s="8">
        <f t="shared" si="58"/>
        <v>0.94710199866532152</v>
      </c>
      <c r="AO42" s="8">
        <f t="shared" si="59"/>
        <v>1.0256785326394358</v>
      </c>
      <c r="AQ42" s="8">
        <f t="shared" si="60"/>
        <v>46.226932127559301</v>
      </c>
      <c r="AS42" s="8">
        <f t="shared" si="61"/>
        <v>0.14255520559207846</v>
      </c>
      <c r="AU42" s="8">
        <f t="shared" si="62"/>
        <v>6.9875639454263144E-2</v>
      </c>
      <c r="AV42" s="8">
        <f t="shared" si="63"/>
        <v>2.1093750348369439E-2</v>
      </c>
      <c r="AW42" s="8">
        <f t="shared" si="64"/>
        <v>2.8313342824278771E-3</v>
      </c>
      <c r="AX42" s="8">
        <f t="shared" si="65"/>
        <v>0.82394280035158607</v>
      </c>
      <c r="AY42" s="8">
        <f t="shared" si="66"/>
        <v>8.2256475563353373E-2</v>
      </c>
      <c r="AZ42" s="8">
        <f t="shared" si="67"/>
        <v>0.99999999999999989</v>
      </c>
      <c r="BB42" s="8">
        <f t="shared" si="68"/>
        <v>7.3142615919831983E-2</v>
      </c>
      <c r="BC42" s="8">
        <f t="shared" si="69"/>
        <v>5.4339180542823263E-3</v>
      </c>
      <c r="BD42" s="8">
        <f t="shared" si="70"/>
        <v>3.625351608300755E-3</v>
      </c>
      <c r="BE42" s="8">
        <f t="shared" si="71"/>
        <v>0.83448880246248658</v>
      </c>
      <c r="BF42" s="8">
        <f t="shared" si="72"/>
        <v>8.3309311955098289E-2</v>
      </c>
      <c r="BG42" s="8">
        <f t="shared" si="73"/>
        <v>0.99999999999999989</v>
      </c>
      <c r="BI42" s="21">
        <f t="shared" si="74"/>
        <v>6.8527303830343252E-3</v>
      </c>
      <c r="BJ42" s="21"/>
      <c r="BK42" s="21"/>
      <c r="BM42" s="8">
        <f t="shared" si="75"/>
        <v>10.016753024106789</v>
      </c>
    </row>
    <row r="43" spans="1:65" s="8" customFormat="1">
      <c r="A43" s="44"/>
      <c r="B43" s="44"/>
      <c r="C43" s="44">
        <f>'Spinel-- no zeroes'!C43</f>
        <v>0</v>
      </c>
      <c r="D43" s="44"/>
      <c r="E43" s="44">
        <v>53.912050000000001</v>
      </c>
      <c r="F43" s="44">
        <v>0.10924383333333332</v>
      </c>
      <c r="G43" s="44">
        <v>5.2310049999999997</v>
      </c>
      <c r="H43" s="44">
        <v>0.77429516666666665</v>
      </c>
      <c r="I43" s="44">
        <v>5.8162050000000001</v>
      </c>
      <c r="J43" s="44">
        <v>0.12420749999999998</v>
      </c>
      <c r="K43" s="44">
        <v>32.685316666666665</v>
      </c>
      <c r="L43" s="44">
        <v>1.9812816666666668</v>
      </c>
      <c r="M43" s="44">
        <v>8.1339666666666671E-2</v>
      </c>
      <c r="N43" s="44">
        <v>0.12232233333333332</v>
      </c>
      <c r="O43" s="9">
        <f t="shared" si="38"/>
        <v>100.83726683333332</v>
      </c>
      <c r="Q43" s="8">
        <f t="shared" si="39"/>
        <v>2.8981374416886019</v>
      </c>
      <c r="R43" s="8">
        <v>6</v>
      </c>
      <c r="S43" s="8">
        <f t="shared" si="40"/>
        <v>1.8574447944079215</v>
      </c>
      <c r="T43" s="8">
        <f t="shared" si="41"/>
        <v>2.8313342824278771E-3</v>
      </c>
      <c r="U43" s="8">
        <f t="shared" si="42"/>
        <v>0.2124308450463416</v>
      </c>
      <c r="V43" s="8">
        <f t="shared" si="43"/>
        <v>2.1093750348369439E-2</v>
      </c>
      <c r="W43" s="8">
        <f t="shared" si="44"/>
        <v>0.16758888273545697</v>
      </c>
      <c r="X43" s="8">
        <f t="shared" si="45"/>
        <v>3.625351608300755E-3</v>
      </c>
      <c r="Y43" s="8">
        <f t="shared" si="46"/>
        <v>1.6786964479470667</v>
      </c>
      <c r="Z43" s="8">
        <f t="shared" si="47"/>
        <v>7.3142615919831983E-2</v>
      </c>
      <c r="AA43" s="8">
        <f t="shared" si="48"/>
        <v>5.4339180542823263E-3</v>
      </c>
      <c r="AB43" s="8">
        <f t="shared" si="49"/>
        <v>3.3905922894362475E-3</v>
      </c>
      <c r="AC43" s="8">
        <f t="shared" si="50"/>
        <v>4.0256785326394358</v>
      </c>
      <c r="AE43" s="8">
        <f t="shared" si="51"/>
        <v>0.90922915328937604</v>
      </c>
      <c r="AF43" s="8">
        <f t="shared" si="52"/>
        <v>9.0327746046261551E-2</v>
      </c>
      <c r="AH43" s="8">
        <f t="shared" si="53"/>
        <v>0</v>
      </c>
      <c r="AI43" s="8">
        <f t="shared" si="54"/>
        <v>5.4339180542823263E-3</v>
      </c>
      <c r="AK43" s="8">
        <f t="shared" si="55"/>
        <v>5.6626685648557542E-3</v>
      </c>
      <c r="AL43" s="8">
        <f t="shared" si="56"/>
        <v>0.11121400438778647</v>
      </c>
      <c r="AM43" s="8">
        <f t="shared" si="57"/>
        <v>-4.3734057032810247E-2</v>
      </c>
      <c r="AN43" s="8">
        <f t="shared" si="58"/>
        <v>0.94710199866532152</v>
      </c>
      <c r="AO43" s="8">
        <f t="shared" si="59"/>
        <v>1.0256785326394358</v>
      </c>
      <c r="AQ43" s="8">
        <f t="shared" si="60"/>
        <v>46.226932127559301</v>
      </c>
      <c r="AS43" s="8">
        <f t="shared" si="61"/>
        <v>0.14255520559207846</v>
      </c>
      <c r="AU43" s="8">
        <f t="shared" si="62"/>
        <v>6.9875639454263144E-2</v>
      </c>
      <c r="AV43" s="8">
        <f t="shared" si="63"/>
        <v>2.1093750348369439E-2</v>
      </c>
      <c r="AW43" s="8">
        <f t="shared" si="64"/>
        <v>2.8313342824278771E-3</v>
      </c>
      <c r="AX43" s="8">
        <f t="shared" si="65"/>
        <v>0.82394280035158607</v>
      </c>
      <c r="AY43" s="8">
        <f t="shared" si="66"/>
        <v>8.2256475563353373E-2</v>
      </c>
      <c r="AZ43" s="8">
        <f t="shared" si="67"/>
        <v>0.99999999999999989</v>
      </c>
      <c r="BB43" s="8">
        <f t="shared" si="68"/>
        <v>7.3142615919831983E-2</v>
      </c>
      <c r="BC43" s="8">
        <f t="shared" si="69"/>
        <v>5.4339180542823263E-3</v>
      </c>
      <c r="BD43" s="8">
        <f t="shared" si="70"/>
        <v>3.625351608300755E-3</v>
      </c>
      <c r="BE43" s="8">
        <f t="shared" si="71"/>
        <v>0.83448880246248658</v>
      </c>
      <c r="BF43" s="8">
        <f t="shared" si="72"/>
        <v>8.3309311955098289E-2</v>
      </c>
      <c r="BG43" s="8">
        <f t="shared" si="73"/>
        <v>0.99999999999999989</v>
      </c>
      <c r="BI43" s="21">
        <f t="shared" si="74"/>
        <v>6.8527303830343252E-3</v>
      </c>
      <c r="BJ43" s="21"/>
      <c r="BK43" s="21"/>
      <c r="BM43" s="8">
        <f t="shared" si="75"/>
        <v>10.016753024106789</v>
      </c>
    </row>
    <row r="44" spans="1:65" s="8" customFormat="1">
      <c r="A44" s="44"/>
      <c r="B44" s="44"/>
      <c r="C44" s="44">
        <f>'Spinel-- no zeroes'!C44</f>
        <v>0</v>
      </c>
      <c r="D44" s="44"/>
      <c r="E44" s="44">
        <v>53.912050000000001</v>
      </c>
      <c r="F44" s="44">
        <v>0.10924383333333332</v>
      </c>
      <c r="G44" s="44">
        <v>5.2310049999999997</v>
      </c>
      <c r="H44" s="44">
        <v>0.77429516666666665</v>
      </c>
      <c r="I44" s="44">
        <v>5.8162050000000001</v>
      </c>
      <c r="J44" s="44">
        <v>0.12420749999999998</v>
      </c>
      <c r="K44" s="44">
        <v>32.685316666666665</v>
      </c>
      <c r="L44" s="44">
        <v>1.9812816666666668</v>
      </c>
      <c r="M44" s="44">
        <v>8.1339666666666671E-2</v>
      </c>
      <c r="N44" s="44">
        <v>0.12232233333333332</v>
      </c>
      <c r="O44" s="9">
        <f t="shared" si="38"/>
        <v>100.83726683333332</v>
      </c>
      <c r="Q44" s="8">
        <f t="shared" si="39"/>
        <v>2.8981374416886019</v>
      </c>
      <c r="R44" s="8">
        <v>6</v>
      </c>
      <c r="S44" s="8">
        <f t="shared" si="40"/>
        <v>1.8574447944079215</v>
      </c>
      <c r="T44" s="8">
        <f t="shared" si="41"/>
        <v>2.8313342824278771E-3</v>
      </c>
      <c r="U44" s="8">
        <f t="shared" si="42"/>
        <v>0.2124308450463416</v>
      </c>
      <c r="V44" s="8">
        <f t="shared" si="43"/>
        <v>2.1093750348369439E-2</v>
      </c>
      <c r="W44" s="8">
        <f t="shared" si="44"/>
        <v>0.16758888273545697</v>
      </c>
      <c r="X44" s="8">
        <f t="shared" si="45"/>
        <v>3.625351608300755E-3</v>
      </c>
      <c r="Y44" s="8">
        <f t="shared" si="46"/>
        <v>1.6786964479470667</v>
      </c>
      <c r="Z44" s="8">
        <f t="shared" si="47"/>
        <v>7.3142615919831983E-2</v>
      </c>
      <c r="AA44" s="8">
        <f t="shared" si="48"/>
        <v>5.4339180542823263E-3</v>
      </c>
      <c r="AB44" s="8">
        <f t="shared" si="49"/>
        <v>3.3905922894362475E-3</v>
      </c>
      <c r="AC44" s="8">
        <f t="shared" si="50"/>
        <v>4.0256785326394358</v>
      </c>
      <c r="AE44" s="8">
        <f t="shared" si="51"/>
        <v>0.90922915328937604</v>
      </c>
      <c r="AF44" s="8">
        <f t="shared" si="52"/>
        <v>9.0327746046261551E-2</v>
      </c>
      <c r="AH44" s="8">
        <f t="shared" si="53"/>
        <v>0</v>
      </c>
      <c r="AI44" s="8">
        <f t="shared" si="54"/>
        <v>5.4339180542823263E-3</v>
      </c>
      <c r="AK44" s="8">
        <f t="shared" si="55"/>
        <v>5.6626685648557542E-3</v>
      </c>
      <c r="AL44" s="8">
        <f t="shared" si="56"/>
        <v>0.11121400438778647</v>
      </c>
      <c r="AM44" s="8">
        <f t="shared" si="57"/>
        <v>-4.3734057032810247E-2</v>
      </c>
      <c r="AN44" s="8">
        <f t="shared" si="58"/>
        <v>0.94710199866532152</v>
      </c>
      <c r="AO44" s="8">
        <f t="shared" si="59"/>
        <v>1.0256785326394358</v>
      </c>
      <c r="AQ44" s="8">
        <f t="shared" si="60"/>
        <v>46.226932127559301</v>
      </c>
      <c r="AS44" s="8">
        <f t="shared" si="61"/>
        <v>0.14255520559207846</v>
      </c>
      <c r="AU44" s="8">
        <f t="shared" si="62"/>
        <v>6.9875639454263144E-2</v>
      </c>
      <c r="AV44" s="8">
        <f t="shared" si="63"/>
        <v>2.1093750348369439E-2</v>
      </c>
      <c r="AW44" s="8">
        <f t="shared" si="64"/>
        <v>2.8313342824278771E-3</v>
      </c>
      <c r="AX44" s="8">
        <f t="shared" si="65"/>
        <v>0.82394280035158607</v>
      </c>
      <c r="AY44" s="8">
        <f t="shared" si="66"/>
        <v>8.2256475563353373E-2</v>
      </c>
      <c r="AZ44" s="8">
        <f t="shared" si="67"/>
        <v>0.99999999999999989</v>
      </c>
      <c r="BB44" s="8">
        <f t="shared" si="68"/>
        <v>7.3142615919831983E-2</v>
      </c>
      <c r="BC44" s="8">
        <f t="shared" si="69"/>
        <v>5.4339180542823263E-3</v>
      </c>
      <c r="BD44" s="8">
        <f t="shared" si="70"/>
        <v>3.625351608300755E-3</v>
      </c>
      <c r="BE44" s="8">
        <f t="shared" si="71"/>
        <v>0.83448880246248658</v>
      </c>
      <c r="BF44" s="8">
        <f t="shared" si="72"/>
        <v>8.3309311955098289E-2</v>
      </c>
      <c r="BG44" s="8">
        <f t="shared" si="73"/>
        <v>0.99999999999999989</v>
      </c>
      <c r="BI44" s="21">
        <f t="shared" si="74"/>
        <v>6.8527303830343252E-3</v>
      </c>
      <c r="BJ44" s="21"/>
      <c r="BK44" s="21"/>
      <c r="BM44" s="8">
        <f t="shared" si="75"/>
        <v>10.016753024106789</v>
      </c>
    </row>
    <row r="45" spans="1:65" s="8" customFormat="1">
      <c r="A45" s="44"/>
      <c r="B45" s="44"/>
      <c r="C45" s="44">
        <f>'Spinel-- no zeroes'!C45</f>
        <v>0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9">
        <f t="shared" si="38"/>
        <v>0</v>
      </c>
      <c r="Q45" s="8">
        <f t="shared" si="39"/>
        <v>0</v>
      </c>
      <c r="R45" s="8">
        <v>6</v>
      </c>
      <c r="S45" s="8" t="e">
        <f t="shared" si="40"/>
        <v>#DIV/0!</v>
      </c>
      <c r="T45" s="8" t="e">
        <f t="shared" si="41"/>
        <v>#DIV/0!</v>
      </c>
      <c r="U45" s="8" t="e">
        <f t="shared" si="42"/>
        <v>#DIV/0!</v>
      </c>
      <c r="V45" s="8" t="e">
        <f t="shared" si="43"/>
        <v>#DIV/0!</v>
      </c>
      <c r="W45" s="8" t="e">
        <f t="shared" si="44"/>
        <v>#DIV/0!</v>
      </c>
      <c r="X45" s="8" t="e">
        <f t="shared" si="45"/>
        <v>#DIV/0!</v>
      </c>
      <c r="Y45" s="8" t="e">
        <f t="shared" si="46"/>
        <v>#DIV/0!</v>
      </c>
      <c r="Z45" s="8" t="e">
        <f t="shared" si="47"/>
        <v>#DIV/0!</v>
      </c>
      <c r="AA45" s="8" t="e">
        <f t="shared" si="48"/>
        <v>#DIV/0!</v>
      </c>
      <c r="AB45" s="8" t="e">
        <f t="shared" si="49"/>
        <v>#DIV/0!</v>
      </c>
      <c r="AC45" s="8" t="e">
        <f t="shared" si="50"/>
        <v>#DIV/0!</v>
      </c>
      <c r="AE45" s="8" t="e">
        <f t="shared" si="51"/>
        <v>#DIV/0!</v>
      </c>
      <c r="AF45" s="8" t="e">
        <f t="shared" si="52"/>
        <v>#DIV/0!</v>
      </c>
      <c r="AH45" s="8" t="e">
        <f t="shared" si="53"/>
        <v>#DIV/0!</v>
      </c>
      <c r="AI45" s="8" t="e">
        <f t="shared" si="54"/>
        <v>#DIV/0!</v>
      </c>
      <c r="AK45" s="8" t="e">
        <f t="shared" si="55"/>
        <v>#DIV/0!</v>
      </c>
      <c r="AL45" s="8" t="e">
        <f t="shared" si="56"/>
        <v>#DIV/0!</v>
      </c>
      <c r="AM45" s="8" t="e">
        <f t="shared" si="57"/>
        <v>#DIV/0!</v>
      </c>
      <c r="AN45" s="8" t="e">
        <f t="shared" si="58"/>
        <v>#DIV/0!</v>
      </c>
      <c r="AO45" s="8" t="e">
        <f t="shared" si="59"/>
        <v>#DIV/0!</v>
      </c>
      <c r="AQ45" s="8" t="e">
        <f t="shared" si="60"/>
        <v>#DIV/0!</v>
      </c>
      <c r="AS45" s="8" t="e">
        <f t="shared" si="61"/>
        <v>#DIV/0!</v>
      </c>
      <c r="AU45" s="8" t="e">
        <f t="shared" si="62"/>
        <v>#DIV/0!</v>
      </c>
      <c r="AV45" s="8" t="e">
        <f t="shared" si="63"/>
        <v>#DIV/0!</v>
      </c>
      <c r="AW45" s="8" t="e">
        <f t="shared" si="64"/>
        <v>#DIV/0!</v>
      </c>
      <c r="AX45" s="8" t="e">
        <f t="shared" si="65"/>
        <v>#DIV/0!</v>
      </c>
      <c r="AY45" s="8" t="e">
        <f t="shared" si="66"/>
        <v>#DIV/0!</v>
      </c>
      <c r="AZ45" s="8" t="e">
        <f t="shared" si="67"/>
        <v>#DIV/0!</v>
      </c>
      <c r="BB45" s="8" t="e">
        <f t="shared" si="68"/>
        <v>#DIV/0!</v>
      </c>
      <c r="BC45" s="8" t="e">
        <f t="shared" si="69"/>
        <v>#DIV/0!</v>
      </c>
      <c r="BD45" s="8" t="e">
        <f t="shared" si="70"/>
        <v>#DIV/0!</v>
      </c>
      <c r="BE45" s="8" t="e">
        <f t="shared" si="71"/>
        <v>#DIV/0!</v>
      </c>
      <c r="BF45" s="8" t="e">
        <f t="shared" si="72"/>
        <v>#DIV/0!</v>
      </c>
      <c r="BG45" s="8" t="e">
        <f t="shared" si="73"/>
        <v>#DIV/0!</v>
      </c>
      <c r="BI45" s="21" t="e">
        <f t="shared" si="74"/>
        <v>#DIV/0!</v>
      </c>
      <c r="BJ45" s="21"/>
      <c r="BK45" s="21"/>
      <c r="BM45" s="8" t="e">
        <f t="shared" si="75"/>
        <v>#DIV/0!</v>
      </c>
    </row>
    <row r="46" spans="1:65" s="8" customForma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9"/>
      <c r="BI46" s="21"/>
      <c r="BJ46" s="21"/>
      <c r="BK46" s="21"/>
    </row>
    <row r="47" spans="1:65" s="8" customFormat="1">
      <c r="A47" s="44"/>
      <c r="B47" s="44"/>
      <c r="C47" s="44">
        <f>'Spinel-- no zeroes'!C47</f>
        <v>0</v>
      </c>
      <c r="D47" s="44"/>
      <c r="E47" s="44">
        <v>53.912050000000001</v>
      </c>
      <c r="F47" s="44">
        <v>0.10924383333333332</v>
      </c>
      <c r="G47" s="44">
        <v>5.2310049999999997</v>
      </c>
      <c r="H47" s="44">
        <v>0.77429516666666665</v>
      </c>
      <c r="I47" s="44">
        <v>5.8162050000000001</v>
      </c>
      <c r="J47" s="44">
        <v>0.12420749999999998</v>
      </c>
      <c r="K47" s="44">
        <v>32.685316666666665</v>
      </c>
      <c r="L47" s="44">
        <v>1.9812816666666668</v>
      </c>
      <c r="M47" s="44">
        <v>8.1339666666666671E-2</v>
      </c>
      <c r="N47" s="44">
        <v>0.12232233333333332</v>
      </c>
      <c r="O47" s="9">
        <f t="shared" si="38"/>
        <v>100.83726683333332</v>
      </c>
      <c r="Q47" s="8">
        <f t="shared" si="39"/>
        <v>2.8981374416886019</v>
      </c>
      <c r="R47" s="8">
        <v>6</v>
      </c>
      <c r="S47" s="8">
        <f t="shared" si="40"/>
        <v>1.8574447944079215</v>
      </c>
      <c r="T47" s="8">
        <f t="shared" si="41"/>
        <v>2.8313342824278771E-3</v>
      </c>
      <c r="U47" s="8">
        <f t="shared" si="42"/>
        <v>0.2124308450463416</v>
      </c>
      <c r="V47" s="8">
        <f t="shared" si="43"/>
        <v>2.1093750348369439E-2</v>
      </c>
      <c r="W47" s="8">
        <f t="shared" si="44"/>
        <v>0.16758888273545697</v>
      </c>
      <c r="X47" s="8">
        <f t="shared" si="45"/>
        <v>3.625351608300755E-3</v>
      </c>
      <c r="Y47" s="8">
        <f t="shared" si="46"/>
        <v>1.6786964479470667</v>
      </c>
      <c r="Z47" s="8">
        <f t="shared" si="47"/>
        <v>7.3142615919831983E-2</v>
      </c>
      <c r="AA47" s="8">
        <f t="shared" si="48"/>
        <v>5.4339180542823263E-3</v>
      </c>
      <c r="AB47" s="8">
        <f t="shared" si="49"/>
        <v>3.3905922894362475E-3</v>
      </c>
      <c r="AC47" s="8">
        <f t="shared" si="50"/>
        <v>4.0256785326394358</v>
      </c>
      <c r="AE47" s="8">
        <f t="shared" si="51"/>
        <v>0.90922915328937604</v>
      </c>
      <c r="AF47" s="8">
        <f t="shared" si="52"/>
        <v>9.0327746046261551E-2</v>
      </c>
      <c r="AH47" s="8">
        <f t="shared" si="53"/>
        <v>0</v>
      </c>
      <c r="AI47" s="8">
        <f t="shared" si="54"/>
        <v>5.4339180542823263E-3</v>
      </c>
      <c r="AK47" s="8">
        <f t="shared" si="55"/>
        <v>5.6626685648557542E-3</v>
      </c>
      <c r="AL47" s="8">
        <f t="shared" si="56"/>
        <v>0.11121400438778647</v>
      </c>
      <c r="AM47" s="8">
        <f t="shared" si="57"/>
        <v>-4.3734057032810247E-2</v>
      </c>
      <c r="AN47" s="8">
        <f t="shared" si="58"/>
        <v>0.94710199866532152</v>
      </c>
      <c r="AO47" s="8">
        <f t="shared" si="59"/>
        <v>1.0256785326394358</v>
      </c>
      <c r="AQ47" s="8">
        <f t="shared" si="60"/>
        <v>46.226932127559301</v>
      </c>
      <c r="AS47" s="8">
        <f t="shared" si="61"/>
        <v>0.14255520559207846</v>
      </c>
      <c r="AU47" s="8">
        <f t="shared" si="62"/>
        <v>6.9875639454263144E-2</v>
      </c>
      <c r="AV47" s="8">
        <f t="shared" si="63"/>
        <v>2.1093750348369439E-2</v>
      </c>
      <c r="AW47" s="8">
        <f t="shared" si="64"/>
        <v>2.8313342824278771E-3</v>
      </c>
      <c r="AX47" s="8">
        <f t="shared" si="65"/>
        <v>0.82394280035158607</v>
      </c>
      <c r="AY47" s="8">
        <f t="shared" si="66"/>
        <v>8.2256475563353373E-2</v>
      </c>
      <c r="AZ47" s="8">
        <f t="shared" si="67"/>
        <v>0.99999999999999989</v>
      </c>
      <c r="BB47" s="8">
        <f t="shared" si="68"/>
        <v>7.3142615919831983E-2</v>
      </c>
      <c r="BC47" s="8">
        <f t="shared" si="69"/>
        <v>5.4339180542823263E-3</v>
      </c>
      <c r="BD47" s="8">
        <f t="shared" si="70"/>
        <v>3.625351608300755E-3</v>
      </c>
      <c r="BE47" s="8">
        <f t="shared" si="71"/>
        <v>0.83448880246248658</v>
      </c>
      <c r="BF47" s="8">
        <f t="shared" si="72"/>
        <v>8.3309311955098289E-2</v>
      </c>
      <c r="BG47" s="8">
        <f t="shared" si="73"/>
        <v>0.99999999999999989</v>
      </c>
      <c r="BI47" s="21">
        <f t="shared" si="74"/>
        <v>6.8527303830343252E-3</v>
      </c>
      <c r="BJ47" s="21"/>
      <c r="BK47" s="21"/>
      <c r="BM47" s="8">
        <f t="shared" si="75"/>
        <v>10.016753024106789</v>
      </c>
    </row>
    <row r="48" spans="1:65" s="8" customFormat="1">
      <c r="A48" s="44"/>
      <c r="B48" s="44"/>
      <c r="C48" s="44">
        <f>'Spinel-- no zeroes'!C48</f>
        <v>0</v>
      </c>
      <c r="D48" s="44"/>
      <c r="E48" s="44">
        <v>53.912050000000001</v>
      </c>
      <c r="F48" s="44">
        <v>0.10924383333333332</v>
      </c>
      <c r="G48" s="44">
        <v>5.2310049999999997</v>
      </c>
      <c r="H48" s="44">
        <v>0.77429516666666665</v>
      </c>
      <c r="I48" s="44">
        <v>5.8162050000000001</v>
      </c>
      <c r="J48" s="44">
        <v>0.12420749999999998</v>
      </c>
      <c r="K48" s="44">
        <v>32.685316666666665</v>
      </c>
      <c r="L48" s="44">
        <v>1.9812816666666668</v>
      </c>
      <c r="M48" s="44">
        <v>8.1339666666666671E-2</v>
      </c>
      <c r="N48" s="44">
        <v>0.12232233333333332</v>
      </c>
      <c r="O48" s="9">
        <f t="shared" si="38"/>
        <v>100.83726683333332</v>
      </c>
      <c r="Q48" s="8">
        <f t="shared" si="39"/>
        <v>2.8981374416886019</v>
      </c>
      <c r="R48" s="8">
        <v>6</v>
      </c>
      <c r="S48" s="8">
        <f t="shared" si="40"/>
        <v>1.8574447944079215</v>
      </c>
      <c r="T48" s="8">
        <f t="shared" si="41"/>
        <v>2.8313342824278771E-3</v>
      </c>
      <c r="U48" s="8">
        <f t="shared" si="42"/>
        <v>0.2124308450463416</v>
      </c>
      <c r="V48" s="8">
        <f t="shared" si="43"/>
        <v>2.1093750348369439E-2</v>
      </c>
      <c r="W48" s="8">
        <f t="shared" si="44"/>
        <v>0.16758888273545697</v>
      </c>
      <c r="X48" s="8">
        <f t="shared" si="45"/>
        <v>3.625351608300755E-3</v>
      </c>
      <c r="Y48" s="8">
        <f t="shared" si="46"/>
        <v>1.6786964479470667</v>
      </c>
      <c r="Z48" s="8">
        <f t="shared" si="47"/>
        <v>7.3142615919831983E-2</v>
      </c>
      <c r="AA48" s="8">
        <f t="shared" si="48"/>
        <v>5.4339180542823263E-3</v>
      </c>
      <c r="AB48" s="8">
        <f t="shared" si="49"/>
        <v>3.3905922894362475E-3</v>
      </c>
      <c r="AC48" s="8">
        <f t="shared" si="50"/>
        <v>4.0256785326394358</v>
      </c>
      <c r="AE48" s="8">
        <f t="shared" si="51"/>
        <v>0.90922915328937604</v>
      </c>
      <c r="AF48" s="8">
        <f t="shared" si="52"/>
        <v>9.0327746046261551E-2</v>
      </c>
      <c r="AH48" s="8">
        <f t="shared" si="53"/>
        <v>0</v>
      </c>
      <c r="AI48" s="8">
        <f t="shared" si="54"/>
        <v>5.4339180542823263E-3</v>
      </c>
      <c r="AK48" s="8">
        <f t="shared" si="55"/>
        <v>5.6626685648557542E-3</v>
      </c>
      <c r="AL48" s="8">
        <f t="shared" si="56"/>
        <v>0.11121400438778647</v>
      </c>
      <c r="AM48" s="8">
        <f t="shared" si="57"/>
        <v>-4.3734057032810247E-2</v>
      </c>
      <c r="AN48" s="8">
        <f t="shared" si="58"/>
        <v>0.94710199866532152</v>
      </c>
      <c r="AO48" s="8">
        <f t="shared" si="59"/>
        <v>1.0256785326394358</v>
      </c>
      <c r="AQ48" s="8">
        <f t="shared" si="60"/>
        <v>46.226932127559301</v>
      </c>
      <c r="AS48" s="8">
        <f t="shared" si="61"/>
        <v>0.14255520559207846</v>
      </c>
      <c r="AU48" s="8">
        <f t="shared" si="62"/>
        <v>6.9875639454263144E-2</v>
      </c>
      <c r="AV48" s="8">
        <f t="shared" si="63"/>
        <v>2.1093750348369439E-2</v>
      </c>
      <c r="AW48" s="8">
        <f t="shared" si="64"/>
        <v>2.8313342824278771E-3</v>
      </c>
      <c r="AX48" s="8">
        <f t="shared" si="65"/>
        <v>0.82394280035158607</v>
      </c>
      <c r="AY48" s="8">
        <f t="shared" si="66"/>
        <v>8.2256475563353373E-2</v>
      </c>
      <c r="AZ48" s="8">
        <f t="shared" si="67"/>
        <v>0.99999999999999989</v>
      </c>
      <c r="BB48" s="8">
        <f t="shared" si="68"/>
        <v>7.3142615919831983E-2</v>
      </c>
      <c r="BC48" s="8">
        <f t="shared" si="69"/>
        <v>5.4339180542823263E-3</v>
      </c>
      <c r="BD48" s="8">
        <f t="shared" si="70"/>
        <v>3.625351608300755E-3</v>
      </c>
      <c r="BE48" s="8">
        <f t="shared" si="71"/>
        <v>0.83448880246248658</v>
      </c>
      <c r="BF48" s="8">
        <f t="shared" si="72"/>
        <v>8.3309311955098289E-2</v>
      </c>
      <c r="BG48" s="8">
        <f t="shared" si="73"/>
        <v>0.99999999999999989</v>
      </c>
      <c r="BI48" s="21">
        <f t="shared" si="74"/>
        <v>6.8527303830343252E-3</v>
      </c>
      <c r="BJ48" s="21"/>
      <c r="BK48" s="21"/>
      <c r="BM48" s="8">
        <f t="shared" si="75"/>
        <v>10.016753024106789</v>
      </c>
    </row>
    <row r="49" spans="1:65" s="8" customFormat="1">
      <c r="A49" s="44"/>
      <c r="B49" s="44"/>
      <c r="C49" s="44">
        <f>'Spinel-- no zeroes'!C49</f>
        <v>0</v>
      </c>
      <c r="D49" s="44"/>
      <c r="E49" s="44">
        <v>53.912050000000001</v>
      </c>
      <c r="F49" s="44">
        <v>0.10924383333333332</v>
      </c>
      <c r="G49" s="44">
        <v>5.2310049999999997</v>
      </c>
      <c r="H49" s="44">
        <v>0.77429516666666665</v>
      </c>
      <c r="I49" s="44">
        <v>5.8162050000000001</v>
      </c>
      <c r="J49" s="44">
        <v>0.12420749999999998</v>
      </c>
      <c r="K49" s="44">
        <v>32.685316666666665</v>
      </c>
      <c r="L49" s="44">
        <v>1.9812816666666668</v>
      </c>
      <c r="M49" s="44">
        <v>8.1339666666666671E-2</v>
      </c>
      <c r="N49" s="44">
        <v>0.12232233333333332</v>
      </c>
      <c r="O49" s="9">
        <f t="shared" si="38"/>
        <v>100.83726683333332</v>
      </c>
      <c r="Q49" s="8">
        <f t="shared" si="39"/>
        <v>2.8981374416886019</v>
      </c>
      <c r="R49" s="8">
        <v>6</v>
      </c>
      <c r="S49" s="8">
        <f t="shared" si="40"/>
        <v>1.8574447944079215</v>
      </c>
      <c r="T49" s="8">
        <f t="shared" si="41"/>
        <v>2.8313342824278771E-3</v>
      </c>
      <c r="U49" s="8">
        <f t="shared" si="42"/>
        <v>0.2124308450463416</v>
      </c>
      <c r="V49" s="8">
        <f t="shared" si="43"/>
        <v>2.1093750348369439E-2</v>
      </c>
      <c r="W49" s="8">
        <f t="shared" si="44"/>
        <v>0.16758888273545697</v>
      </c>
      <c r="X49" s="8">
        <f t="shared" si="45"/>
        <v>3.625351608300755E-3</v>
      </c>
      <c r="Y49" s="8">
        <f t="shared" si="46"/>
        <v>1.6786964479470667</v>
      </c>
      <c r="Z49" s="8">
        <f t="shared" si="47"/>
        <v>7.3142615919831983E-2</v>
      </c>
      <c r="AA49" s="8">
        <f t="shared" si="48"/>
        <v>5.4339180542823263E-3</v>
      </c>
      <c r="AB49" s="8">
        <f t="shared" si="49"/>
        <v>3.3905922894362475E-3</v>
      </c>
      <c r="AC49" s="8">
        <f t="shared" si="50"/>
        <v>4.0256785326394358</v>
      </c>
      <c r="AE49" s="8">
        <f t="shared" si="51"/>
        <v>0.90922915328937604</v>
      </c>
      <c r="AF49" s="8">
        <f t="shared" si="52"/>
        <v>9.0327746046261551E-2</v>
      </c>
      <c r="AH49" s="8">
        <f t="shared" si="53"/>
        <v>0</v>
      </c>
      <c r="AI49" s="8">
        <f t="shared" si="54"/>
        <v>5.4339180542823263E-3</v>
      </c>
      <c r="AK49" s="8">
        <f t="shared" si="55"/>
        <v>5.6626685648557542E-3</v>
      </c>
      <c r="AL49" s="8">
        <f t="shared" si="56"/>
        <v>0.11121400438778647</v>
      </c>
      <c r="AM49" s="8">
        <f t="shared" si="57"/>
        <v>-4.3734057032810247E-2</v>
      </c>
      <c r="AN49" s="8">
        <f t="shared" si="58"/>
        <v>0.94710199866532152</v>
      </c>
      <c r="AO49" s="8">
        <f t="shared" si="59"/>
        <v>1.0256785326394358</v>
      </c>
      <c r="AQ49" s="8">
        <f t="shared" si="60"/>
        <v>46.226932127559301</v>
      </c>
      <c r="AS49" s="8">
        <f t="shared" si="61"/>
        <v>0.14255520559207846</v>
      </c>
      <c r="AU49" s="8">
        <f t="shared" si="62"/>
        <v>6.9875639454263144E-2</v>
      </c>
      <c r="AV49" s="8">
        <f t="shared" si="63"/>
        <v>2.1093750348369439E-2</v>
      </c>
      <c r="AW49" s="8">
        <f t="shared" si="64"/>
        <v>2.8313342824278771E-3</v>
      </c>
      <c r="AX49" s="8">
        <f t="shared" si="65"/>
        <v>0.82394280035158607</v>
      </c>
      <c r="AY49" s="8">
        <f t="shared" si="66"/>
        <v>8.2256475563353373E-2</v>
      </c>
      <c r="AZ49" s="8">
        <f t="shared" si="67"/>
        <v>0.99999999999999989</v>
      </c>
      <c r="BB49" s="8">
        <f t="shared" si="68"/>
        <v>7.3142615919831983E-2</v>
      </c>
      <c r="BC49" s="8">
        <f t="shared" si="69"/>
        <v>5.4339180542823263E-3</v>
      </c>
      <c r="BD49" s="8">
        <f t="shared" si="70"/>
        <v>3.625351608300755E-3</v>
      </c>
      <c r="BE49" s="8">
        <f t="shared" si="71"/>
        <v>0.83448880246248658</v>
      </c>
      <c r="BF49" s="8">
        <f t="shared" si="72"/>
        <v>8.3309311955098289E-2</v>
      </c>
      <c r="BG49" s="8">
        <f t="shared" si="73"/>
        <v>0.99999999999999989</v>
      </c>
      <c r="BI49" s="21">
        <f t="shared" si="74"/>
        <v>6.8527303830343252E-3</v>
      </c>
      <c r="BJ49" s="21"/>
      <c r="BK49" s="21"/>
      <c r="BM49" s="8">
        <f t="shared" si="75"/>
        <v>10.016753024106789</v>
      </c>
    </row>
    <row r="50" spans="1:65" s="8" customFormat="1">
      <c r="A50" s="44"/>
      <c r="B50" s="44"/>
      <c r="C50" s="44">
        <f>'Spinel-- no zeroes'!C50</f>
        <v>0</v>
      </c>
      <c r="D50" s="44"/>
      <c r="E50" s="44">
        <v>53.912050000000001</v>
      </c>
      <c r="F50" s="44">
        <v>0.10924383333333332</v>
      </c>
      <c r="G50" s="44">
        <v>5.2310049999999997</v>
      </c>
      <c r="H50" s="44">
        <v>0.77429516666666665</v>
      </c>
      <c r="I50" s="44">
        <v>5.8162050000000001</v>
      </c>
      <c r="J50" s="44">
        <v>0.12420749999999998</v>
      </c>
      <c r="K50" s="44">
        <v>32.685316666666665</v>
      </c>
      <c r="L50" s="44">
        <v>1.9812816666666668</v>
      </c>
      <c r="M50" s="44">
        <v>8.1339666666666671E-2</v>
      </c>
      <c r="N50" s="44">
        <v>0.12232233333333332</v>
      </c>
      <c r="O50" s="9">
        <f t="shared" si="38"/>
        <v>100.83726683333332</v>
      </c>
      <c r="Q50" s="8">
        <f t="shared" si="39"/>
        <v>2.8981374416886019</v>
      </c>
      <c r="R50" s="8">
        <v>6</v>
      </c>
      <c r="S50" s="8">
        <f t="shared" si="40"/>
        <v>1.8574447944079215</v>
      </c>
      <c r="T50" s="8">
        <f t="shared" si="41"/>
        <v>2.8313342824278771E-3</v>
      </c>
      <c r="U50" s="8">
        <f t="shared" si="42"/>
        <v>0.2124308450463416</v>
      </c>
      <c r="V50" s="8">
        <f t="shared" si="43"/>
        <v>2.1093750348369439E-2</v>
      </c>
      <c r="W50" s="8">
        <f t="shared" si="44"/>
        <v>0.16758888273545697</v>
      </c>
      <c r="X50" s="8">
        <f t="shared" si="45"/>
        <v>3.625351608300755E-3</v>
      </c>
      <c r="Y50" s="8">
        <f t="shared" si="46"/>
        <v>1.6786964479470667</v>
      </c>
      <c r="Z50" s="8">
        <f t="shared" si="47"/>
        <v>7.3142615919831983E-2</v>
      </c>
      <c r="AA50" s="8">
        <f t="shared" si="48"/>
        <v>5.4339180542823263E-3</v>
      </c>
      <c r="AB50" s="8">
        <f t="shared" si="49"/>
        <v>3.3905922894362475E-3</v>
      </c>
      <c r="AC50" s="8">
        <f t="shared" si="50"/>
        <v>4.0256785326394358</v>
      </c>
      <c r="AE50" s="8">
        <f t="shared" si="51"/>
        <v>0.90922915328937604</v>
      </c>
      <c r="AF50" s="8">
        <f t="shared" si="52"/>
        <v>9.0327746046261551E-2</v>
      </c>
      <c r="AH50" s="8">
        <f t="shared" si="53"/>
        <v>0</v>
      </c>
      <c r="AI50" s="8">
        <f t="shared" si="54"/>
        <v>5.4339180542823263E-3</v>
      </c>
      <c r="AK50" s="8">
        <f t="shared" si="55"/>
        <v>5.6626685648557542E-3</v>
      </c>
      <c r="AL50" s="8">
        <f t="shared" si="56"/>
        <v>0.11121400438778647</v>
      </c>
      <c r="AM50" s="8">
        <f t="shared" si="57"/>
        <v>-4.3734057032810247E-2</v>
      </c>
      <c r="AN50" s="8">
        <f t="shared" si="58"/>
        <v>0.94710199866532152</v>
      </c>
      <c r="AO50" s="8">
        <f t="shared" si="59"/>
        <v>1.0256785326394358</v>
      </c>
      <c r="AQ50" s="8">
        <f t="shared" si="60"/>
        <v>46.226932127559301</v>
      </c>
      <c r="AS50" s="8">
        <f t="shared" si="61"/>
        <v>0.14255520559207846</v>
      </c>
      <c r="AU50" s="8">
        <f t="shared" si="62"/>
        <v>6.9875639454263144E-2</v>
      </c>
      <c r="AV50" s="8">
        <f t="shared" si="63"/>
        <v>2.1093750348369439E-2</v>
      </c>
      <c r="AW50" s="8">
        <f t="shared" si="64"/>
        <v>2.8313342824278771E-3</v>
      </c>
      <c r="AX50" s="8">
        <f t="shared" si="65"/>
        <v>0.82394280035158607</v>
      </c>
      <c r="AY50" s="8">
        <f t="shared" si="66"/>
        <v>8.2256475563353373E-2</v>
      </c>
      <c r="AZ50" s="8">
        <f t="shared" si="67"/>
        <v>0.99999999999999989</v>
      </c>
      <c r="BB50" s="8">
        <f t="shared" si="68"/>
        <v>7.3142615919831983E-2</v>
      </c>
      <c r="BC50" s="8">
        <f t="shared" si="69"/>
        <v>5.4339180542823263E-3</v>
      </c>
      <c r="BD50" s="8">
        <f t="shared" si="70"/>
        <v>3.625351608300755E-3</v>
      </c>
      <c r="BE50" s="8">
        <f t="shared" si="71"/>
        <v>0.83448880246248658</v>
      </c>
      <c r="BF50" s="8">
        <f t="shared" si="72"/>
        <v>8.3309311955098289E-2</v>
      </c>
      <c r="BG50" s="8">
        <f t="shared" si="73"/>
        <v>0.99999999999999989</v>
      </c>
      <c r="BI50" s="21">
        <f t="shared" si="74"/>
        <v>6.8527303830343252E-3</v>
      </c>
      <c r="BJ50" s="21"/>
      <c r="BK50" s="21"/>
      <c r="BM50" s="8">
        <f t="shared" si="75"/>
        <v>10.016753024106789</v>
      </c>
    </row>
    <row r="51" spans="1:65" s="8" customFormat="1">
      <c r="A51" s="44"/>
      <c r="B51" s="44"/>
      <c r="C51" s="44">
        <f>'Spinel-- no zeroes'!C51</f>
        <v>0</v>
      </c>
      <c r="D51" s="44"/>
      <c r="E51" s="44">
        <v>53.912050000000001</v>
      </c>
      <c r="F51" s="44">
        <v>0.10924383333333332</v>
      </c>
      <c r="G51" s="44">
        <v>5.2310049999999997</v>
      </c>
      <c r="H51" s="44">
        <v>0.77429516666666665</v>
      </c>
      <c r="I51" s="44">
        <v>5.8162050000000001</v>
      </c>
      <c r="J51" s="44">
        <v>0.12420749999999998</v>
      </c>
      <c r="K51" s="44">
        <v>32.685316666666665</v>
      </c>
      <c r="L51" s="44">
        <v>1.9812816666666668</v>
      </c>
      <c r="M51" s="44">
        <v>8.1339666666666671E-2</v>
      </c>
      <c r="N51" s="44">
        <v>0.12232233333333332</v>
      </c>
      <c r="O51" s="9">
        <f t="shared" ref="O51:O58" si="76">SUM(E51:N51)</f>
        <v>100.83726683333332</v>
      </c>
      <c r="Q51" s="8">
        <f t="shared" ref="Q51:Q58" si="77">E51/S$2*2+F51/T$2*2+G51/U$2*3+H51/V$2*3+I51/W$2+J51/X$2+K51/Y$2+L51/Z$2+M51/AA$2+N51/AB$2</f>
        <v>2.8981374416886019</v>
      </c>
      <c r="R51" s="8">
        <v>6</v>
      </c>
      <c r="S51" s="8">
        <f t="shared" ref="S51:S58" si="78">E51/S$2*$R51/$Q51</f>
        <v>1.8574447944079215</v>
      </c>
      <c r="T51" s="8">
        <f t="shared" ref="T51:T58" si="79">F51/T$2*$R51/$Q51</f>
        <v>2.8313342824278771E-3</v>
      </c>
      <c r="U51" s="8">
        <f t="shared" ref="U51:U58" si="80">G51/U$2*$R51/$Q51*2</f>
        <v>0.2124308450463416</v>
      </c>
      <c r="V51" s="8">
        <f t="shared" ref="V51:V58" si="81">H51/V$2*$R51/$Q51*2</f>
        <v>2.1093750348369439E-2</v>
      </c>
      <c r="W51" s="8">
        <f t="shared" ref="W51:W58" si="82">I51/W$2*$R51/$Q51</f>
        <v>0.16758888273545697</v>
      </c>
      <c r="X51" s="8">
        <f t="shared" ref="X51:X58" si="83">J51/X$2*$R51/$Q51</f>
        <v>3.625351608300755E-3</v>
      </c>
      <c r="Y51" s="8">
        <f t="shared" ref="Y51:Y58" si="84">K51/Y$2*$R51/$Q51</f>
        <v>1.6786964479470667</v>
      </c>
      <c r="Z51" s="8">
        <f t="shared" ref="Z51:Z58" si="85">L51/Z$2*$R51/$Q51</f>
        <v>7.3142615919831983E-2</v>
      </c>
      <c r="AA51" s="8">
        <f t="shared" ref="AA51:AA58" si="86">M51/AA$2*$R51/$Q51*2</f>
        <v>5.4339180542823263E-3</v>
      </c>
      <c r="AB51" s="8">
        <f t="shared" ref="AB51:AB58" si="87">N51/AB$2*$R51/$Q51</f>
        <v>3.3905922894362475E-3</v>
      </c>
      <c r="AC51" s="8">
        <f t="shared" ref="AC51:AC58" si="88">SUM(S51:AB51)</f>
        <v>4.0256785326394358</v>
      </c>
      <c r="AE51" s="8">
        <f t="shared" ref="AE51:AE58" si="89">Y51/(Y51+W51)</f>
        <v>0.90922915328937604</v>
      </c>
      <c r="AF51" s="8">
        <f t="shared" ref="AF51:AF58" si="90">V51/(V51+U51)</f>
        <v>9.0327746046261551E-2</v>
      </c>
      <c r="AH51" s="8">
        <f t="shared" ref="AH51:AH58" si="91">IF(AC51&gt;4,0,2*(4-AC51))</f>
        <v>0</v>
      </c>
      <c r="AI51" s="8">
        <f t="shared" ref="AI51:AI58" si="92">AA51</f>
        <v>5.4339180542823263E-3</v>
      </c>
      <c r="AK51" s="8">
        <f t="shared" ref="AK51:AK58" si="93">T51*2</f>
        <v>5.6626685648557542E-3</v>
      </c>
      <c r="AL51" s="8">
        <f t="shared" ref="AL51:AL58" si="94">(U51+V51-AH51-AI51-AJ51-AK51)/2</f>
        <v>0.11121400438778647</v>
      </c>
      <c r="AM51" s="8">
        <f t="shared" ref="AM51:AM58" si="95">Z51-AL51-AH51/2-AK51</f>
        <v>-4.3734057032810247E-2</v>
      </c>
      <c r="AN51" s="8">
        <f t="shared" ref="AN51:AN58" si="96">(W51+X51+AB51+Y51-AM51-AK51/2)/2</f>
        <v>0.94710199866532152</v>
      </c>
      <c r="AO51" s="8">
        <f t="shared" ref="AO51:AO58" si="97">SUM(AH51:AN51)</f>
        <v>1.0256785326394358</v>
      </c>
      <c r="AQ51" s="8">
        <f t="shared" ref="AQ51:AQ58" si="98">W51/X51</f>
        <v>46.226932127559301</v>
      </c>
      <c r="AS51" s="8">
        <f t="shared" ref="AS51:AS58" si="99">2-S51</f>
        <v>0.14255520559207846</v>
      </c>
      <c r="AU51" s="8">
        <f t="shared" ref="AU51:AU58" si="100">U51-AS51</f>
        <v>6.9875639454263144E-2</v>
      </c>
      <c r="AV51" s="8">
        <f t="shared" ref="AV51:AV58" si="101">V51</f>
        <v>2.1093750348369439E-2</v>
      </c>
      <c r="AW51" s="8">
        <f t="shared" ref="AW51:AW58" si="102">T51</f>
        <v>2.8313342824278771E-3</v>
      </c>
      <c r="AX51" s="8">
        <f t="shared" ref="AX51:AX58" si="103">(1-AU51-AV51-AW51)*Y51/(Y51+W51)</f>
        <v>0.82394280035158607</v>
      </c>
      <c r="AY51" s="8">
        <f t="shared" ref="AY51:AY58" si="104">(1-AU51-AV51-AW51)*W51/(Y51+W51)</f>
        <v>8.2256475563353373E-2</v>
      </c>
      <c r="AZ51" s="8">
        <f t="shared" ref="AZ51:AZ58" si="105">SUM(AU51:AY51)</f>
        <v>0.99999999999999989</v>
      </c>
      <c r="BB51" s="8">
        <f t="shared" ref="BB51:BB58" si="106">Z51</f>
        <v>7.3142615919831983E-2</v>
      </c>
      <c r="BC51" s="8">
        <f t="shared" ref="BC51:BC58" si="107">AA51</f>
        <v>5.4339180542823263E-3</v>
      </c>
      <c r="BD51" s="8">
        <f t="shared" ref="BD51:BD58" si="108">X51</f>
        <v>3.625351608300755E-3</v>
      </c>
      <c r="BE51" s="8">
        <f t="shared" ref="BE51:BE58" si="109">(1-BB51-BC51-BD51)*Y51/(Y51+W51)</f>
        <v>0.83448880246248658</v>
      </c>
      <c r="BF51" s="8">
        <f t="shared" ref="BF51:BF58" si="110">(1-BB51-BC51-BD51)*W51/(Y51+W51)</f>
        <v>8.3309311955098289E-2</v>
      </c>
      <c r="BG51" s="8">
        <f t="shared" ref="BG51:BG58" si="111">SUM(BB51:BF51)</f>
        <v>0.99999999999999989</v>
      </c>
      <c r="BI51" s="21">
        <f t="shared" ref="BI51:BI58" si="112">AY51*BF51</f>
        <v>6.8527303830343252E-3</v>
      </c>
      <c r="BJ51" s="21"/>
      <c r="BK51" s="21"/>
      <c r="BM51" s="8">
        <f t="shared" ref="BM51:BM58" si="113">Y51/W51</f>
        <v>10.016753024106789</v>
      </c>
    </row>
    <row r="52" spans="1:65" s="8" customFormat="1">
      <c r="A52" s="44"/>
      <c r="B52" s="44"/>
      <c r="C52" s="44">
        <f>'Spinel-- no zeroes'!C52</f>
        <v>0</v>
      </c>
      <c r="D52" s="44"/>
      <c r="E52" s="44">
        <v>53.912050000000001</v>
      </c>
      <c r="F52" s="44">
        <v>0.10924383333333332</v>
      </c>
      <c r="G52" s="44">
        <v>5.2310049999999997</v>
      </c>
      <c r="H52" s="44">
        <v>0.77429516666666665</v>
      </c>
      <c r="I52" s="44">
        <v>5.8162050000000001</v>
      </c>
      <c r="J52" s="44">
        <v>0.12420749999999998</v>
      </c>
      <c r="K52" s="44">
        <v>32.685316666666665</v>
      </c>
      <c r="L52" s="44">
        <v>1.9812816666666668</v>
      </c>
      <c r="M52" s="44">
        <v>8.1339666666666671E-2</v>
      </c>
      <c r="N52" s="44">
        <v>0.12232233333333332</v>
      </c>
      <c r="O52" s="9">
        <f t="shared" si="76"/>
        <v>100.83726683333332</v>
      </c>
      <c r="Q52" s="8">
        <f t="shared" si="77"/>
        <v>2.8981374416886019</v>
      </c>
      <c r="R52" s="8">
        <v>6</v>
      </c>
      <c r="S52" s="8">
        <f t="shared" si="78"/>
        <v>1.8574447944079215</v>
      </c>
      <c r="T52" s="8">
        <f t="shared" si="79"/>
        <v>2.8313342824278771E-3</v>
      </c>
      <c r="U52" s="8">
        <f t="shared" si="80"/>
        <v>0.2124308450463416</v>
      </c>
      <c r="V52" s="8">
        <f t="shared" si="81"/>
        <v>2.1093750348369439E-2</v>
      </c>
      <c r="W52" s="8">
        <f t="shared" si="82"/>
        <v>0.16758888273545697</v>
      </c>
      <c r="X52" s="8">
        <f t="shared" si="83"/>
        <v>3.625351608300755E-3</v>
      </c>
      <c r="Y52" s="8">
        <f t="shared" si="84"/>
        <v>1.6786964479470667</v>
      </c>
      <c r="Z52" s="8">
        <f t="shared" si="85"/>
        <v>7.3142615919831983E-2</v>
      </c>
      <c r="AA52" s="8">
        <f t="shared" si="86"/>
        <v>5.4339180542823263E-3</v>
      </c>
      <c r="AB52" s="8">
        <f t="shared" si="87"/>
        <v>3.3905922894362475E-3</v>
      </c>
      <c r="AC52" s="8">
        <f t="shared" si="88"/>
        <v>4.0256785326394358</v>
      </c>
      <c r="AE52" s="8">
        <f t="shared" si="89"/>
        <v>0.90922915328937604</v>
      </c>
      <c r="AF52" s="8">
        <f t="shared" si="90"/>
        <v>9.0327746046261551E-2</v>
      </c>
      <c r="AH52" s="8">
        <f t="shared" si="91"/>
        <v>0</v>
      </c>
      <c r="AI52" s="8">
        <f t="shared" si="92"/>
        <v>5.4339180542823263E-3</v>
      </c>
      <c r="AK52" s="8">
        <f t="shared" si="93"/>
        <v>5.6626685648557542E-3</v>
      </c>
      <c r="AL52" s="8">
        <f t="shared" si="94"/>
        <v>0.11121400438778647</v>
      </c>
      <c r="AM52" s="8">
        <f t="shared" si="95"/>
        <v>-4.3734057032810247E-2</v>
      </c>
      <c r="AN52" s="8">
        <f t="shared" si="96"/>
        <v>0.94710199866532152</v>
      </c>
      <c r="AO52" s="8">
        <f t="shared" si="97"/>
        <v>1.0256785326394358</v>
      </c>
      <c r="AQ52" s="8">
        <f t="shared" si="98"/>
        <v>46.226932127559301</v>
      </c>
      <c r="AS52" s="8">
        <f t="shared" si="99"/>
        <v>0.14255520559207846</v>
      </c>
      <c r="AU52" s="8">
        <f t="shared" si="100"/>
        <v>6.9875639454263144E-2</v>
      </c>
      <c r="AV52" s="8">
        <f t="shared" si="101"/>
        <v>2.1093750348369439E-2</v>
      </c>
      <c r="AW52" s="8">
        <f t="shared" si="102"/>
        <v>2.8313342824278771E-3</v>
      </c>
      <c r="AX52" s="8">
        <f t="shared" si="103"/>
        <v>0.82394280035158607</v>
      </c>
      <c r="AY52" s="8">
        <f t="shared" si="104"/>
        <v>8.2256475563353373E-2</v>
      </c>
      <c r="AZ52" s="8">
        <f t="shared" si="105"/>
        <v>0.99999999999999989</v>
      </c>
      <c r="BB52" s="8">
        <f t="shared" si="106"/>
        <v>7.3142615919831983E-2</v>
      </c>
      <c r="BC52" s="8">
        <f t="shared" si="107"/>
        <v>5.4339180542823263E-3</v>
      </c>
      <c r="BD52" s="8">
        <f t="shared" si="108"/>
        <v>3.625351608300755E-3</v>
      </c>
      <c r="BE52" s="8">
        <f t="shared" si="109"/>
        <v>0.83448880246248658</v>
      </c>
      <c r="BF52" s="8">
        <f t="shared" si="110"/>
        <v>8.3309311955098289E-2</v>
      </c>
      <c r="BG52" s="8">
        <f t="shared" si="111"/>
        <v>0.99999999999999989</v>
      </c>
      <c r="BI52" s="21">
        <f t="shared" si="112"/>
        <v>6.8527303830343252E-3</v>
      </c>
      <c r="BJ52" s="21"/>
      <c r="BK52" s="21"/>
      <c r="BM52" s="8">
        <f t="shared" si="113"/>
        <v>10.016753024106789</v>
      </c>
    </row>
    <row r="53" spans="1:65" s="8" customFormat="1">
      <c r="A53" s="44"/>
      <c r="B53" s="44"/>
      <c r="C53" s="44">
        <f>'Spinel-- no zeroes'!C53</f>
        <v>0</v>
      </c>
      <c r="D53" s="44"/>
      <c r="E53" s="44">
        <v>53.912050000000001</v>
      </c>
      <c r="F53" s="44">
        <v>0.10924383333333332</v>
      </c>
      <c r="G53" s="44">
        <v>5.2310049999999997</v>
      </c>
      <c r="H53" s="44">
        <v>0.77429516666666665</v>
      </c>
      <c r="I53" s="44">
        <v>5.8162050000000001</v>
      </c>
      <c r="J53" s="44">
        <v>0.12420749999999998</v>
      </c>
      <c r="K53" s="44">
        <v>32.685316666666665</v>
      </c>
      <c r="L53" s="44">
        <v>1.9812816666666668</v>
      </c>
      <c r="M53" s="44">
        <v>8.1339666666666671E-2</v>
      </c>
      <c r="N53" s="44">
        <v>0.12232233333333332</v>
      </c>
      <c r="O53" s="9">
        <f t="shared" si="76"/>
        <v>100.83726683333332</v>
      </c>
      <c r="Q53" s="8">
        <f t="shared" si="77"/>
        <v>2.8981374416886019</v>
      </c>
      <c r="R53" s="8">
        <v>6</v>
      </c>
      <c r="S53" s="8">
        <f t="shared" si="78"/>
        <v>1.8574447944079215</v>
      </c>
      <c r="T53" s="8">
        <f t="shared" si="79"/>
        <v>2.8313342824278771E-3</v>
      </c>
      <c r="U53" s="8">
        <f t="shared" si="80"/>
        <v>0.2124308450463416</v>
      </c>
      <c r="V53" s="8">
        <f t="shared" si="81"/>
        <v>2.1093750348369439E-2</v>
      </c>
      <c r="W53" s="8">
        <f t="shared" si="82"/>
        <v>0.16758888273545697</v>
      </c>
      <c r="X53" s="8">
        <f t="shared" si="83"/>
        <v>3.625351608300755E-3</v>
      </c>
      <c r="Y53" s="8">
        <f t="shared" si="84"/>
        <v>1.6786964479470667</v>
      </c>
      <c r="Z53" s="8">
        <f t="shared" si="85"/>
        <v>7.3142615919831983E-2</v>
      </c>
      <c r="AA53" s="8">
        <f t="shared" si="86"/>
        <v>5.4339180542823263E-3</v>
      </c>
      <c r="AB53" s="8">
        <f t="shared" si="87"/>
        <v>3.3905922894362475E-3</v>
      </c>
      <c r="AC53" s="8">
        <f t="shared" si="88"/>
        <v>4.0256785326394358</v>
      </c>
      <c r="AE53" s="8">
        <f t="shared" si="89"/>
        <v>0.90922915328937604</v>
      </c>
      <c r="AF53" s="8">
        <f t="shared" si="90"/>
        <v>9.0327746046261551E-2</v>
      </c>
      <c r="AH53" s="8">
        <f t="shared" si="91"/>
        <v>0</v>
      </c>
      <c r="AI53" s="8">
        <f t="shared" si="92"/>
        <v>5.4339180542823263E-3</v>
      </c>
      <c r="AK53" s="8">
        <f t="shared" si="93"/>
        <v>5.6626685648557542E-3</v>
      </c>
      <c r="AL53" s="8">
        <f t="shared" si="94"/>
        <v>0.11121400438778647</v>
      </c>
      <c r="AM53" s="8">
        <f t="shared" si="95"/>
        <v>-4.3734057032810247E-2</v>
      </c>
      <c r="AN53" s="8">
        <f t="shared" si="96"/>
        <v>0.94710199866532152</v>
      </c>
      <c r="AO53" s="8">
        <f t="shared" si="97"/>
        <v>1.0256785326394358</v>
      </c>
      <c r="AQ53" s="8">
        <f t="shared" si="98"/>
        <v>46.226932127559301</v>
      </c>
      <c r="AS53" s="8">
        <f t="shared" si="99"/>
        <v>0.14255520559207846</v>
      </c>
      <c r="AU53" s="8">
        <f t="shared" si="100"/>
        <v>6.9875639454263144E-2</v>
      </c>
      <c r="AV53" s="8">
        <f t="shared" si="101"/>
        <v>2.1093750348369439E-2</v>
      </c>
      <c r="AW53" s="8">
        <f t="shared" si="102"/>
        <v>2.8313342824278771E-3</v>
      </c>
      <c r="AX53" s="8">
        <f t="shared" si="103"/>
        <v>0.82394280035158607</v>
      </c>
      <c r="AY53" s="8">
        <f t="shared" si="104"/>
        <v>8.2256475563353373E-2</v>
      </c>
      <c r="AZ53" s="8">
        <f t="shared" si="105"/>
        <v>0.99999999999999989</v>
      </c>
      <c r="BB53" s="8">
        <f t="shared" si="106"/>
        <v>7.3142615919831983E-2</v>
      </c>
      <c r="BC53" s="8">
        <f t="shared" si="107"/>
        <v>5.4339180542823263E-3</v>
      </c>
      <c r="BD53" s="8">
        <f t="shared" si="108"/>
        <v>3.625351608300755E-3</v>
      </c>
      <c r="BE53" s="8">
        <f t="shared" si="109"/>
        <v>0.83448880246248658</v>
      </c>
      <c r="BF53" s="8">
        <f t="shared" si="110"/>
        <v>8.3309311955098289E-2</v>
      </c>
      <c r="BG53" s="8">
        <f t="shared" si="111"/>
        <v>0.99999999999999989</v>
      </c>
      <c r="BI53" s="21">
        <f t="shared" si="112"/>
        <v>6.8527303830343252E-3</v>
      </c>
      <c r="BJ53" s="21"/>
      <c r="BK53" s="21"/>
      <c r="BM53" s="8">
        <f t="shared" si="113"/>
        <v>10.016753024106789</v>
      </c>
    </row>
    <row r="54" spans="1:65" s="8" customFormat="1">
      <c r="A54" s="44"/>
      <c r="B54" s="44"/>
      <c r="C54" s="44">
        <f>'Spinel-- no zeroes'!C54</f>
        <v>0</v>
      </c>
      <c r="D54" s="44"/>
      <c r="E54" s="44">
        <v>53.912050000000001</v>
      </c>
      <c r="F54" s="44">
        <v>0.10924383333333332</v>
      </c>
      <c r="G54" s="44">
        <v>5.2310049999999997</v>
      </c>
      <c r="H54" s="44">
        <v>0.77429516666666665</v>
      </c>
      <c r="I54" s="44">
        <v>5.8162050000000001</v>
      </c>
      <c r="J54" s="44">
        <v>0.12420749999999998</v>
      </c>
      <c r="K54" s="44">
        <v>32.685316666666665</v>
      </c>
      <c r="L54" s="44">
        <v>1.9812816666666668</v>
      </c>
      <c r="M54" s="44">
        <v>8.1339666666666671E-2</v>
      </c>
      <c r="N54" s="44">
        <v>0.12232233333333332</v>
      </c>
      <c r="O54" s="9">
        <f t="shared" si="76"/>
        <v>100.83726683333332</v>
      </c>
      <c r="Q54" s="8">
        <f t="shared" si="77"/>
        <v>2.8981374416886019</v>
      </c>
      <c r="R54" s="8">
        <v>6</v>
      </c>
      <c r="S54" s="8">
        <f t="shared" si="78"/>
        <v>1.8574447944079215</v>
      </c>
      <c r="T54" s="8">
        <f t="shared" si="79"/>
        <v>2.8313342824278771E-3</v>
      </c>
      <c r="U54" s="8">
        <f t="shared" si="80"/>
        <v>0.2124308450463416</v>
      </c>
      <c r="V54" s="8">
        <f t="shared" si="81"/>
        <v>2.1093750348369439E-2</v>
      </c>
      <c r="W54" s="8">
        <f t="shared" si="82"/>
        <v>0.16758888273545697</v>
      </c>
      <c r="X54" s="8">
        <f t="shared" si="83"/>
        <v>3.625351608300755E-3</v>
      </c>
      <c r="Y54" s="8">
        <f t="shared" si="84"/>
        <v>1.6786964479470667</v>
      </c>
      <c r="Z54" s="8">
        <f t="shared" si="85"/>
        <v>7.3142615919831983E-2</v>
      </c>
      <c r="AA54" s="8">
        <f t="shared" si="86"/>
        <v>5.4339180542823263E-3</v>
      </c>
      <c r="AB54" s="8">
        <f t="shared" si="87"/>
        <v>3.3905922894362475E-3</v>
      </c>
      <c r="AC54" s="8">
        <f t="shared" si="88"/>
        <v>4.0256785326394358</v>
      </c>
      <c r="AE54" s="8">
        <f t="shared" si="89"/>
        <v>0.90922915328937604</v>
      </c>
      <c r="AF54" s="8">
        <f t="shared" si="90"/>
        <v>9.0327746046261551E-2</v>
      </c>
      <c r="AH54" s="8">
        <f t="shared" si="91"/>
        <v>0</v>
      </c>
      <c r="AI54" s="8">
        <f t="shared" si="92"/>
        <v>5.4339180542823263E-3</v>
      </c>
      <c r="AK54" s="8">
        <f t="shared" si="93"/>
        <v>5.6626685648557542E-3</v>
      </c>
      <c r="AL54" s="8">
        <f t="shared" si="94"/>
        <v>0.11121400438778647</v>
      </c>
      <c r="AM54" s="8">
        <f t="shared" si="95"/>
        <v>-4.3734057032810247E-2</v>
      </c>
      <c r="AN54" s="8">
        <f t="shared" si="96"/>
        <v>0.94710199866532152</v>
      </c>
      <c r="AO54" s="8">
        <f t="shared" si="97"/>
        <v>1.0256785326394358</v>
      </c>
      <c r="AQ54" s="8">
        <f t="shared" si="98"/>
        <v>46.226932127559301</v>
      </c>
      <c r="AS54" s="8">
        <f t="shared" si="99"/>
        <v>0.14255520559207846</v>
      </c>
      <c r="AU54" s="8">
        <f t="shared" si="100"/>
        <v>6.9875639454263144E-2</v>
      </c>
      <c r="AV54" s="8">
        <f t="shared" si="101"/>
        <v>2.1093750348369439E-2</v>
      </c>
      <c r="AW54" s="8">
        <f t="shared" si="102"/>
        <v>2.8313342824278771E-3</v>
      </c>
      <c r="AX54" s="8">
        <f t="shared" si="103"/>
        <v>0.82394280035158607</v>
      </c>
      <c r="AY54" s="8">
        <f t="shared" si="104"/>
        <v>8.2256475563353373E-2</v>
      </c>
      <c r="AZ54" s="8">
        <f t="shared" si="105"/>
        <v>0.99999999999999989</v>
      </c>
      <c r="BB54" s="8">
        <f t="shared" si="106"/>
        <v>7.3142615919831983E-2</v>
      </c>
      <c r="BC54" s="8">
        <f t="shared" si="107"/>
        <v>5.4339180542823263E-3</v>
      </c>
      <c r="BD54" s="8">
        <f t="shared" si="108"/>
        <v>3.625351608300755E-3</v>
      </c>
      <c r="BE54" s="8">
        <f t="shared" si="109"/>
        <v>0.83448880246248658</v>
      </c>
      <c r="BF54" s="8">
        <f t="shared" si="110"/>
        <v>8.3309311955098289E-2</v>
      </c>
      <c r="BG54" s="8">
        <f t="shared" si="111"/>
        <v>0.99999999999999989</v>
      </c>
      <c r="BI54" s="21">
        <f t="shared" si="112"/>
        <v>6.8527303830343252E-3</v>
      </c>
      <c r="BJ54" s="21"/>
      <c r="BK54" s="21"/>
      <c r="BM54" s="8">
        <f t="shared" si="113"/>
        <v>10.016753024106789</v>
      </c>
    </row>
    <row r="55" spans="1:65" s="8" customFormat="1">
      <c r="A55" s="44"/>
      <c r="B55" s="44"/>
      <c r="C55" s="44">
        <f>'Spinel-- no zeroes'!C55</f>
        <v>0</v>
      </c>
      <c r="D55" s="44"/>
      <c r="E55" s="44">
        <v>53.912050000000001</v>
      </c>
      <c r="F55" s="44">
        <v>0.10924383333333332</v>
      </c>
      <c r="G55" s="44">
        <v>5.2310049999999997</v>
      </c>
      <c r="H55" s="44">
        <v>0.77429516666666665</v>
      </c>
      <c r="I55" s="44">
        <v>5.8162050000000001</v>
      </c>
      <c r="J55" s="44">
        <v>0.12420749999999998</v>
      </c>
      <c r="K55" s="44">
        <v>32.685316666666665</v>
      </c>
      <c r="L55" s="44">
        <v>1.9812816666666668</v>
      </c>
      <c r="M55" s="44">
        <v>8.1339666666666671E-2</v>
      </c>
      <c r="N55" s="44">
        <v>0.12232233333333332</v>
      </c>
      <c r="O55" s="9">
        <f t="shared" si="76"/>
        <v>100.83726683333332</v>
      </c>
      <c r="Q55" s="8">
        <f t="shared" si="77"/>
        <v>2.8981374416886019</v>
      </c>
      <c r="R55" s="8">
        <v>6</v>
      </c>
      <c r="S55" s="8">
        <f t="shared" si="78"/>
        <v>1.8574447944079215</v>
      </c>
      <c r="T55" s="8">
        <f t="shared" si="79"/>
        <v>2.8313342824278771E-3</v>
      </c>
      <c r="U55" s="8">
        <f t="shared" si="80"/>
        <v>0.2124308450463416</v>
      </c>
      <c r="V55" s="8">
        <f t="shared" si="81"/>
        <v>2.1093750348369439E-2</v>
      </c>
      <c r="W55" s="8">
        <f t="shared" si="82"/>
        <v>0.16758888273545697</v>
      </c>
      <c r="X55" s="8">
        <f t="shared" si="83"/>
        <v>3.625351608300755E-3</v>
      </c>
      <c r="Y55" s="8">
        <f t="shared" si="84"/>
        <v>1.6786964479470667</v>
      </c>
      <c r="Z55" s="8">
        <f t="shared" si="85"/>
        <v>7.3142615919831983E-2</v>
      </c>
      <c r="AA55" s="8">
        <f t="shared" si="86"/>
        <v>5.4339180542823263E-3</v>
      </c>
      <c r="AB55" s="8">
        <f t="shared" si="87"/>
        <v>3.3905922894362475E-3</v>
      </c>
      <c r="AC55" s="8">
        <f t="shared" si="88"/>
        <v>4.0256785326394358</v>
      </c>
      <c r="AE55" s="8">
        <f t="shared" si="89"/>
        <v>0.90922915328937604</v>
      </c>
      <c r="AF55" s="8">
        <f t="shared" si="90"/>
        <v>9.0327746046261551E-2</v>
      </c>
      <c r="AH55" s="8">
        <f t="shared" si="91"/>
        <v>0</v>
      </c>
      <c r="AI55" s="8">
        <f t="shared" si="92"/>
        <v>5.4339180542823263E-3</v>
      </c>
      <c r="AK55" s="8">
        <f t="shared" si="93"/>
        <v>5.6626685648557542E-3</v>
      </c>
      <c r="AL55" s="8">
        <f t="shared" si="94"/>
        <v>0.11121400438778647</v>
      </c>
      <c r="AM55" s="8">
        <f t="shared" si="95"/>
        <v>-4.3734057032810247E-2</v>
      </c>
      <c r="AN55" s="8">
        <f t="shared" si="96"/>
        <v>0.94710199866532152</v>
      </c>
      <c r="AO55" s="8">
        <f t="shared" si="97"/>
        <v>1.0256785326394358</v>
      </c>
      <c r="AQ55" s="8">
        <f t="shared" si="98"/>
        <v>46.226932127559301</v>
      </c>
      <c r="AS55" s="8">
        <f t="shared" si="99"/>
        <v>0.14255520559207846</v>
      </c>
      <c r="AU55" s="8">
        <f t="shared" si="100"/>
        <v>6.9875639454263144E-2</v>
      </c>
      <c r="AV55" s="8">
        <f t="shared" si="101"/>
        <v>2.1093750348369439E-2</v>
      </c>
      <c r="AW55" s="8">
        <f t="shared" si="102"/>
        <v>2.8313342824278771E-3</v>
      </c>
      <c r="AX55" s="8">
        <f t="shared" si="103"/>
        <v>0.82394280035158607</v>
      </c>
      <c r="AY55" s="8">
        <f t="shared" si="104"/>
        <v>8.2256475563353373E-2</v>
      </c>
      <c r="AZ55" s="8">
        <f t="shared" si="105"/>
        <v>0.99999999999999989</v>
      </c>
      <c r="BB55" s="8">
        <f t="shared" si="106"/>
        <v>7.3142615919831983E-2</v>
      </c>
      <c r="BC55" s="8">
        <f t="shared" si="107"/>
        <v>5.4339180542823263E-3</v>
      </c>
      <c r="BD55" s="8">
        <f t="shared" si="108"/>
        <v>3.625351608300755E-3</v>
      </c>
      <c r="BE55" s="8">
        <f t="shared" si="109"/>
        <v>0.83448880246248658</v>
      </c>
      <c r="BF55" s="8">
        <f t="shared" si="110"/>
        <v>8.3309311955098289E-2</v>
      </c>
      <c r="BG55" s="8">
        <f t="shared" si="111"/>
        <v>0.99999999999999989</v>
      </c>
      <c r="BI55" s="21">
        <f t="shared" si="112"/>
        <v>6.8527303830343252E-3</v>
      </c>
      <c r="BJ55" s="21"/>
      <c r="BK55" s="21"/>
      <c r="BM55" s="8">
        <f t="shared" si="113"/>
        <v>10.016753024106789</v>
      </c>
    </row>
    <row r="56" spans="1:65" s="8" customFormat="1">
      <c r="A56" s="44"/>
      <c r="B56" s="44"/>
      <c r="C56" s="44">
        <f>'Spinel-- no zeroes'!C56</f>
        <v>0</v>
      </c>
      <c r="D56" s="44"/>
      <c r="E56" s="44">
        <v>53.912050000000001</v>
      </c>
      <c r="F56" s="44">
        <v>0.10924383333333332</v>
      </c>
      <c r="G56" s="44">
        <v>5.2310049999999997</v>
      </c>
      <c r="H56" s="44">
        <v>0.77429516666666665</v>
      </c>
      <c r="I56" s="44">
        <v>5.8162050000000001</v>
      </c>
      <c r="J56" s="44">
        <v>0.12420749999999998</v>
      </c>
      <c r="K56" s="44">
        <v>32.685316666666665</v>
      </c>
      <c r="L56" s="44">
        <v>1.9812816666666668</v>
      </c>
      <c r="M56" s="44">
        <v>8.1339666666666671E-2</v>
      </c>
      <c r="N56" s="44">
        <v>0.12232233333333332</v>
      </c>
      <c r="O56" s="9">
        <f t="shared" si="76"/>
        <v>100.83726683333332</v>
      </c>
      <c r="Q56" s="8">
        <f t="shared" si="77"/>
        <v>2.8981374416886019</v>
      </c>
      <c r="R56" s="8">
        <v>6</v>
      </c>
      <c r="S56" s="8">
        <f t="shared" si="78"/>
        <v>1.8574447944079215</v>
      </c>
      <c r="T56" s="8">
        <f t="shared" si="79"/>
        <v>2.8313342824278771E-3</v>
      </c>
      <c r="U56" s="8">
        <f t="shared" si="80"/>
        <v>0.2124308450463416</v>
      </c>
      <c r="V56" s="8">
        <f t="shared" si="81"/>
        <v>2.1093750348369439E-2</v>
      </c>
      <c r="W56" s="8">
        <f t="shared" si="82"/>
        <v>0.16758888273545697</v>
      </c>
      <c r="X56" s="8">
        <f t="shared" si="83"/>
        <v>3.625351608300755E-3</v>
      </c>
      <c r="Y56" s="8">
        <f t="shared" si="84"/>
        <v>1.6786964479470667</v>
      </c>
      <c r="Z56" s="8">
        <f t="shared" si="85"/>
        <v>7.3142615919831983E-2</v>
      </c>
      <c r="AA56" s="8">
        <f t="shared" si="86"/>
        <v>5.4339180542823263E-3</v>
      </c>
      <c r="AB56" s="8">
        <f t="shared" si="87"/>
        <v>3.3905922894362475E-3</v>
      </c>
      <c r="AC56" s="8">
        <f t="shared" si="88"/>
        <v>4.0256785326394358</v>
      </c>
      <c r="AE56" s="8">
        <f t="shared" si="89"/>
        <v>0.90922915328937604</v>
      </c>
      <c r="AF56" s="8">
        <f t="shared" si="90"/>
        <v>9.0327746046261551E-2</v>
      </c>
      <c r="AH56" s="8">
        <f t="shared" si="91"/>
        <v>0</v>
      </c>
      <c r="AI56" s="8">
        <f t="shared" si="92"/>
        <v>5.4339180542823263E-3</v>
      </c>
      <c r="AK56" s="8">
        <f t="shared" si="93"/>
        <v>5.6626685648557542E-3</v>
      </c>
      <c r="AL56" s="8">
        <f t="shared" si="94"/>
        <v>0.11121400438778647</v>
      </c>
      <c r="AM56" s="8">
        <f t="shared" si="95"/>
        <v>-4.3734057032810247E-2</v>
      </c>
      <c r="AN56" s="8">
        <f t="shared" si="96"/>
        <v>0.94710199866532152</v>
      </c>
      <c r="AO56" s="8">
        <f t="shared" si="97"/>
        <v>1.0256785326394358</v>
      </c>
      <c r="AQ56" s="8">
        <f t="shared" si="98"/>
        <v>46.226932127559301</v>
      </c>
      <c r="AS56" s="8">
        <f t="shared" si="99"/>
        <v>0.14255520559207846</v>
      </c>
      <c r="AU56" s="8">
        <f t="shared" si="100"/>
        <v>6.9875639454263144E-2</v>
      </c>
      <c r="AV56" s="8">
        <f t="shared" si="101"/>
        <v>2.1093750348369439E-2</v>
      </c>
      <c r="AW56" s="8">
        <f t="shared" si="102"/>
        <v>2.8313342824278771E-3</v>
      </c>
      <c r="AX56" s="8">
        <f t="shared" si="103"/>
        <v>0.82394280035158607</v>
      </c>
      <c r="AY56" s="8">
        <f t="shared" si="104"/>
        <v>8.2256475563353373E-2</v>
      </c>
      <c r="AZ56" s="8">
        <f t="shared" si="105"/>
        <v>0.99999999999999989</v>
      </c>
      <c r="BB56" s="8">
        <f t="shared" si="106"/>
        <v>7.3142615919831983E-2</v>
      </c>
      <c r="BC56" s="8">
        <f t="shared" si="107"/>
        <v>5.4339180542823263E-3</v>
      </c>
      <c r="BD56" s="8">
        <f t="shared" si="108"/>
        <v>3.625351608300755E-3</v>
      </c>
      <c r="BE56" s="8">
        <f t="shared" si="109"/>
        <v>0.83448880246248658</v>
      </c>
      <c r="BF56" s="8">
        <f t="shared" si="110"/>
        <v>8.3309311955098289E-2</v>
      </c>
      <c r="BG56" s="8">
        <f t="shared" si="111"/>
        <v>0.99999999999999989</v>
      </c>
      <c r="BI56" s="21">
        <f t="shared" si="112"/>
        <v>6.8527303830343252E-3</v>
      </c>
      <c r="BJ56" s="21"/>
      <c r="BK56" s="21"/>
      <c r="BM56" s="8">
        <f t="shared" si="113"/>
        <v>10.016753024106789</v>
      </c>
    </row>
    <row r="57" spans="1:65" s="8" customFormat="1">
      <c r="A57" s="44"/>
      <c r="B57" s="44"/>
      <c r="C57" s="44">
        <f>'Spinel-- no zeroes'!C57</f>
        <v>0</v>
      </c>
      <c r="D57" s="44"/>
      <c r="E57" s="44">
        <v>53.912050000000001</v>
      </c>
      <c r="F57" s="44">
        <v>0.10924383333333332</v>
      </c>
      <c r="G57" s="44">
        <v>5.2310049999999997</v>
      </c>
      <c r="H57" s="44">
        <v>0.77429516666666665</v>
      </c>
      <c r="I57" s="44">
        <v>5.8162050000000001</v>
      </c>
      <c r="J57" s="44">
        <v>0.12420749999999998</v>
      </c>
      <c r="K57" s="44">
        <v>32.685316666666665</v>
      </c>
      <c r="L57" s="44">
        <v>1.9812816666666668</v>
      </c>
      <c r="M57" s="44">
        <v>8.1339666666666671E-2</v>
      </c>
      <c r="N57" s="44">
        <v>0.12232233333333332</v>
      </c>
      <c r="O57" s="9">
        <f t="shared" si="76"/>
        <v>100.83726683333332</v>
      </c>
      <c r="Q57" s="8">
        <f t="shared" si="77"/>
        <v>2.8981374416886019</v>
      </c>
      <c r="R57" s="8">
        <v>6</v>
      </c>
      <c r="S57" s="8">
        <f t="shared" si="78"/>
        <v>1.8574447944079215</v>
      </c>
      <c r="T57" s="8">
        <f t="shared" si="79"/>
        <v>2.8313342824278771E-3</v>
      </c>
      <c r="U57" s="8">
        <f t="shared" si="80"/>
        <v>0.2124308450463416</v>
      </c>
      <c r="V57" s="8">
        <f t="shared" si="81"/>
        <v>2.1093750348369439E-2</v>
      </c>
      <c r="W57" s="8">
        <f t="shared" si="82"/>
        <v>0.16758888273545697</v>
      </c>
      <c r="X57" s="8">
        <f t="shared" si="83"/>
        <v>3.625351608300755E-3</v>
      </c>
      <c r="Y57" s="8">
        <f t="shared" si="84"/>
        <v>1.6786964479470667</v>
      </c>
      <c r="Z57" s="8">
        <f t="shared" si="85"/>
        <v>7.3142615919831983E-2</v>
      </c>
      <c r="AA57" s="8">
        <f t="shared" si="86"/>
        <v>5.4339180542823263E-3</v>
      </c>
      <c r="AB57" s="8">
        <f t="shared" si="87"/>
        <v>3.3905922894362475E-3</v>
      </c>
      <c r="AC57" s="8">
        <f t="shared" si="88"/>
        <v>4.0256785326394358</v>
      </c>
      <c r="AE57" s="8">
        <f t="shared" si="89"/>
        <v>0.90922915328937604</v>
      </c>
      <c r="AF57" s="8">
        <f t="shared" si="90"/>
        <v>9.0327746046261551E-2</v>
      </c>
      <c r="AH57" s="8">
        <f t="shared" si="91"/>
        <v>0</v>
      </c>
      <c r="AI57" s="8">
        <f t="shared" si="92"/>
        <v>5.4339180542823263E-3</v>
      </c>
      <c r="AK57" s="8">
        <f t="shared" si="93"/>
        <v>5.6626685648557542E-3</v>
      </c>
      <c r="AL57" s="8">
        <f t="shared" si="94"/>
        <v>0.11121400438778647</v>
      </c>
      <c r="AM57" s="8">
        <f t="shared" si="95"/>
        <v>-4.3734057032810247E-2</v>
      </c>
      <c r="AN57" s="8">
        <f t="shared" si="96"/>
        <v>0.94710199866532152</v>
      </c>
      <c r="AO57" s="8">
        <f t="shared" si="97"/>
        <v>1.0256785326394358</v>
      </c>
      <c r="AQ57" s="8">
        <f t="shared" si="98"/>
        <v>46.226932127559301</v>
      </c>
      <c r="AS57" s="8">
        <f t="shared" si="99"/>
        <v>0.14255520559207846</v>
      </c>
      <c r="AU57" s="8">
        <f t="shared" si="100"/>
        <v>6.9875639454263144E-2</v>
      </c>
      <c r="AV57" s="8">
        <f t="shared" si="101"/>
        <v>2.1093750348369439E-2</v>
      </c>
      <c r="AW57" s="8">
        <f t="shared" si="102"/>
        <v>2.8313342824278771E-3</v>
      </c>
      <c r="AX57" s="8">
        <f t="shared" si="103"/>
        <v>0.82394280035158607</v>
      </c>
      <c r="AY57" s="8">
        <f t="shared" si="104"/>
        <v>8.2256475563353373E-2</v>
      </c>
      <c r="AZ57" s="8">
        <f t="shared" si="105"/>
        <v>0.99999999999999989</v>
      </c>
      <c r="BB57" s="8">
        <f t="shared" si="106"/>
        <v>7.3142615919831983E-2</v>
      </c>
      <c r="BC57" s="8">
        <f t="shared" si="107"/>
        <v>5.4339180542823263E-3</v>
      </c>
      <c r="BD57" s="8">
        <f t="shared" si="108"/>
        <v>3.625351608300755E-3</v>
      </c>
      <c r="BE57" s="8">
        <f t="shared" si="109"/>
        <v>0.83448880246248658</v>
      </c>
      <c r="BF57" s="8">
        <f t="shared" si="110"/>
        <v>8.3309311955098289E-2</v>
      </c>
      <c r="BG57" s="8">
        <f t="shared" si="111"/>
        <v>0.99999999999999989</v>
      </c>
      <c r="BI57" s="21">
        <f t="shared" si="112"/>
        <v>6.8527303830343252E-3</v>
      </c>
      <c r="BJ57" s="21"/>
      <c r="BK57" s="21"/>
      <c r="BM57" s="8">
        <f t="shared" si="113"/>
        <v>10.016753024106789</v>
      </c>
    </row>
    <row r="58" spans="1:65" s="8" customFormat="1">
      <c r="A58" s="44"/>
      <c r="B58" s="44"/>
      <c r="C58" s="44">
        <f>'Spinel-- no zeroes'!C58</f>
        <v>0</v>
      </c>
      <c r="D58" s="44"/>
      <c r="E58" s="44">
        <v>53.912050000000001</v>
      </c>
      <c r="F58" s="44">
        <v>0.10924383333333332</v>
      </c>
      <c r="G58" s="44">
        <v>5.2310049999999997</v>
      </c>
      <c r="H58" s="44">
        <v>0.77429516666666665</v>
      </c>
      <c r="I58" s="44">
        <v>5.8162050000000001</v>
      </c>
      <c r="J58" s="44">
        <v>0.12420749999999998</v>
      </c>
      <c r="K58" s="44">
        <v>32.685316666666665</v>
      </c>
      <c r="L58" s="44">
        <v>1.9812816666666668</v>
      </c>
      <c r="M58" s="44">
        <v>8.1339666666666671E-2</v>
      </c>
      <c r="N58" s="44">
        <v>0.12232233333333332</v>
      </c>
      <c r="O58" s="9">
        <f t="shared" si="76"/>
        <v>100.83726683333332</v>
      </c>
      <c r="Q58" s="8">
        <f t="shared" si="77"/>
        <v>2.8981374416886019</v>
      </c>
      <c r="R58" s="8">
        <v>6</v>
      </c>
      <c r="S58" s="8">
        <f t="shared" si="78"/>
        <v>1.8574447944079215</v>
      </c>
      <c r="T58" s="8">
        <f t="shared" si="79"/>
        <v>2.8313342824278771E-3</v>
      </c>
      <c r="U58" s="8">
        <f t="shared" si="80"/>
        <v>0.2124308450463416</v>
      </c>
      <c r="V58" s="8">
        <f t="shared" si="81"/>
        <v>2.1093750348369439E-2</v>
      </c>
      <c r="W58" s="8">
        <f t="shared" si="82"/>
        <v>0.16758888273545697</v>
      </c>
      <c r="X58" s="8">
        <f t="shared" si="83"/>
        <v>3.625351608300755E-3</v>
      </c>
      <c r="Y58" s="8">
        <f t="shared" si="84"/>
        <v>1.6786964479470667</v>
      </c>
      <c r="Z58" s="8">
        <f t="shared" si="85"/>
        <v>7.3142615919831983E-2</v>
      </c>
      <c r="AA58" s="8">
        <f t="shared" si="86"/>
        <v>5.4339180542823263E-3</v>
      </c>
      <c r="AB58" s="8">
        <f t="shared" si="87"/>
        <v>3.3905922894362475E-3</v>
      </c>
      <c r="AC58" s="8">
        <f t="shared" si="88"/>
        <v>4.0256785326394358</v>
      </c>
      <c r="AE58" s="8">
        <f t="shared" si="89"/>
        <v>0.90922915328937604</v>
      </c>
      <c r="AF58" s="8">
        <f t="shared" si="90"/>
        <v>9.0327746046261551E-2</v>
      </c>
      <c r="AH58" s="8">
        <f t="shared" si="91"/>
        <v>0</v>
      </c>
      <c r="AI58" s="8">
        <f t="shared" si="92"/>
        <v>5.4339180542823263E-3</v>
      </c>
      <c r="AK58" s="8">
        <f t="shared" si="93"/>
        <v>5.6626685648557542E-3</v>
      </c>
      <c r="AL58" s="8">
        <f t="shared" si="94"/>
        <v>0.11121400438778647</v>
      </c>
      <c r="AM58" s="8">
        <f t="shared" si="95"/>
        <v>-4.3734057032810247E-2</v>
      </c>
      <c r="AN58" s="8">
        <f t="shared" si="96"/>
        <v>0.94710199866532152</v>
      </c>
      <c r="AO58" s="8">
        <f t="shared" si="97"/>
        <v>1.0256785326394358</v>
      </c>
      <c r="AQ58" s="8">
        <f t="shared" si="98"/>
        <v>46.226932127559301</v>
      </c>
      <c r="AS58" s="8">
        <f t="shared" si="99"/>
        <v>0.14255520559207846</v>
      </c>
      <c r="AU58" s="8">
        <f t="shared" si="100"/>
        <v>6.9875639454263144E-2</v>
      </c>
      <c r="AV58" s="8">
        <f t="shared" si="101"/>
        <v>2.1093750348369439E-2</v>
      </c>
      <c r="AW58" s="8">
        <f t="shared" si="102"/>
        <v>2.8313342824278771E-3</v>
      </c>
      <c r="AX58" s="8">
        <f t="shared" si="103"/>
        <v>0.82394280035158607</v>
      </c>
      <c r="AY58" s="8">
        <f t="shared" si="104"/>
        <v>8.2256475563353373E-2</v>
      </c>
      <c r="AZ58" s="8">
        <f t="shared" si="105"/>
        <v>0.99999999999999989</v>
      </c>
      <c r="BB58" s="8">
        <f t="shared" si="106"/>
        <v>7.3142615919831983E-2</v>
      </c>
      <c r="BC58" s="8">
        <f t="shared" si="107"/>
        <v>5.4339180542823263E-3</v>
      </c>
      <c r="BD58" s="8">
        <f t="shared" si="108"/>
        <v>3.625351608300755E-3</v>
      </c>
      <c r="BE58" s="8">
        <f t="shared" si="109"/>
        <v>0.83448880246248658</v>
      </c>
      <c r="BF58" s="8">
        <f t="shared" si="110"/>
        <v>8.3309311955098289E-2</v>
      </c>
      <c r="BG58" s="8">
        <f t="shared" si="111"/>
        <v>0.99999999999999989</v>
      </c>
      <c r="BI58" s="21">
        <f t="shared" si="112"/>
        <v>6.8527303830343252E-3</v>
      </c>
      <c r="BJ58" s="21"/>
      <c r="BK58" s="21"/>
      <c r="BM58" s="8">
        <f t="shared" si="113"/>
        <v>10.016753024106789</v>
      </c>
    </row>
    <row r="59" spans="1:65" s="8" customFormat="1">
      <c r="A59" s="44"/>
      <c r="B59" s="44"/>
      <c r="C59" s="44">
        <f>'Spinel-- no zeroes'!C59</f>
        <v>0</v>
      </c>
      <c r="D59" s="44"/>
      <c r="E59" s="44">
        <v>53.912050000000001</v>
      </c>
      <c r="F59" s="44">
        <v>0.109243833333333</v>
      </c>
      <c r="G59" s="44">
        <v>5.2310049999999997</v>
      </c>
      <c r="H59" s="44">
        <v>0.77429516666666698</v>
      </c>
      <c r="I59" s="44">
        <v>5.8162050000000001</v>
      </c>
      <c r="J59" s="44">
        <v>0.1242075</v>
      </c>
      <c r="K59" s="44">
        <v>32.685316666666701</v>
      </c>
      <c r="L59" s="44">
        <v>1.9812816666666699</v>
      </c>
      <c r="M59" s="44">
        <v>8.1339666666666699E-2</v>
      </c>
      <c r="N59" s="44">
        <v>0.12232233333333301</v>
      </c>
      <c r="O59" s="9">
        <f t="shared" ref="O59" si="114">SUM(E59:N59)</f>
        <v>100.83726683333336</v>
      </c>
      <c r="Q59" s="8">
        <f t="shared" ref="Q59" si="115">E59/S$2*2+F59/T$2*2+G59/U$2*3+H59/V$2*3+I59/W$2+J59/X$2+K59/Y$2+L59/Z$2+M59/AA$2+N59/AB$2</f>
        <v>2.8981374416886028</v>
      </c>
      <c r="R59" s="8">
        <v>6</v>
      </c>
      <c r="S59" s="8">
        <f t="shared" ref="S59" si="116">E59/S$2*$R59/$Q59</f>
        <v>1.8574447944079211</v>
      </c>
      <c r="T59" s="8">
        <f t="shared" ref="T59" si="117">F59/T$2*$R59/$Q59</f>
        <v>2.831334282427868E-3</v>
      </c>
      <c r="U59" s="8">
        <f t="shared" ref="U59" si="118">G59/U$2*$R59/$Q59*2</f>
        <v>0.21243084504634155</v>
      </c>
      <c r="V59" s="8">
        <f t="shared" ref="V59" si="119">H59/V$2*$R59/$Q59*2</f>
        <v>2.1093750348369439E-2</v>
      </c>
      <c r="W59" s="8">
        <f t="shared" ref="W59" si="120">I59/W$2*$R59/$Q59</f>
        <v>0.16758888273545691</v>
      </c>
      <c r="X59" s="8">
        <f t="shared" ref="X59" si="121">J59/X$2*$R59/$Q59</f>
        <v>3.6253516083007541E-3</v>
      </c>
      <c r="Y59" s="8">
        <f t="shared" ref="Y59" si="122">K59/Y$2*$R59/$Q59</f>
        <v>1.6786964479470681</v>
      </c>
      <c r="Z59" s="8">
        <f t="shared" ref="Z59" si="123">L59/Z$2*$R59/$Q59</f>
        <v>7.314261591983208E-2</v>
      </c>
      <c r="AA59" s="8">
        <f t="shared" ref="AA59" si="124">M59/AA$2*$R59/$Q59*2</f>
        <v>5.4339180542823272E-3</v>
      </c>
      <c r="AB59" s="8">
        <f t="shared" ref="AB59" si="125">N59/AB$2*$R59/$Q59</f>
        <v>3.3905922894362371E-3</v>
      </c>
      <c r="AC59" s="8">
        <f t="shared" ref="AC59" si="126">SUM(S59:AB59)</f>
        <v>4.0256785326394366</v>
      </c>
      <c r="AE59" s="8">
        <f t="shared" ref="AE59" si="127">Y59/(Y59+W59)</f>
        <v>0.90922915328937626</v>
      </c>
      <c r="AF59" s="8">
        <f t="shared" ref="AF59" si="128">V59/(V59+U59)</f>
        <v>9.0327746046261578E-2</v>
      </c>
      <c r="AH59" s="8">
        <f t="shared" ref="AH59" si="129">IF(AC59&gt;4,0,2*(4-AC59))</f>
        <v>0</v>
      </c>
      <c r="AI59" s="8">
        <f t="shared" ref="AI59" si="130">AA59</f>
        <v>5.4339180542823272E-3</v>
      </c>
      <c r="AK59" s="8">
        <f t="shared" ref="AK59" si="131">T59*2</f>
        <v>5.662668564855736E-3</v>
      </c>
      <c r="AL59" s="8">
        <f t="shared" ref="AL59" si="132">(U59+V59-AH59-AI59-AJ59-AK59)/2</f>
        <v>0.11121400438778646</v>
      </c>
      <c r="AM59" s="8">
        <f t="shared" ref="AM59" si="133">Z59-AL59-AH59/2-AK59</f>
        <v>-4.3734057032810116E-2</v>
      </c>
      <c r="AN59" s="8">
        <f t="shared" ref="AN59" si="134">(W59+X59+AB59+Y59-AM59-AK59/2)/2</f>
        <v>0.94710199866532219</v>
      </c>
      <c r="AO59" s="8">
        <f t="shared" ref="AO59" si="135">SUM(AH59:AN59)</f>
        <v>1.0256785326394366</v>
      </c>
      <c r="AQ59" s="8">
        <f t="shared" ref="AQ59" si="136">W59/X59</f>
        <v>46.226932127559301</v>
      </c>
      <c r="AS59" s="8">
        <f t="shared" ref="AS59" si="137">2-S59</f>
        <v>0.1425552055920789</v>
      </c>
      <c r="AU59" s="8">
        <f t="shared" ref="AU59" si="138">U59-AS59</f>
        <v>6.9875639454262645E-2</v>
      </c>
      <c r="AV59" s="8">
        <f t="shared" ref="AV59" si="139">V59</f>
        <v>2.1093750348369439E-2</v>
      </c>
      <c r="AW59" s="8">
        <f t="shared" ref="AW59" si="140">T59</f>
        <v>2.831334282427868E-3</v>
      </c>
      <c r="AX59" s="8">
        <f t="shared" ref="AX59" si="141">(1-AU59-AV59-AW59)*Y59/(Y59+W59)</f>
        <v>0.82394280035158662</v>
      </c>
      <c r="AY59" s="8">
        <f t="shared" ref="AY59" si="142">(1-AU59-AV59-AW59)*W59/(Y59+W59)</f>
        <v>8.2256475563353346E-2</v>
      </c>
      <c r="AZ59" s="8">
        <f t="shared" ref="AZ59" si="143">SUM(AU59:AY59)</f>
        <v>0.99999999999999989</v>
      </c>
      <c r="BB59" s="8">
        <f t="shared" ref="BB59" si="144">Z59</f>
        <v>7.314261591983208E-2</v>
      </c>
      <c r="BC59" s="8">
        <f t="shared" ref="BC59" si="145">AA59</f>
        <v>5.4339180542823272E-3</v>
      </c>
      <c r="BD59" s="8">
        <f t="shared" ref="BD59" si="146">X59</f>
        <v>3.6253516083007541E-3</v>
      </c>
      <c r="BE59" s="8">
        <f t="shared" ref="BE59" si="147">(1-BB59-BC59-BD59)*Y59/(Y59+W59)</f>
        <v>0.83448880246248669</v>
      </c>
      <c r="BF59" s="8">
        <f t="shared" ref="BF59" si="148">(1-BB59-BC59-BD59)*W59/(Y59+W59)</f>
        <v>8.3309311955098192E-2</v>
      </c>
      <c r="BG59" s="8">
        <f t="shared" ref="BG59" si="149">SUM(BB59:BF59)</f>
        <v>1</v>
      </c>
      <c r="BI59" s="21">
        <f t="shared" ref="BI59" si="150">AY59*BF59</f>
        <v>6.8527303830343148E-3</v>
      </c>
      <c r="BJ59" s="21"/>
      <c r="BK59" s="21"/>
      <c r="BM59" s="8">
        <f t="shared" ref="BM59" si="151">Y59/W59</f>
        <v>10.016753024106801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opLeftCell="A23" workbookViewId="0">
      <selection activeCell="A55" sqref="A55:XFD59"/>
    </sheetView>
  </sheetViews>
  <sheetFormatPr baseColWidth="10" defaultRowHeight="14" x14ac:dyDescent="0"/>
  <cols>
    <col min="30" max="30" width="2.83203125" customWidth="1"/>
    <col min="32" max="32" width="2.83203125" customWidth="1"/>
  </cols>
  <sheetData>
    <row r="1" spans="1:33" s="8" customFormat="1"/>
    <row r="2" spans="1:33" s="8" customFormat="1">
      <c r="AA2" s="24" t="s">
        <v>107</v>
      </c>
      <c r="AG2" s="63"/>
    </row>
    <row r="3" spans="1:33" s="8" customFormat="1">
      <c r="A3" s="8" t="s">
        <v>81</v>
      </c>
      <c r="B3" s="8" t="s">
        <v>82</v>
      </c>
      <c r="C3" s="8" t="s">
        <v>83</v>
      </c>
      <c r="D3" s="8" t="s">
        <v>84</v>
      </c>
      <c r="E3" s="8" t="s">
        <v>57</v>
      </c>
      <c r="F3" s="8" t="s">
        <v>85</v>
      </c>
      <c r="G3" s="8" t="s">
        <v>86</v>
      </c>
      <c r="H3" s="8" t="s">
        <v>88</v>
      </c>
      <c r="I3" s="8" t="s">
        <v>89</v>
      </c>
      <c r="J3" s="8" t="s">
        <v>90</v>
      </c>
      <c r="K3" s="8" t="s">
        <v>91</v>
      </c>
      <c r="L3" s="8" t="s">
        <v>92</v>
      </c>
      <c r="M3" s="8" t="s">
        <v>11</v>
      </c>
      <c r="N3" s="8" t="s">
        <v>93</v>
      </c>
      <c r="O3" s="8" t="s">
        <v>84</v>
      </c>
      <c r="P3" s="8" t="s">
        <v>57</v>
      </c>
      <c r="Q3" s="8" t="s">
        <v>85</v>
      </c>
      <c r="R3" s="8" t="s">
        <v>86</v>
      </c>
      <c r="S3" s="8" t="s">
        <v>87</v>
      </c>
      <c r="T3" s="8" t="s">
        <v>88</v>
      </c>
      <c r="U3" s="8" t="s">
        <v>89</v>
      </c>
      <c r="V3" s="8" t="s">
        <v>90</v>
      </c>
      <c r="W3" s="8" t="s">
        <v>91</v>
      </c>
      <c r="X3" s="8" t="s">
        <v>92</v>
      </c>
      <c r="Y3" s="8" t="s">
        <v>11</v>
      </c>
      <c r="AA3" s="24" t="s">
        <v>108</v>
      </c>
      <c r="AB3" s="8" t="s">
        <v>109</v>
      </c>
      <c r="AC3" s="8" t="s">
        <v>110</v>
      </c>
      <c r="AE3" s="8" t="s">
        <v>111</v>
      </c>
      <c r="AG3" s="63" t="s">
        <v>112</v>
      </c>
    </row>
    <row r="4" spans="1:33" s="44" customFormat="1">
      <c r="A4" s="45">
        <f>'Spinel-- no zeroes'!C4</f>
        <v>0</v>
      </c>
      <c r="B4" s="44">
        <v>1.5</v>
      </c>
      <c r="C4" s="44" t="s">
        <v>94</v>
      </c>
      <c r="D4" s="62">
        <f>Olivine!E4</f>
        <v>40.382300000000001</v>
      </c>
      <c r="E4" s="62">
        <f>Olivine!F4</f>
        <v>0</v>
      </c>
      <c r="F4" s="62">
        <f>Olivine!G4</f>
        <v>5.8463333333333345E-3</v>
      </c>
      <c r="G4" s="62">
        <f>Olivine!H4</f>
        <v>3.0960000000000002E-3</v>
      </c>
      <c r="H4" s="62">
        <f>Olivine!I4</f>
        <v>9.12866</v>
      </c>
      <c r="I4" s="62">
        <f>Olivine!J4</f>
        <v>0.12850600000000001</v>
      </c>
      <c r="J4" s="62">
        <f>Olivine!K4</f>
        <v>50.097166666666659</v>
      </c>
      <c r="K4" s="62">
        <f>Olivine!L4</f>
        <v>3.9156999999999997E-2</v>
      </c>
      <c r="L4" s="62">
        <f>Olivine!M4</f>
        <v>0</v>
      </c>
      <c r="M4" s="62">
        <f>Olivine!N4</f>
        <v>0.39530833333333332</v>
      </c>
      <c r="N4" s="44" t="s">
        <v>95</v>
      </c>
      <c r="O4" s="62">
        <f>'Spinel-- no zeroes'!E4</f>
        <v>6.6401111111111105E-3</v>
      </c>
      <c r="P4" s="62">
        <f>'Spinel-- no zeroes'!F4</f>
        <v>6.4313333333333333E-2</v>
      </c>
      <c r="Q4" s="62">
        <f>'Spinel-- no zeroes'!G4</f>
        <v>50.603477777777783</v>
      </c>
      <c r="R4" s="62">
        <f>'Spinel-- no zeroes'!H4</f>
        <v>17.013966666666665</v>
      </c>
      <c r="S4" s="62">
        <f>'Spinel-- no zeroes'!I4</f>
        <v>1.9814856865571953</v>
      </c>
      <c r="T4" s="62">
        <f>'Spinel-- no zeroes'!J4</f>
        <v>10.701132081026692</v>
      </c>
      <c r="U4" s="62">
        <f>'Spinel-- no zeroes'!K4</f>
        <v>0.11734222222222221</v>
      </c>
      <c r="V4" s="62">
        <f>'Spinel-- no zeroes'!L4</f>
        <v>18.672133333333331</v>
      </c>
      <c r="W4" s="62">
        <f>'Spinel-- no zeroes'!M4</f>
        <v>3.5715555555555561E-3</v>
      </c>
      <c r="X4" s="62">
        <f>'Spinel-- no zeroes'!N4</f>
        <v>0</v>
      </c>
      <c r="Y4" s="62">
        <f>'Spinel-- no zeroes'!O4</f>
        <v>0.30945600000000001</v>
      </c>
      <c r="AA4" s="61">
        <f>LN(('Spinel-- no zeroes'!AK4*Olivine!W4)/(Olivine!U4*'Spinel-- no zeroes'!AM4))</f>
        <v>1.1458074372902647</v>
      </c>
      <c r="AB4" s="44">
        <f>'Spinel-- no zeroes'!AI4/('Spinel-- no zeroes'!AI4+'Spinel-- no zeroes'!AJ4+'Spinel-- no zeroes'!AH4)</f>
        <v>0.18036091204097307</v>
      </c>
      <c r="AC4" s="44">
        <f>'Spinel-- no zeroes'!AJ4/('Spinel-- no zeroes'!AJ4+'Spinel-- no zeroes'!AI4+'Spinel-- no zeroes'!AH4)</f>
        <v>1.9992406738298794E-2</v>
      </c>
      <c r="AE4" s="44">
        <f>AA4-2*AC4</f>
        <v>1.105822623813667</v>
      </c>
      <c r="AG4" s="64">
        <f>(4299*AB4+1283)/(AE4+1.469*AB4+0.363)-273.15</f>
        <v>914.0710456802318</v>
      </c>
    </row>
    <row r="5" spans="1:33" s="44" customFormat="1">
      <c r="A5" s="45">
        <f>'Spinel-- no zeroes'!C5</f>
        <v>0</v>
      </c>
      <c r="B5" s="44">
        <v>1.5</v>
      </c>
      <c r="C5" s="44" t="s">
        <v>94</v>
      </c>
      <c r="D5" s="62">
        <f>Olivine!E5</f>
        <v>40.382300000000001</v>
      </c>
      <c r="E5" s="62">
        <f>Olivine!F5</f>
        <v>0</v>
      </c>
      <c r="F5" s="62">
        <f>Olivine!G5</f>
        <v>5.8463333333333345E-3</v>
      </c>
      <c r="G5" s="62">
        <f>Olivine!H5</f>
        <v>3.0960000000000002E-3</v>
      </c>
      <c r="H5" s="62">
        <f>Olivine!I5</f>
        <v>9.12866</v>
      </c>
      <c r="I5" s="62">
        <f>Olivine!J5</f>
        <v>0.12850600000000001</v>
      </c>
      <c r="J5" s="62">
        <f>Olivine!K5</f>
        <v>50.097166666666659</v>
      </c>
      <c r="K5" s="62">
        <f>Olivine!L5</f>
        <v>3.9156999999999997E-2</v>
      </c>
      <c r="L5" s="62">
        <f>Olivine!M5</f>
        <v>0</v>
      </c>
      <c r="M5" s="62">
        <f>Olivine!N5</f>
        <v>0.39530833333333332</v>
      </c>
      <c r="N5" s="44" t="s">
        <v>95</v>
      </c>
      <c r="O5" s="62">
        <f>'Spinel-- no zeroes'!E5</f>
        <v>6.6401111111111105E-3</v>
      </c>
      <c r="P5" s="62">
        <f>'Spinel-- no zeroes'!F5</f>
        <v>6.4313333333333333E-2</v>
      </c>
      <c r="Q5" s="62">
        <f>'Spinel-- no zeroes'!G5</f>
        <v>50.603477777777783</v>
      </c>
      <c r="R5" s="62">
        <f>'Spinel-- no zeroes'!H5</f>
        <v>17.013966666666665</v>
      </c>
      <c r="S5" s="62">
        <f>'Spinel-- no zeroes'!I5</f>
        <v>1.9814856865571953</v>
      </c>
      <c r="T5" s="62">
        <f>'Spinel-- no zeroes'!J5</f>
        <v>10.701132081026692</v>
      </c>
      <c r="U5" s="62">
        <f>'Spinel-- no zeroes'!K5</f>
        <v>0.11734222222222221</v>
      </c>
      <c r="V5" s="62">
        <f>'Spinel-- no zeroes'!L5</f>
        <v>18.672133333333331</v>
      </c>
      <c r="W5" s="62">
        <f>'Spinel-- no zeroes'!M5</f>
        <v>3.5715555555555561E-3</v>
      </c>
      <c r="X5" s="62">
        <f>'Spinel-- no zeroes'!N5</f>
        <v>0</v>
      </c>
      <c r="Y5" s="62">
        <f>'Spinel-- no zeroes'!O5</f>
        <v>0.30945600000000001</v>
      </c>
      <c r="AA5" s="61">
        <f>LN(('Spinel-- no zeroes'!AK5*Olivine!W5)/(Olivine!U5*'Spinel-- no zeroes'!AM5))</f>
        <v>1.1458074372902647</v>
      </c>
      <c r="AB5" s="44">
        <f>'Spinel-- no zeroes'!AI5/('Spinel-- no zeroes'!AI5+'Spinel-- no zeroes'!AJ5+'Spinel-- no zeroes'!AH5)</f>
        <v>0.18036091204097307</v>
      </c>
      <c r="AC5" s="44">
        <f>'Spinel-- no zeroes'!AJ5/('Spinel-- no zeroes'!AJ5+'Spinel-- no zeroes'!AI5+'Spinel-- no zeroes'!AH5)</f>
        <v>1.9992406738298794E-2</v>
      </c>
      <c r="AE5" s="44">
        <f t="shared" ref="AE5:AE11" si="0">AA5-2*AC5</f>
        <v>1.105822623813667</v>
      </c>
      <c r="AG5" s="64">
        <f t="shared" ref="AG5:AG11" si="1">(4299*AB5+1283)/(AE5+1.469*AB5+0.363)-273.15</f>
        <v>914.0710456802318</v>
      </c>
    </row>
    <row r="6" spans="1:33" s="44" customFormat="1">
      <c r="A6" s="45">
        <f>'Spinel-- no zeroes'!C6</f>
        <v>0</v>
      </c>
      <c r="B6" s="44">
        <v>1.5</v>
      </c>
      <c r="C6" s="44" t="s">
        <v>94</v>
      </c>
      <c r="D6" s="62">
        <f>Olivine!E6</f>
        <v>40.382300000000001</v>
      </c>
      <c r="E6" s="62">
        <f>Olivine!F6</f>
        <v>0</v>
      </c>
      <c r="F6" s="62">
        <f>Olivine!G6</f>
        <v>5.8463333333333345E-3</v>
      </c>
      <c r="G6" s="62">
        <f>Olivine!H6</f>
        <v>3.0960000000000002E-3</v>
      </c>
      <c r="H6" s="62">
        <f>Olivine!I6</f>
        <v>9.12866</v>
      </c>
      <c r="I6" s="62">
        <f>Olivine!J6</f>
        <v>0.12850600000000001</v>
      </c>
      <c r="J6" s="62">
        <f>Olivine!K6</f>
        <v>50.097166666666659</v>
      </c>
      <c r="K6" s="62">
        <f>Olivine!L6</f>
        <v>3.9156999999999997E-2</v>
      </c>
      <c r="L6" s="62">
        <f>Olivine!M6</f>
        <v>0</v>
      </c>
      <c r="M6" s="62">
        <f>Olivine!N6</f>
        <v>0.39530833333333332</v>
      </c>
      <c r="N6" s="44" t="s">
        <v>95</v>
      </c>
      <c r="O6" s="62">
        <f>'Spinel-- no zeroes'!E6</f>
        <v>6.6401111111111105E-3</v>
      </c>
      <c r="P6" s="62">
        <f>'Spinel-- no zeroes'!F6</f>
        <v>6.4313333333333333E-2</v>
      </c>
      <c r="Q6" s="62">
        <f>'Spinel-- no zeroes'!G6</f>
        <v>50.603477777777783</v>
      </c>
      <c r="R6" s="62">
        <f>'Spinel-- no zeroes'!H6</f>
        <v>17.013966666666665</v>
      </c>
      <c r="S6" s="62">
        <f>'Spinel-- no zeroes'!I6</f>
        <v>1.9814856865571953</v>
      </c>
      <c r="T6" s="62">
        <f>'Spinel-- no zeroes'!J6</f>
        <v>10.701132081026692</v>
      </c>
      <c r="U6" s="62">
        <f>'Spinel-- no zeroes'!K6</f>
        <v>0.11734222222222221</v>
      </c>
      <c r="V6" s="62">
        <f>'Spinel-- no zeroes'!L6</f>
        <v>18.672133333333331</v>
      </c>
      <c r="W6" s="62">
        <f>'Spinel-- no zeroes'!M6</f>
        <v>3.5715555555555561E-3</v>
      </c>
      <c r="X6" s="62">
        <f>'Spinel-- no zeroes'!N6</f>
        <v>0</v>
      </c>
      <c r="Y6" s="62">
        <f>'Spinel-- no zeroes'!O6</f>
        <v>0.30945600000000001</v>
      </c>
      <c r="AA6" s="61">
        <f>LN(('Spinel-- no zeroes'!AK6*Olivine!W6)/(Olivine!U6*'Spinel-- no zeroes'!AM6))</f>
        <v>1.1458074372902647</v>
      </c>
      <c r="AB6" s="44">
        <f>'Spinel-- no zeroes'!AI6/('Spinel-- no zeroes'!AI6+'Spinel-- no zeroes'!AJ6+'Spinel-- no zeroes'!AH6)</f>
        <v>0.18036091204097307</v>
      </c>
      <c r="AC6" s="44">
        <f>'Spinel-- no zeroes'!AJ6/('Spinel-- no zeroes'!AJ6+'Spinel-- no zeroes'!AI6+'Spinel-- no zeroes'!AH6)</f>
        <v>1.9992406738298794E-2</v>
      </c>
      <c r="AE6" s="44">
        <f t="shared" si="0"/>
        <v>1.105822623813667</v>
      </c>
      <c r="AG6" s="64">
        <f t="shared" si="1"/>
        <v>914.0710456802318</v>
      </c>
    </row>
    <row r="7" spans="1:33" s="44" customFormat="1">
      <c r="A7" s="45">
        <f>'Spinel-- no zeroes'!C7</f>
        <v>0</v>
      </c>
      <c r="B7" s="44">
        <v>1.5</v>
      </c>
      <c r="C7" s="44" t="s">
        <v>94</v>
      </c>
      <c r="D7" s="62">
        <f>Olivine!E7</f>
        <v>40.382300000000001</v>
      </c>
      <c r="E7" s="62">
        <f>Olivine!F7</f>
        <v>0</v>
      </c>
      <c r="F7" s="62">
        <f>Olivine!G7</f>
        <v>5.8463333333333345E-3</v>
      </c>
      <c r="G7" s="62">
        <f>Olivine!H7</f>
        <v>3.0960000000000002E-3</v>
      </c>
      <c r="H7" s="62">
        <f>Olivine!I7</f>
        <v>9.12866</v>
      </c>
      <c r="I7" s="62">
        <f>Olivine!J7</f>
        <v>0.12850600000000001</v>
      </c>
      <c r="J7" s="62">
        <f>Olivine!K7</f>
        <v>50.097166666666659</v>
      </c>
      <c r="K7" s="62">
        <f>Olivine!L7</f>
        <v>3.9156999999999997E-2</v>
      </c>
      <c r="L7" s="62">
        <f>Olivine!M7</f>
        <v>0</v>
      </c>
      <c r="M7" s="62">
        <f>Olivine!N7</f>
        <v>0.39530833333333332</v>
      </c>
      <c r="N7" s="44" t="s">
        <v>95</v>
      </c>
      <c r="O7" s="62">
        <f>'Spinel-- no zeroes'!E7</f>
        <v>6.6401111111111105E-3</v>
      </c>
      <c r="P7" s="62">
        <f>'Spinel-- no zeroes'!F7</f>
        <v>6.4313333333333333E-2</v>
      </c>
      <c r="Q7" s="62">
        <f>'Spinel-- no zeroes'!G7</f>
        <v>50.603477777777783</v>
      </c>
      <c r="R7" s="62">
        <f>'Spinel-- no zeroes'!H7</f>
        <v>17.013966666666665</v>
      </c>
      <c r="S7" s="62">
        <f>'Spinel-- no zeroes'!I7</f>
        <v>1.9814856865571953</v>
      </c>
      <c r="T7" s="62">
        <f>'Spinel-- no zeroes'!J7</f>
        <v>10.701132081026692</v>
      </c>
      <c r="U7" s="62">
        <f>'Spinel-- no zeroes'!K7</f>
        <v>0.11734222222222221</v>
      </c>
      <c r="V7" s="62">
        <f>'Spinel-- no zeroes'!L7</f>
        <v>18.672133333333331</v>
      </c>
      <c r="W7" s="62">
        <f>'Spinel-- no zeroes'!M7</f>
        <v>3.5715555555555561E-3</v>
      </c>
      <c r="X7" s="62">
        <f>'Spinel-- no zeroes'!N7</f>
        <v>0</v>
      </c>
      <c r="Y7" s="62">
        <f>'Spinel-- no zeroes'!O7</f>
        <v>0.30945600000000001</v>
      </c>
      <c r="AA7" s="61">
        <f>LN(('Spinel-- no zeroes'!AK7*Olivine!W7)/(Olivine!U7*'Spinel-- no zeroes'!AM7))</f>
        <v>1.1458074372902647</v>
      </c>
      <c r="AB7" s="44">
        <f>'Spinel-- no zeroes'!AI7/('Spinel-- no zeroes'!AI7+'Spinel-- no zeroes'!AJ7+'Spinel-- no zeroes'!AH7)</f>
        <v>0.18036091204097307</v>
      </c>
      <c r="AC7" s="44">
        <f>'Spinel-- no zeroes'!AJ7/('Spinel-- no zeroes'!AJ7+'Spinel-- no zeroes'!AI7+'Spinel-- no zeroes'!AH7)</f>
        <v>1.9992406738298794E-2</v>
      </c>
      <c r="AE7" s="44">
        <f t="shared" si="0"/>
        <v>1.105822623813667</v>
      </c>
      <c r="AG7" s="64">
        <f t="shared" si="1"/>
        <v>914.0710456802318</v>
      </c>
    </row>
    <row r="8" spans="1:33" s="44" customFormat="1">
      <c r="A8" s="45">
        <f>'Spinel-- no zeroes'!C8</f>
        <v>0</v>
      </c>
      <c r="B8" s="44">
        <v>1.5</v>
      </c>
      <c r="C8" s="44" t="s">
        <v>94</v>
      </c>
      <c r="D8" s="62">
        <f>Olivine!E8</f>
        <v>40.382300000000001</v>
      </c>
      <c r="E8" s="62">
        <f>Olivine!F8</f>
        <v>0</v>
      </c>
      <c r="F8" s="62">
        <f>Olivine!G8</f>
        <v>5.8463333333333345E-3</v>
      </c>
      <c r="G8" s="62">
        <f>Olivine!H8</f>
        <v>3.0960000000000002E-3</v>
      </c>
      <c r="H8" s="62">
        <f>Olivine!I8</f>
        <v>9.12866</v>
      </c>
      <c r="I8" s="62">
        <f>Olivine!J8</f>
        <v>0.12850600000000001</v>
      </c>
      <c r="J8" s="62">
        <f>Olivine!K8</f>
        <v>50.097166666666659</v>
      </c>
      <c r="K8" s="62">
        <f>Olivine!L8</f>
        <v>3.9156999999999997E-2</v>
      </c>
      <c r="L8" s="62">
        <f>Olivine!M8</f>
        <v>0</v>
      </c>
      <c r="M8" s="62">
        <f>Olivine!N8</f>
        <v>0.39530833333333332</v>
      </c>
      <c r="N8" s="44" t="s">
        <v>95</v>
      </c>
      <c r="O8" s="62">
        <f>'Spinel-- no zeroes'!E8</f>
        <v>6.6401111111111105E-3</v>
      </c>
      <c r="P8" s="62">
        <f>'Spinel-- no zeroes'!F8</f>
        <v>6.4313333333333333E-2</v>
      </c>
      <c r="Q8" s="62">
        <f>'Spinel-- no zeroes'!G8</f>
        <v>50.603477777777783</v>
      </c>
      <c r="R8" s="62">
        <f>'Spinel-- no zeroes'!H8</f>
        <v>17.013966666666665</v>
      </c>
      <c r="S8" s="62">
        <f>'Spinel-- no zeroes'!I8</f>
        <v>1.9814856865571953</v>
      </c>
      <c r="T8" s="62">
        <f>'Spinel-- no zeroes'!J8</f>
        <v>10.701132081026692</v>
      </c>
      <c r="U8" s="62">
        <f>'Spinel-- no zeroes'!K8</f>
        <v>0.11734222222222221</v>
      </c>
      <c r="V8" s="62">
        <f>'Spinel-- no zeroes'!L8</f>
        <v>18.672133333333331</v>
      </c>
      <c r="W8" s="62">
        <f>'Spinel-- no zeroes'!M8</f>
        <v>3.5715555555555561E-3</v>
      </c>
      <c r="X8" s="62">
        <f>'Spinel-- no zeroes'!N8</f>
        <v>0</v>
      </c>
      <c r="Y8" s="62">
        <f>'Spinel-- no zeroes'!O8</f>
        <v>0.30945600000000001</v>
      </c>
      <c r="AA8" s="61">
        <f>LN(('Spinel-- no zeroes'!AK8*Olivine!W8)/(Olivine!U8*'Spinel-- no zeroes'!AM8))</f>
        <v>1.1458074372902647</v>
      </c>
      <c r="AB8" s="44">
        <f>'Spinel-- no zeroes'!AI8/('Spinel-- no zeroes'!AI8+'Spinel-- no zeroes'!AJ8+'Spinel-- no zeroes'!AH8)</f>
        <v>0.18036091204097307</v>
      </c>
      <c r="AC8" s="44">
        <f>'Spinel-- no zeroes'!AJ8/('Spinel-- no zeroes'!AJ8+'Spinel-- no zeroes'!AI8+'Spinel-- no zeroes'!AH8)</f>
        <v>1.9992406738298794E-2</v>
      </c>
      <c r="AE8" s="44">
        <f t="shared" si="0"/>
        <v>1.105822623813667</v>
      </c>
      <c r="AG8" s="64">
        <f t="shared" si="1"/>
        <v>914.0710456802318</v>
      </c>
    </row>
    <row r="9" spans="1:33" s="44" customFormat="1">
      <c r="A9" s="45">
        <f>'Spinel-- no zeroes'!C9</f>
        <v>0</v>
      </c>
      <c r="B9" s="44">
        <v>1.5</v>
      </c>
      <c r="C9" s="44" t="s">
        <v>94</v>
      </c>
      <c r="D9" s="62">
        <f>Olivine!E9</f>
        <v>40.382300000000001</v>
      </c>
      <c r="E9" s="62">
        <f>Olivine!F9</f>
        <v>0</v>
      </c>
      <c r="F9" s="62">
        <f>Olivine!G9</f>
        <v>5.8463333333333345E-3</v>
      </c>
      <c r="G9" s="62">
        <f>Olivine!H9</f>
        <v>3.0960000000000002E-3</v>
      </c>
      <c r="H9" s="62">
        <f>Olivine!I9</f>
        <v>9.12866</v>
      </c>
      <c r="I9" s="62">
        <f>Olivine!J9</f>
        <v>0.12850600000000001</v>
      </c>
      <c r="J9" s="62">
        <f>Olivine!K9</f>
        <v>50.097166666666659</v>
      </c>
      <c r="K9" s="62">
        <f>Olivine!L9</f>
        <v>3.9156999999999997E-2</v>
      </c>
      <c r="L9" s="62">
        <f>Olivine!M9</f>
        <v>0</v>
      </c>
      <c r="M9" s="62">
        <f>Olivine!N9</f>
        <v>0.39530833333333332</v>
      </c>
      <c r="N9" s="44" t="s">
        <v>95</v>
      </c>
      <c r="O9" s="62">
        <f>'Spinel-- no zeroes'!E9</f>
        <v>6.6401111111111105E-3</v>
      </c>
      <c r="P9" s="62">
        <f>'Spinel-- no zeroes'!F9</f>
        <v>6.4313333333333333E-2</v>
      </c>
      <c r="Q9" s="62">
        <f>'Spinel-- no zeroes'!G9</f>
        <v>50.603477777777783</v>
      </c>
      <c r="R9" s="62">
        <f>'Spinel-- no zeroes'!H9</f>
        <v>17.013966666666665</v>
      </c>
      <c r="S9" s="62">
        <f>'Spinel-- no zeroes'!I9</f>
        <v>1.9814856865571953</v>
      </c>
      <c r="T9" s="62">
        <f>'Spinel-- no zeroes'!J9</f>
        <v>10.701132081026692</v>
      </c>
      <c r="U9" s="62">
        <f>'Spinel-- no zeroes'!K9</f>
        <v>0.11734222222222221</v>
      </c>
      <c r="V9" s="62">
        <f>'Spinel-- no zeroes'!L9</f>
        <v>18.672133333333331</v>
      </c>
      <c r="W9" s="62">
        <f>'Spinel-- no zeroes'!M9</f>
        <v>3.5715555555555561E-3</v>
      </c>
      <c r="X9" s="62">
        <f>'Spinel-- no zeroes'!N9</f>
        <v>0</v>
      </c>
      <c r="Y9" s="62">
        <f>'Spinel-- no zeroes'!O9</f>
        <v>0.30945600000000001</v>
      </c>
      <c r="AA9" s="61">
        <f>LN(('Spinel-- no zeroes'!AK9*Olivine!W9)/(Olivine!U9*'Spinel-- no zeroes'!AM9))</f>
        <v>1.1458074372902647</v>
      </c>
      <c r="AB9" s="44">
        <f>'Spinel-- no zeroes'!AI9/('Spinel-- no zeroes'!AI9+'Spinel-- no zeroes'!AJ9+'Spinel-- no zeroes'!AH9)</f>
        <v>0.18036091204097307</v>
      </c>
      <c r="AC9" s="44">
        <f>'Spinel-- no zeroes'!AJ9/('Spinel-- no zeroes'!AJ9+'Spinel-- no zeroes'!AI9+'Spinel-- no zeroes'!AH9)</f>
        <v>1.9992406738298794E-2</v>
      </c>
      <c r="AE9" s="44">
        <f t="shared" si="0"/>
        <v>1.105822623813667</v>
      </c>
      <c r="AG9" s="64">
        <f t="shared" si="1"/>
        <v>914.0710456802318</v>
      </c>
    </row>
    <row r="10" spans="1:33" s="44" customFormat="1">
      <c r="A10" s="45">
        <f>'Spinel-- no zeroes'!C10</f>
        <v>0</v>
      </c>
      <c r="B10" s="44">
        <v>1.5</v>
      </c>
      <c r="C10" s="44" t="s">
        <v>94</v>
      </c>
      <c r="D10" s="62">
        <f>Olivine!E10</f>
        <v>40.382300000000001</v>
      </c>
      <c r="E10" s="62">
        <f>Olivine!F10</f>
        <v>0</v>
      </c>
      <c r="F10" s="62">
        <f>Olivine!G10</f>
        <v>5.8463333333333345E-3</v>
      </c>
      <c r="G10" s="62">
        <f>Olivine!H10</f>
        <v>3.0960000000000002E-3</v>
      </c>
      <c r="H10" s="62">
        <f>Olivine!I10</f>
        <v>9.12866</v>
      </c>
      <c r="I10" s="62">
        <f>Olivine!J10</f>
        <v>0.12850600000000001</v>
      </c>
      <c r="J10" s="62">
        <f>Olivine!K10</f>
        <v>50.097166666666659</v>
      </c>
      <c r="K10" s="62">
        <f>Olivine!L10</f>
        <v>3.9156999999999997E-2</v>
      </c>
      <c r="L10" s="62">
        <f>Olivine!M10</f>
        <v>0</v>
      </c>
      <c r="M10" s="62">
        <f>Olivine!N10</f>
        <v>0.39530833333333332</v>
      </c>
      <c r="N10" s="44" t="s">
        <v>95</v>
      </c>
      <c r="O10" s="62">
        <f>'Spinel-- no zeroes'!E10</f>
        <v>6.6401111111111105E-3</v>
      </c>
      <c r="P10" s="62">
        <f>'Spinel-- no zeroes'!F10</f>
        <v>6.4313333333333333E-2</v>
      </c>
      <c r="Q10" s="62">
        <f>'Spinel-- no zeroes'!G10</f>
        <v>50.603477777777783</v>
      </c>
      <c r="R10" s="62">
        <f>'Spinel-- no zeroes'!H10</f>
        <v>17.013966666666665</v>
      </c>
      <c r="S10" s="62">
        <f>'Spinel-- no zeroes'!I10</f>
        <v>1.9814856865571953</v>
      </c>
      <c r="T10" s="62">
        <f>'Spinel-- no zeroes'!J10</f>
        <v>10.701132081026692</v>
      </c>
      <c r="U10" s="62">
        <f>'Spinel-- no zeroes'!K10</f>
        <v>0.11734222222222221</v>
      </c>
      <c r="V10" s="62">
        <f>'Spinel-- no zeroes'!L10</f>
        <v>18.672133333333331</v>
      </c>
      <c r="W10" s="62">
        <f>'Spinel-- no zeroes'!M10</f>
        <v>3.5715555555555561E-3</v>
      </c>
      <c r="X10" s="62">
        <f>'Spinel-- no zeroes'!N10</f>
        <v>0</v>
      </c>
      <c r="Y10" s="62">
        <f>'Spinel-- no zeroes'!O10</f>
        <v>0.30945600000000001</v>
      </c>
      <c r="AA10" s="61">
        <f>LN(('Spinel-- no zeroes'!AK10*Olivine!W10)/(Olivine!U10*'Spinel-- no zeroes'!AM10))</f>
        <v>1.1458074372902647</v>
      </c>
      <c r="AB10" s="44">
        <f>'Spinel-- no zeroes'!AI10/('Spinel-- no zeroes'!AI10+'Spinel-- no zeroes'!AJ10+'Spinel-- no zeroes'!AH10)</f>
        <v>0.18036091204097307</v>
      </c>
      <c r="AC10" s="44">
        <f>'Spinel-- no zeroes'!AJ10/('Spinel-- no zeroes'!AJ10+'Spinel-- no zeroes'!AI10+'Spinel-- no zeroes'!AH10)</f>
        <v>1.9992406738298794E-2</v>
      </c>
      <c r="AE10" s="44">
        <f t="shared" si="0"/>
        <v>1.105822623813667</v>
      </c>
      <c r="AG10" s="64">
        <f t="shared" si="1"/>
        <v>914.0710456802318</v>
      </c>
    </row>
    <row r="11" spans="1:33" s="44" customFormat="1">
      <c r="A11" s="45">
        <f>'Spinel-- no zeroes'!C11</f>
        <v>0</v>
      </c>
      <c r="B11" s="44">
        <v>1.5</v>
      </c>
      <c r="C11" s="44" t="s">
        <v>94</v>
      </c>
      <c r="D11" s="62">
        <f>Olivine!E11</f>
        <v>40.382300000000001</v>
      </c>
      <c r="E11" s="62">
        <f>Olivine!F11</f>
        <v>0</v>
      </c>
      <c r="F11" s="62">
        <f>Olivine!G11</f>
        <v>5.8463333333333345E-3</v>
      </c>
      <c r="G11" s="62">
        <f>Olivine!H11</f>
        <v>3.0960000000000002E-3</v>
      </c>
      <c r="H11" s="62">
        <f>Olivine!I11</f>
        <v>9.12866</v>
      </c>
      <c r="I11" s="62">
        <f>Olivine!J11</f>
        <v>0.12850600000000001</v>
      </c>
      <c r="J11" s="62">
        <f>Olivine!K11</f>
        <v>50.097166666666659</v>
      </c>
      <c r="K11" s="62">
        <f>Olivine!L11</f>
        <v>3.9156999999999997E-2</v>
      </c>
      <c r="L11" s="62">
        <f>Olivine!M11</f>
        <v>0</v>
      </c>
      <c r="M11" s="62">
        <f>Olivine!N11</f>
        <v>0.39530833333333332</v>
      </c>
      <c r="N11" s="44" t="s">
        <v>95</v>
      </c>
      <c r="O11" s="62">
        <f>'Spinel-- no zeroes'!E11</f>
        <v>6.6401111111111105E-3</v>
      </c>
      <c r="P11" s="62">
        <f>'Spinel-- no zeroes'!F11</f>
        <v>6.4313333333333333E-2</v>
      </c>
      <c r="Q11" s="62">
        <f>'Spinel-- no zeroes'!G11</f>
        <v>50.603477777777783</v>
      </c>
      <c r="R11" s="62">
        <f>'Spinel-- no zeroes'!H11</f>
        <v>17.013966666666665</v>
      </c>
      <c r="S11" s="62">
        <f>'Spinel-- no zeroes'!I11</f>
        <v>1.9814856865571953</v>
      </c>
      <c r="T11" s="62">
        <f>'Spinel-- no zeroes'!J11</f>
        <v>10.701132081026692</v>
      </c>
      <c r="U11" s="62">
        <f>'Spinel-- no zeroes'!K11</f>
        <v>0.11734222222222221</v>
      </c>
      <c r="V11" s="62">
        <f>'Spinel-- no zeroes'!L11</f>
        <v>18.672133333333331</v>
      </c>
      <c r="W11" s="62">
        <f>'Spinel-- no zeroes'!M11</f>
        <v>3.5715555555555561E-3</v>
      </c>
      <c r="X11" s="62">
        <f>'Spinel-- no zeroes'!N11</f>
        <v>0</v>
      </c>
      <c r="Y11" s="62">
        <f>'Spinel-- no zeroes'!O11</f>
        <v>0.30945600000000001</v>
      </c>
      <c r="AA11" s="61">
        <f>LN(('Spinel-- no zeroes'!AK11*Olivine!W11)/(Olivine!U11*'Spinel-- no zeroes'!AM11))</f>
        <v>1.1458074372902647</v>
      </c>
      <c r="AB11" s="44">
        <f>'Spinel-- no zeroes'!AI11/('Spinel-- no zeroes'!AI11+'Spinel-- no zeroes'!AJ11+'Spinel-- no zeroes'!AH11)</f>
        <v>0.18036091204097307</v>
      </c>
      <c r="AC11" s="44">
        <f>'Spinel-- no zeroes'!AJ11/('Spinel-- no zeroes'!AJ11+'Spinel-- no zeroes'!AI11+'Spinel-- no zeroes'!AH11)</f>
        <v>1.9992406738298794E-2</v>
      </c>
      <c r="AE11" s="44">
        <f t="shared" si="0"/>
        <v>1.105822623813667</v>
      </c>
      <c r="AG11" s="64">
        <f t="shared" si="1"/>
        <v>914.0710456802318</v>
      </c>
    </row>
    <row r="12" spans="1:33" s="44" customFormat="1">
      <c r="A12" s="45">
        <f>'Spinel-- no zeroes'!C12</f>
        <v>0</v>
      </c>
      <c r="B12" s="44">
        <v>1.5</v>
      </c>
      <c r="C12" s="44" t="s">
        <v>94</v>
      </c>
      <c r="D12" s="62">
        <f>Olivine!E12</f>
        <v>40.382300000000001</v>
      </c>
      <c r="E12" s="62">
        <f>Olivine!F12</f>
        <v>0</v>
      </c>
      <c r="F12" s="62">
        <f>Olivine!G12</f>
        <v>5.8463333333333345E-3</v>
      </c>
      <c r="G12" s="62">
        <f>Olivine!H12</f>
        <v>3.0960000000000002E-3</v>
      </c>
      <c r="H12" s="62">
        <f>Olivine!I12</f>
        <v>9.12866</v>
      </c>
      <c r="I12" s="62">
        <f>Olivine!J12</f>
        <v>0.12850600000000001</v>
      </c>
      <c r="J12" s="62">
        <f>Olivine!K12</f>
        <v>50.097166666666659</v>
      </c>
      <c r="K12" s="62">
        <f>Olivine!L12</f>
        <v>3.9156999999999997E-2</v>
      </c>
      <c r="L12" s="62">
        <f>Olivine!M12</f>
        <v>0</v>
      </c>
      <c r="M12" s="62">
        <f>Olivine!N12</f>
        <v>0.39530833333333332</v>
      </c>
      <c r="N12" s="44" t="s">
        <v>95</v>
      </c>
      <c r="O12" s="62">
        <f>'Spinel-- no zeroes'!E12</f>
        <v>6.6401111111111105E-3</v>
      </c>
      <c r="P12" s="62">
        <f>'Spinel-- no zeroes'!F12</f>
        <v>6.4313333333333333E-2</v>
      </c>
      <c r="Q12" s="62">
        <f>'Spinel-- no zeroes'!G12</f>
        <v>50.603477777777783</v>
      </c>
      <c r="R12" s="62">
        <f>'Spinel-- no zeroes'!H12</f>
        <v>17.013966666666665</v>
      </c>
      <c r="S12" s="62">
        <f>'Spinel-- no zeroes'!I12</f>
        <v>1.9814856865571953</v>
      </c>
      <c r="T12" s="62">
        <f>'Spinel-- no zeroes'!J12</f>
        <v>10.701132081026692</v>
      </c>
      <c r="U12" s="62">
        <f>'Spinel-- no zeroes'!K12</f>
        <v>0.11734222222222221</v>
      </c>
      <c r="V12" s="62">
        <f>'Spinel-- no zeroes'!L12</f>
        <v>18.672133333333331</v>
      </c>
      <c r="W12" s="62">
        <f>'Spinel-- no zeroes'!M12</f>
        <v>3.5715555555555561E-3</v>
      </c>
      <c r="X12" s="62">
        <f>'Spinel-- no zeroes'!N12</f>
        <v>0</v>
      </c>
      <c r="Y12" s="62">
        <f>'Spinel-- no zeroes'!O12</f>
        <v>0.30945600000000001</v>
      </c>
      <c r="AA12" s="61">
        <f>LN(('Spinel-- no zeroes'!AK12*Olivine!W12)/(Olivine!U12*'Spinel-- no zeroes'!AM12))</f>
        <v>1.1458074372902647</v>
      </c>
      <c r="AB12" s="44">
        <f>'Spinel-- no zeroes'!AI12/('Spinel-- no zeroes'!AI12+'Spinel-- no zeroes'!AJ12+'Spinel-- no zeroes'!AH12)</f>
        <v>0.18036091204097307</v>
      </c>
      <c r="AC12" s="44">
        <f>'Spinel-- no zeroes'!AJ12/('Spinel-- no zeroes'!AJ12+'Spinel-- no zeroes'!AI12+'Spinel-- no zeroes'!AH12)</f>
        <v>1.9992406738298794E-2</v>
      </c>
      <c r="AE12" s="44">
        <f t="shared" ref="AE12:AE50" si="2">AA12-2*AC12</f>
        <v>1.105822623813667</v>
      </c>
      <c r="AG12" s="64">
        <f t="shared" ref="AG12:AG50" si="3">(4299*AB12+1283)/(AE12+1.469*AB12+0.363)-273.15</f>
        <v>914.0710456802318</v>
      </c>
    </row>
    <row r="13" spans="1:33" s="44" customFormat="1">
      <c r="A13" s="45">
        <f>'Spinel-- no zeroes'!C13</f>
        <v>0</v>
      </c>
      <c r="B13" s="44">
        <v>1.5</v>
      </c>
      <c r="C13" s="44" t="s">
        <v>94</v>
      </c>
      <c r="D13" s="62">
        <f>Olivine!E13</f>
        <v>40.382300000000001</v>
      </c>
      <c r="E13" s="62">
        <f>Olivine!F13</f>
        <v>0</v>
      </c>
      <c r="F13" s="62">
        <f>Olivine!G13</f>
        <v>5.8463333333333345E-3</v>
      </c>
      <c r="G13" s="62">
        <f>Olivine!H13</f>
        <v>3.0960000000000002E-3</v>
      </c>
      <c r="H13" s="62">
        <f>Olivine!I13</f>
        <v>9.12866</v>
      </c>
      <c r="I13" s="62">
        <f>Olivine!J13</f>
        <v>0.12850600000000001</v>
      </c>
      <c r="J13" s="62">
        <f>Olivine!K13</f>
        <v>50.097166666666659</v>
      </c>
      <c r="K13" s="62">
        <f>Olivine!L13</f>
        <v>3.9156999999999997E-2</v>
      </c>
      <c r="L13" s="62">
        <f>Olivine!M13</f>
        <v>0</v>
      </c>
      <c r="M13" s="62">
        <f>Olivine!N13</f>
        <v>0.39530833333333332</v>
      </c>
      <c r="N13" s="44" t="s">
        <v>95</v>
      </c>
      <c r="O13" s="62">
        <f>'Spinel-- no zeroes'!E13</f>
        <v>6.6401111111111105E-3</v>
      </c>
      <c r="P13" s="62">
        <f>'Spinel-- no zeroes'!F13</f>
        <v>6.4313333333333333E-2</v>
      </c>
      <c r="Q13" s="62">
        <f>'Spinel-- no zeroes'!G13</f>
        <v>50.603477777777783</v>
      </c>
      <c r="R13" s="62">
        <f>'Spinel-- no zeroes'!H13</f>
        <v>17.013966666666665</v>
      </c>
      <c r="S13" s="62">
        <f>'Spinel-- no zeroes'!I13</f>
        <v>1.9814856865571953</v>
      </c>
      <c r="T13" s="62">
        <f>'Spinel-- no zeroes'!J13</f>
        <v>10.701132081026692</v>
      </c>
      <c r="U13" s="62">
        <f>'Spinel-- no zeroes'!K13</f>
        <v>0.11734222222222221</v>
      </c>
      <c r="V13" s="62">
        <f>'Spinel-- no zeroes'!L13</f>
        <v>18.672133333333331</v>
      </c>
      <c r="W13" s="62">
        <f>'Spinel-- no zeroes'!M13</f>
        <v>3.5715555555555561E-3</v>
      </c>
      <c r="X13" s="62">
        <f>'Spinel-- no zeroes'!N13</f>
        <v>0</v>
      </c>
      <c r="Y13" s="62">
        <f>'Spinel-- no zeroes'!O13</f>
        <v>0.30945600000000001</v>
      </c>
      <c r="AA13" s="61">
        <f>LN(('Spinel-- no zeroes'!AK13*Olivine!W13)/(Olivine!U13*'Spinel-- no zeroes'!AM13))</f>
        <v>1.1458074372902647</v>
      </c>
      <c r="AB13" s="44">
        <f>'Spinel-- no zeroes'!AI13/('Spinel-- no zeroes'!AI13+'Spinel-- no zeroes'!AJ13+'Spinel-- no zeroes'!AH13)</f>
        <v>0.18036091204097307</v>
      </c>
      <c r="AC13" s="44">
        <f>'Spinel-- no zeroes'!AJ13/('Spinel-- no zeroes'!AJ13+'Spinel-- no zeroes'!AI13+'Spinel-- no zeroes'!AH13)</f>
        <v>1.9992406738298794E-2</v>
      </c>
      <c r="AE13" s="44">
        <f t="shared" si="2"/>
        <v>1.105822623813667</v>
      </c>
      <c r="AG13" s="64">
        <f t="shared" si="3"/>
        <v>914.0710456802318</v>
      </c>
    </row>
    <row r="14" spans="1:33" s="44" customFormat="1">
      <c r="A14" s="45">
        <f>'Spinel-- no zeroes'!C14</f>
        <v>0</v>
      </c>
      <c r="B14" s="44">
        <v>1.5</v>
      </c>
      <c r="C14" s="44" t="s">
        <v>94</v>
      </c>
      <c r="D14" s="62">
        <f>Olivine!E14</f>
        <v>40.382300000000001</v>
      </c>
      <c r="E14" s="62">
        <f>Olivine!F14</f>
        <v>0</v>
      </c>
      <c r="F14" s="62">
        <f>Olivine!G14</f>
        <v>5.8463333333333345E-3</v>
      </c>
      <c r="G14" s="62">
        <f>Olivine!H14</f>
        <v>3.0960000000000002E-3</v>
      </c>
      <c r="H14" s="62">
        <f>Olivine!I14</f>
        <v>9.12866</v>
      </c>
      <c r="I14" s="62">
        <f>Olivine!J14</f>
        <v>0.12850600000000001</v>
      </c>
      <c r="J14" s="62">
        <f>Olivine!K14</f>
        <v>50.097166666666659</v>
      </c>
      <c r="K14" s="62">
        <f>Olivine!L14</f>
        <v>3.9156999999999997E-2</v>
      </c>
      <c r="L14" s="62">
        <f>Olivine!M14</f>
        <v>0</v>
      </c>
      <c r="M14" s="62">
        <f>Olivine!N14</f>
        <v>0.39530833333333332</v>
      </c>
      <c r="N14" s="44" t="s">
        <v>95</v>
      </c>
      <c r="O14" s="62">
        <f>'Spinel-- no zeroes'!E14</f>
        <v>6.6401111111111105E-3</v>
      </c>
      <c r="P14" s="62">
        <f>'Spinel-- no zeroes'!F14</f>
        <v>6.4313333333333333E-2</v>
      </c>
      <c r="Q14" s="62">
        <f>'Spinel-- no zeroes'!G14</f>
        <v>50.603477777777783</v>
      </c>
      <c r="R14" s="62">
        <f>'Spinel-- no zeroes'!H14</f>
        <v>17.013966666666665</v>
      </c>
      <c r="S14" s="62">
        <f>'Spinel-- no zeroes'!I14</f>
        <v>1.9814856865571953</v>
      </c>
      <c r="T14" s="62">
        <f>'Spinel-- no zeroes'!J14</f>
        <v>10.701132081026692</v>
      </c>
      <c r="U14" s="62">
        <f>'Spinel-- no zeroes'!K14</f>
        <v>0.11734222222222221</v>
      </c>
      <c r="V14" s="62">
        <f>'Spinel-- no zeroes'!L14</f>
        <v>18.672133333333331</v>
      </c>
      <c r="W14" s="62">
        <f>'Spinel-- no zeroes'!M14</f>
        <v>3.5715555555555561E-3</v>
      </c>
      <c r="X14" s="62">
        <f>'Spinel-- no zeroes'!N14</f>
        <v>0</v>
      </c>
      <c r="Y14" s="62">
        <f>'Spinel-- no zeroes'!O14</f>
        <v>0.30945600000000001</v>
      </c>
      <c r="AA14" s="61">
        <f>LN(('Spinel-- no zeroes'!AK14*Olivine!W14)/(Olivine!U14*'Spinel-- no zeroes'!AM14))</f>
        <v>1.1458074372902647</v>
      </c>
      <c r="AB14" s="44">
        <f>'Spinel-- no zeroes'!AI14/('Spinel-- no zeroes'!AI14+'Spinel-- no zeroes'!AJ14+'Spinel-- no zeroes'!AH14)</f>
        <v>0.18036091204097307</v>
      </c>
      <c r="AC14" s="44">
        <f>'Spinel-- no zeroes'!AJ14/('Spinel-- no zeroes'!AJ14+'Spinel-- no zeroes'!AI14+'Spinel-- no zeroes'!AH14)</f>
        <v>1.9992406738298794E-2</v>
      </c>
      <c r="AE14" s="44">
        <f t="shared" si="2"/>
        <v>1.105822623813667</v>
      </c>
      <c r="AG14" s="64">
        <f t="shared" si="3"/>
        <v>914.0710456802318</v>
      </c>
    </row>
    <row r="15" spans="1:33" s="44" customFormat="1">
      <c r="A15" s="45">
        <f>'Spinel-- no zeroes'!C15</f>
        <v>0</v>
      </c>
      <c r="B15" s="44">
        <v>1.5</v>
      </c>
      <c r="C15" s="44" t="s">
        <v>94</v>
      </c>
      <c r="D15" s="62">
        <f>Olivine!E15</f>
        <v>40.382300000000001</v>
      </c>
      <c r="E15" s="62">
        <f>Olivine!F15</f>
        <v>0</v>
      </c>
      <c r="F15" s="62">
        <f>Olivine!G15</f>
        <v>5.8463333333333345E-3</v>
      </c>
      <c r="G15" s="62">
        <f>Olivine!H15</f>
        <v>3.0960000000000002E-3</v>
      </c>
      <c r="H15" s="62">
        <f>Olivine!I15</f>
        <v>9.12866</v>
      </c>
      <c r="I15" s="62">
        <f>Olivine!J15</f>
        <v>0.12850600000000001</v>
      </c>
      <c r="J15" s="62">
        <f>Olivine!K15</f>
        <v>50.097166666666659</v>
      </c>
      <c r="K15" s="62">
        <f>Olivine!L15</f>
        <v>3.9156999999999997E-2</v>
      </c>
      <c r="L15" s="62">
        <f>Olivine!M15</f>
        <v>0</v>
      </c>
      <c r="M15" s="62">
        <f>Olivine!N15</f>
        <v>0.39530833333333332</v>
      </c>
      <c r="N15" s="44" t="s">
        <v>95</v>
      </c>
      <c r="O15" s="62">
        <f>'Spinel-- no zeroes'!E15</f>
        <v>6.6401111111111105E-3</v>
      </c>
      <c r="P15" s="62">
        <f>'Spinel-- no zeroes'!F15</f>
        <v>6.4313333333333333E-2</v>
      </c>
      <c r="Q15" s="62">
        <f>'Spinel-- no zeroes'!G15</f>
        <v>50.603477777777783</v>
      </c>
      <c r="R15" s="62">
        <f>'Spinel-- no zeroes'!H15</f>
        <v>17.013966666666665</v>
      </c>
      <c r="S15" s="62">
        <f>'Spinel-- no zeroes'!I15</f>
        <v>1.9814856865571953</v>
      </c>
      <c r="T15" s="62">
        <f>'Spinel-- no zeroes'!J15</f>
        <v>10.701132081026692</v>
      </c>
      <c r="U15" s="62">
        <f>'Spinel-- no zeroes'!K15</f>
        <v>0.11734222222222221</v>
      </c>
      <c r="V15" s="62">
        <f>'Spinel-- no zeroes'!L15</f>
        <v>18.672133333333331</v>
      </c>
      <c r="W15" s="62">
        <f>'Spinel-- no zeroes'!M15</f>
        <v>3.5715555555555561E-3</v>
      </c>
      <c r="X15" s="62">
        <f>'Spinel-- no zeroes'!N15</f>
        <v>0</v>
      </c>
      <c r="Y15" s="62">
        <f>'Spinel-- no zeroes'!O15</f>
        <v>0.30945600000000001</v>
      </c>
      <c r="AA15" s="61">
        <f>LN(('Spinel-- no zeroes'!AK15*Olivine!W15)/(Olivine!U15*'Spinel-- no zeroes'!AM15))</f>
        <v>1.1458074372902647</v>
      </c>
      <c r="AB15" s="44">
        <f>'Spinel-- no zeroes'!AI15/('Spinel-- no zeroes'!AI15+'Spinel-- no zeroes'!AJ15+'Spinel-- no zeroes'!AH15)</f>
        <v>0.18036091204097307</v>
      </c>
      <c r="AC15" s="44">
        <f>'Spinel-- no zeroes'!AJ15/('Spinel-- no zeroes'!AJ15+'Spinel-- no zeroes'!AI15+'Spinel-- no zeroes'!AH15)</f>
        <v>1.9992406738298794E-2</v>
      </c>
      <c r="AE15" s="44">
        <f t="shared" si="2"/>
        <v>1.105822623813667</v>
      </c>
      <c r="AG15" s="64">
        <f t="shared" si="3"/>
        <v>914.0710456802318</v>
      </c>
    </row>
    <row r="16" spans="1:33" s="44" customFormat="1">
      <c r="A16" s="45">
        <f>'Spinel-- no zeroes'!C16</f>
        <v>0</v>
      </c>
      <c r="B16" s="44">
        <v>1.5</v>
      </c>
      <c r="C16" s="44" t="s">
        <v>94</v>
      </c>
      <c r="D16" s="62">
        <f>Olivine!E16</f>
        <v>40.382300000000001</v>
      </c>
      <c r="E16" s="62">
        <f>Olivine!F16</f>
        <v>0</v>
      </c>
      <c r="F16" s="62">
        <f>Olivine!G16</f>
        <v>5.8463333333333345E-3</v>
      </c>
      <c r="G16" s="62">
        <f>Olivine!H16</f>
        <v>3.0960000000000002E-3</v>
      </c>
      <c r="H16" s="62">
        <f>Olivine!I16</f>
        <v>9.12866</v>
      </c>
      <c r="I16" s="62">
        <f>Olivine!J16</f>
        <v>0.12850600000000001</v>
      </c>
      <c r="J16" s="62">
        <f>Olivine!K16</f>
        <v>50.097166666666659</v>
      </c>
      <c r="K16" s="62">
        <f>Olivine!L16</f>
        <v>3.9156999999999997E-2</v>
      </c>
      <c r="L16" s="62">
        <f>Olivine!M16</f>
        <v>0</v>
      </c>
      <c r="M16" s="62">
        <f>Olivine!N16</f>
        <v>0.39530833333333332</v>
      </c>
      <c r="N16" s="44" t="s">
        <v>95</v>
      </c>
      <c r="O16" s="62">
        <f>'Spinel-- no zeroes'!E16</f>
        <v>6.6401111111111105E-3</v>
      </c>
      <c r="P16" s="62">
        <f>'Spinel-- no zeroes'!F16</f>
        <v>6.4313333333333333E-2</v>
      </c>
      <c r="Q16" s="62">
        <f>'Spinel-- no zeroes'!G16</f>
        <v>50.603477777777783</v>
      </c>
      <c r="R16" s="62">
        <f>'Spinel-- no zeroes'!H16</f>
        <v>17.013966666666665</v>
      </c>
      <c r="S16" s="62">
        <f>'Spinel-- no zeroes'!I16</f>
        <v>1.9814856865571953</v>
      </c>
      <c r="T16" s="62">
        <f>'Spinel-- no zeroes'!J16</f>
        <v>10.701132081026692</v>
      </c>
      <c r="U16" s="62">
        <f>'Spinel-- no zeroes'!K16</f>
        <v>0.11734222222222221</v>
      </c>
      <c r="V16" s="62">
        <f>'Spinel-- no zeroes'!L16</f>
        <v>18.672133333333331</v>
      </c>
      <c r="W16" s="62">
        <f>'Spinel-- no zeroes'!M16</f>
        <v>3.5715555555555561E-3</v>
      </c>
      <c r="X16" s="62">
        <f>'Spinel-- no zeroes'!N16</f>
        <v>0</v>
      </c>
      <c r="Y16" s="62">
        <f>'Spinel-- no zeroes'!O16</f>
        <v>0.30945600000000001</v>
      </c>
      <c r="AA16" s="61">
        <f>LN(('Spinel-- no zeroes'!AK16*Olivine!W16)/(Olivine!U16*'Spinel-- no zeroes'!AM16))</f>
        <v>1.1458074372902647</v>
      </c>
      <c r="AB16" s="44">
        <f>'Spinel-- no zeroes'!AI16/('Spinel-- no zeroes'!AI16+'Spinel-- no zeroes'!AJ16+'Spinel-- no zeroes'!AH16)</f>
        <v>0.18036091204097307</v>
      </c>
      <c r="AC16" s="44">
        <f>'Spinel-- no zeroes'!AJ16/('Spinel-- no zeroes'!AJ16+'Spinel-- no zeroes'!AI16+'Spinel-- no zeroes'!AH16)</f>
        <v>1.9992406738298794E-2</v>
      </c>
      <c r="AE16" s="44">
        <f t="shared" si="2"/>
        <v>1.105822623813667</v>
      </c>
      <c r="AG16" s="64">
        <f t="shared" si="3"/>
        <v>914.0710456802318</v>
      </c>
    </row>
    <row r="17" spans="1:33" s="44" customFormat="1">
      <c r="A17" s="45"/>
      <c r="D17" s="62"/>
      <c r="E17" s="62"/>
      <c r="F17" s="62"/>
      <c r="G17" s="62"/>
      <c r="H17" s="62"/>
      <c r="I17" s="62"/>
      <c r="J17" s="62"/>
      <c r="K17" s="62"/>
      <c r="L17" s="62"/>
      <c r="M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AA17" s="61"/>
      <c r="AG17" s="64"/>
    </row>
    <row r="18" spans="1:33" s="44" customFormat="1">
      <c r="A18" s="45">
        <f>'Spinel-- no zeroes'!C18</f>
        <v>0</v>
      </c>
      <c r="B18" s="44">
        <v>1.5</v>
      </c>
      <c r="C18" s="44" t="s">
        <v>94</v>
      </c>
      <c r="D18" s="62">
        <f>Olivine!E18</f>
        <v>40.382300000000001</v>
      </c>
      <c r="E18" s="62">
        <f>Olivine!F18</f>
        <v>0</v>
      </c>
      <c r="F18" s="62">
        <f>Olivine!G18</f>
        <v>5.8463333333333345E-3</v>
      </c>
      <c r="G18" s="62">
        <f>Olivine!H18</f>
        <v>3.0960000000000002E-3</v>
      </c>
      <c r="H18" s="62">
        <f>Olivine!I18</f>
        <v>9.12866</v>
      </c>
      <c r="I18" s="62">
        <f>Olivine!J18</f>
        <v>0.12850600000000001</v>
      </c>
      <c r="J18" s="62">
        <f>Olivine!K18</f>
        <v>50.097166666666659</v>
      </c>
      <c r="K18" s="62">
        <f>Olivine!L18</f>
        <v>3.9156999999999997E-2</v>
      </c>
      <c r="L18" s="62">
        <f>Olivine!M18</f>
        <v>0</v>
      </c>
      <c r="M18" s="62">
        <f>Olivine!N18</f>
        <v>0.39530833333333332</v>
      </c>
      <c r="N18" s="44" t="s">
        <v>95</v>
      </c>
      <c r="O18" s="62">
        <f>'Spinel-- no zeroes'!E18</f>
        <v>6.6401111111111105E-3</v>
      </c>
      <c r="P18" s="62">
        <f>'Spinel-- no zeroes'!F18</f>
        <v>6.4313333333333333E-2</v>
      </c>
      <c r="Q18" s="62">
        <f>'Spinel-- no zeroes'!G18</f>
        <v>50.603477777777783</v>
      </c>
      <c r="R18" s="62">
        <f>'Spinel-- no zeroes'!H18</f>
        <v>17.013966666666665</v>
      </c>
      <c r="S18" s="62">
        <f>'Spinel-- no zeroes'!I18</f>
        <v>1.9814856865571953</v>
      </c>
      <c r="T18" s="62">
        <f>'Spinel-- no zeroes'!J18</f>
        <v>10.701132081026692</v>
      </c>
      <c r="U18" s="62">
        <f>'Spinel-- no zeroes'!K18</f>
        <v>0.11734222222222221</v>
      </c>
      <c r="V18" s="62">
        <f>'Spinel-- no zeroes'!L18</f>
        <v>18.672133333333331</v>
      </c>
      <c r="W18" s="62">
        <f>'Spinel-- no zeroes'!M18</f>
        <v>3.5715555555555561E-3</v>
      </c>
      <c r="X18" s="62">
        <f>'Spinel-- no zeroes'!N18</f>
        <v>0</v>
      </c>
      <c r="Y18" s="62">
        <f>'Spinel-- no zeroes'!O18</f>
        <v>0.30945600000000001</v>
      </c>
      <c r="AA18" s="61">
        <f>LN(('Spinel-- no zeroes'!AK18*Olivine!W18)/(Olivine!U18*'Spinel-- no zeroes'!AM18))</f>
        <v>1.3549830848865425</v>
      </c>
      <c r="AB18" s="44">
        <f>'Spinel-- no zeroes'!AI18/('Spinel-- no zeroes'!AI18+'Spinel-- no zeroes'!AJ18+'Spinel-- no zeroes'!AH18)</f>
        <v>0.18036091204097307</v>
      </c>
      <c r="AC18" s="44">
        <f>'Spinel-- no zeroes'!AJ18/('Spinel-- no zeroes'!AJ18+'Spinel-- no zeroes'!AI18+'Spinel-- no zeroes'!AH18)</f>
        <v>1.9992406738298794E-2</v>
      </c>
      <c r="AE18" s="44">
        <f t="shared" si="2"/>
        <v>1.3149982714099449</v>
      </c>
      <c r="AG18" s="64">
        <f t="shared" si="3"/>
        <v>786.25616159673848</v>
      </c>
    </row>
    <row r="19" spans="1:33" s="44" customFormat="1">
      <c r="A19" s="45">
        <f>'Spinel-- no zeroes'!C19</f>
        <v>0</v>
      </c>
      <c r="B19" s="44">
        <v>1.5</v>
      </c>
      <c r="C19" s="44" t="s">
        <v>94</v>
      </c>
      <c r="D19" s="62">
        <f>Olivine!E19</f>
        <v>40.382300000000001</v>
      </c>
      <c r="E19" s="62">
        <f>Olivine!F19</f>
        <v>0</v>
      </c>
      <c r="F19" s="62">
        <f>Olivine!G19</f>
        <v>5.8463333333333345E-3</v>
      </c>
      <c r="G19" s="62">
        <f>Olivine!H19</f>
        <v>3.0960000000000002E-3</v>
      </c>
      <c r="H19" s="62">
        <f>Olivine!I19</f>
        <v>9.12866</v>
      </c>
      <c r="I19" s="62">
        <f>Olivine!J19</f>
        <v>0.12850600000000001</v>
      </c>
      <c r="J19" s="62">
        <f>Olivine!K19</f>
        <v>50.097166666666659</v>
      </c>
      <c r="K19" s="62">
        <f>Olivine!L19</f>
        <v>3.9156999999999997E-2</v>
      </c>
      <c r="L19" s="62">
        <f>Olivine!M19</f>
        <v>0</v>
      </c>
      <c r="M19" s="62">
        <f>Olivine!N19</f>
        <v>0.39530833333333332</v>
      </c>
      <c r="N19" s="44" t="s">
        <v>95</v>
      </c>
      <c r="O19" s="62">
        <f>'Spinel-- no zeroes'!E19</f>
        <v>6.6401111111111105E-3</v>
      </c>
      <c r="P19" s="62">
        <f>'Spinel-- no zeroes'!F19</f>
        <v>6.4313333333333333E-2</v>
      </c>
      <c r="Q19" s="62">
        <f>'Spinel-- no zeroes'!G19</f>
        <v>50.603477777777783</v>
      </c>
      <c r="R19" s="62">
        <f>'Spinel-- no zeroes'!H19</f>
        <v>17.013966666666665</v>
      </c>
      <c r="S19" s="62">
        <f>'Spinel-- no zeroes'!I19</f>
        <v>1.9814856865571953</v>
      </c>
      <c r="T19" s="62">
        <f>'Spinel-- no zeroes'!J19</f>
        <v>10.701132081026692</v>
      </c>
      <c r="U19" s="62">
        <f>'Spinel-- no zeroes'!K19</f>
        <v>0.11734222222222221</v>
      </c>
      <c r="V19" s="62">
        <f>'Spinel-- no zeroes'!L19</f>
        <v>18.672133333333331</v>
      </c>
      <c r="W19" s="62">
        <f>'Spinel-- no zeroes'!M19</f>
        <v>3.5715555555555561E-3</v>
      </c>
      <c r="X19" s="62">
        <f>'Spinel-- no zeroes'!N19</f>
        <v>0</v>
      </c>
      <c r="Y19" s="62">
        <f>'Spinel-- no zeroes'!O19</f>
        <v>0.30945600000000001</v>
      </c>
      <c r="AA19" s="61">
        <f>LN(('Spinel-- no zeroes'!AK19*Olivine!W19)/(Olivine!U19*'Spinel-- no zeroes'!AM19))</f>
        <v>1.3045713962757071</v>
      </c>
      <c r="AB19" s="44">
        <f>'Spinel-- no zeroes'!AI19/('Spinel-- no zeroes'!AI19+'Spinel-- no zeroes'!AJ19+'Spinel-- no zeroes'!AH19)</f>
        <v>0.18036091204097307</v>
      </c>
      <c r="AC19" s="44">
        <f>'Spinel-- no zeroes'!AJ19/('Spinel-- no zeroes'!AJ19+'Spinel-- no zeroes'!AI19+'Spinel-- no zeroes'!AH19)</f>
        <v>1.9992406738298794E-2</v>
      </c>
      <c r="AE19" s="44">
        <f t="shared" si="2"/>
        <v>1.2645865827991094</v>
      </c>
      <c r="AG19" s="64">
        <f t="shared" si="3"/>
        <v>814.47566812711773</v>
      </c>
    </row>
    <row r="20" spans="1:33" s="44" customFormat="1">
      <c r="A20" s="45">
        <f>'Spinel-- no zeroes'!C20</f>
        <v>0</v>
      </c>
      <c r="B20" s="44">
        <v>1.5</v>
      </c>
      <c r="C20" s="44" t="s">
        <v>94</v>
      </c>
      <c r="D20" s="62">
        <f>Olivine!E20</f>
        <v>40.382300000000001</v>
      </c>
      <c r="E20" s="62">
        <f>Olivine!F20</f>
        <v>0</v>
      </c>
      <c r="F20" s="62">
        <f>Olivine!G20</f>
        <v>5.8463333333333345E-3</v>
      </c>
      <c r="G20" s="62">
        <f>Olivine!H20</f>
        <v>3.0960000000000002E-3</v>
      </c>
      <c r="H20" s="62">
        <f>Olivine!I20</f>
        <v>9.12866</v>
      </c>
      <c r="I20" s="62">
        <f>Olivine!J20</f>
        <v>0.12850600000000001</v>
      </c>
      <c r="J20" s="62">
        <f>Olivine!K20</f>
        <v>50.097166666666659</v>
      </c>
      <c r="K20" s="62">
        <f>Olivine!L20</f>
        <v>3.9156999999999997E-2</v>
      </c>
      <c r="L20" s="62">
        <f>Olivine!M20</f>
        <v>0</v>
      </c>
      <c r="M20" s="62">
        <f>Olivine!N20</f>
        <v>0.39530833333333332</v>
      </c>
      <c r="N20" s="44" t="s">
        <v>95</v>
      </c>
      <c r="O20" s="62">
        <f>'Spinel-- no zeroes'!E20</f>
        <v>6.6401111111111105E-3</v>
      </c>
      <c r="P20" s="62">
        <f>'Spinel-- no zeroes'!F20</f>
        <v>6.4313333333333333E-2</v>
      </c>
      <c r="Q20" s="62">
        <f>'Spinel-- no zeroes'!G20</f>
        <v>50.603477777777783</v>
      </c>
      <c r="R20" s="62">
        <f>'Spinel-- no zeroes'!H20</f>
        <v>17.013966666666665</v>
      </c>
      <c r="S20" s="62">
        <f>'Spinel-- no zeroes'!I20</f>
        <v>1.9814856865571953</v>
      </c>
      <c r="T20" s="62">
        <f>'Spinel-- no zeroes'!J20</f>
        <v>10.701132081026692</v>
      </c>
      <c r="U20" s="62">
        <f>'Spinel-- no zeroes'!K20</f>
        <v>0.11734222222222221</v>
      </c>
      <c r="V20" s="62">
        <f>'Spinel-- no zeroes'!L20</f>
        <v>18.672133333333331</v>
      </c>
      <c r="W20" s="62">
        <f>'Spinel-- no zeroes'!M20</f>
        <v>3.5715555555555561E-3</v>
      </c>
      <c r="X20" s="62">
        <f>'Spinel-- no zeroes'!N20</f>
        <v>0</v>
      </c>
      <c r="Y20" s="62">
        <f>'Spinel-- no zeroes'!O20</f>
        <v>0.30945600000000001</v>
      </c>
      <c r="AA20" s="61">
        <f>LN(('Spinel-- no zeroes'!AK20*Olivine!W20)/(Olivine!U20*'Spinel-- no zeroes'!AM20))</f>
        <v>1.2529823544430281</v>
      </c>
      <c r="AB20" s="44">
        <f>'Spinel-- no zeroes'!AI20/('Spinel-- no zeroes'!AI20+'Spinel-- no zeroes'!AJ20+'Spinel-- no zeroes'!AH20)</f>
        <v>0.18036091204097307</v>
      </c>
      <c r="AC20" s="44">
        <f>'Spinel-- no zeroes'!AJ20/('Spinel-- no zeroes'!AJ20+'Spinel-- no zeroes'!AI20+'Spinel-- no zeroes'!AH20)</f>
        <v>1.9992406738298794E-2</v>
      </c>
      <c r="AE20" s="44">
        <f t="shared" si="2"/>
        <v>1.2129975409664304</v>
      </c>
      <c r="AG20" s="64">
        <f t="shared" si="3"/>
        <v>844.95429902941498</v>
      </c>
    </row>
    <row r="21" spans="1:33" s="44" customFormat="1">
      <c r="A21" s="45">
        <f>'Spinel-- no zeroes'!C21</f>
        <v>0</v>
      </c>
      <c r="B21" s="44">
        <v>1.5</v>
      </c>
      <c r="C21" s="44" t="s">
        <v>94</v>
      </c>
      <c r="D21" s="62">
        <f>Olivine!E21</f>
        <v>40.382300000000001</v>
      </c>
      <c r="E21" s="62">
        <f>Olivine!F21</f>
        <v>0</v>
      </c>
      <c r="F21" s="62">
        <f>Olivine!G21</f>
        <v>5.8463333333333345E-3</v>
      </c>
      <c r="G21" s="62">
        <f>Olivine!H21</f>
        <v>3.0960000000000002E-3</v>
      </c>
      <c r="H21" s="62">
        <f>Olivine!I21</f>
        <v>9.12866</v>
      </c>
      <c r="I21" s="62">
        <f>Olivine!J21</f>
        <v>0.12850600000000001</v>
      </c>
      <c r="J21" s="62">
        <f>Olivine!K21</f>
        <v>50.097166666666659</v>
      </c>
      <c r="K21" s="62">
        <f>Olivine!L21</f>
        <v>3.9156999999999997E-2</v>
      </c>
      <c r="L21" s="62">
        <f>Olivine!M21</f>
        <v>0</v>
      </c>
      <c r="M21" s="62">
        <f>Olivine!N21</f>
        <v>0.39530833333333332</v>
      </c>
      <c r="N21" s="44" t="s">
        <v>95</v>
      </c>
      <c r="O21" s="62">
        <f>'Spinel-- no zeroes'!E21</f>
        <v>6.6401111111111105E-3</v>
      </c>
      <c r="P21" s="62">
        <f>'Spinel-- no zeroes'!F21</f>
        <v>6.4313333333333333E-2</v>
      </c>
      <c r="Q21" s="62">
        <f>'Spinel-- no zeroes'!G21</f>
        <v>50.603477777777783</v>
      </c>
      <c r="R21" s="62">
        <f>'Spinel-- no zeroes'!H21</f>
        <v>17.013966666666665</v>
      </c>
      <c r="S21" s="62">
        <f>'Spinel-- no zeroes'!I21</f>
        <v>1.9814856865571953</v>
      </c>
      <c r="T21" s="62">
        <f>'Spinel-- no zeroes'!J21</f>
        <v>10.701132081026692</v>
      </c>
      <c r="U21" s="62">
        <f>'Spinel-- no zeroes'!K21</f>
        <v>0.11734222222222221</v>
      </c>
      <c r="V21" s="62">
        <f>'Spinel-- no zeroes'!L21</f>
        <v>18.672133333333331</v>
      </c>
      <c r="W21" s="62">
        <f>'Spinel-- no zeroes'!M21</f>
        <v>3.5715555555555561E-3</v>
      </c>
      <c r="X21" s="62">
        <f>'Spinel-- no zeroes'!N21</f>
        <v>0</v>
      </c>
      <c r="Y21" s="62">
        <f>'Spinel-- no zeroes'!O21</f>
        <v>0.30945600000000001</v>
      </c>
      <c r="AA21" s="61">
        <f>LN(('Spinel-- no zeroes'!AK21*Olivine!W21)/(Olivine!U21*'Spinel-- no zeroes'!AM21))</f>
        <v>1.2001030077764405</v>
      </c>
      <c r="AB21" s="44">
        <f>'Spinel-- no zeroes'!AI21/('Spinel-- no zeroes'!AI21+'Spinel-- no zeroes'!AJ21+'Spinel-- no zeroes'!AH21)</f>
        <v>0.18036091204097307</v>
      </c>
      <c r="AC21" s="44">
        <f>'Spinel-- no zeroes'!AJ21/('Spinel-- no zeroes'!AJ21+'Spinel-- no zeroes'!AI21+'Spinel-- no zeroes'!AH21)</f>
        <v>1.9992406738298794E-2</v>
      </c>
      <c r="AE21" s="44">
        <f t="shared" si="2"/>
        <v>1.1601181942998429</v>
      </c>
      <c r="AG21" s="64">
        <f t="shared" si="3"/>
        <v>878.02049811586414</v>
      </c>
    </row>
    <row r="22" spans="1:33" s="44" customFormat="1">
      <c r="A22" s="45">
        <f>'Spinel-- no zeroes'!C22</f>
        <v>0</v>
      </c>
      <c r="B22" s="44">
        <v>1.5</v>
      </c>
      <c r="C22" s="44" t="s">
        <v>94</v>
      </c>
      <c r="D22" s="62">
        <f>Olivine!E22</f>
        <v>40.382300000000001</v>
      </c>
      <c r="E22" s="62">
        <f>Olivine!F22</f>
        <v>0</v>
      </c>
      <c r="F22" s="62">
        <f>Olivine!G22</f>
        <v>5.8463333333333345E-3</v>
      </c>
      <c r="G22" s="62">
        <f>Olivine!H22</f>
        <v>3.0960000000000002E-3</v>
      </c>
      <c r="H22" s="62">
        <f>Olivine!I22</f>
        <v>9.12866</v>
      </c>
      <c r="I22" s="62">
        <f>Olivine!J22</f>
        <v>0.12850600000000001</v>
      </c>
      <c r="J22" s="62">
        <f>Olivine!K22</f>
        <v>50.097166666666659</v>
      </c>
      <c r="K22" s="62">
        <f>Olivine!L22</f>
        <v>3.9156999999999997E-2</v>
      </c>
      <c r="L22" s="62">
        <f>Olivine!M22</f>
        <v>0</v>
      </c>
      <c r="M22" s="62">
        <f>Olivine!N22</f>
        <v>0.39530833333333332</v>
      </c>
      <c r="N22" s="44" t="s">
        <v>95</v>
      </c>
      <c r="O22" s="62">
        <f>'Spinel-- no zeroes'!E22</f>
        <v>6.6401111111111105E-3</v>
      </c>
      <c r="P22" s="62">
        <f>'Spinel-- no zeroes'!F22</f>
        <v>6.4313333333333333E-2</v>
      </c>
      <c r="Q22" s="62">
        <f>'Spinel-- no zeroes'!G22</f>
        <v>50.603477777777783</v>
      </c>
      <c r="R22" s="62">
        <f>'Spinel-- no zeroes'!H22</f>
        <v>17.013966666666665</v>
      </c>
      <c r="S22" s="62">
        <f>'Spinel-- no zeroes'!I22</f>
        <v>1.9814856865571953</v>
      </c>
      <c r="T22" s="62">
        <f>'Spinel-- no zeroes'!J22</f>
        <v>10.701132081026692</v>
      </c>
      <c r="U22" s="62">
        <f>'Spinel-- no zeroes'!K22</f>
        <v>0.11734222222222221</v>
      </c>
      <c r="V22" s="62">
        <f>'Spinel-- no zeroes'!L22</f>
        <v>18.672133333333331</v>
      </c>
      <c r="W22" s="62">
        <f>'Spinel-- no zeroes'!M22</f>
        <v>3.5715555555555561E-3</v>
      </c>
      <c r="X22" s="62">
        <f>'Spinel-- no zeroes'!N22</f>
        <v>0</v>
      </c>
      <c r="Y22" s="62">
        <f>'Spinel-- no zeroes'!O22</f>
        <v>0.30945600000000001</v>
      </c>
      <c r="AA22" s="61">
        <f>LN(('Spinel-- no zeroes'!AK22*Olivine!W22)/(Olivine!U22*'Spinel-- no zeroes'!AM22))</f>
        <v>1.1458074372902647</v>
      </c>
      <c r="AB22" s="44">
        <f>'Spinel-- no zeroes'!AI22/('Spinel-- no zeroes'!AI22+'Spinel-- no zeroes'!AJ22+'Spinel-- no zeroes'!AH22)</f>
        <v>0.18036091204097307</v>
      </c>
      <c r="AC22" s="44">
        <f>'Spinel-- no zeroes'!AJ22/('Spinel-- no zeroes'!AJ22+'Spinel-- no zeroes'!AI22+'Spinel-- no zeroes'!AH22)</f>
        <v>1.9992406738298794E-2</v>
      </c>
      <c r="AE22" s="44">
        <f t="shared" si="2"/>
        <v>1.105822623813667</v>
      </c>
      <c r="AG22" s="64">
        <f t="shared" si="3"/>
        <v>914.0710456802318</v>
      </c>
    </row>
    <row r="23" spans="1:33" s="44" customFormat="1">
      <c r="A23" s="45">
        <f>'Spinel-- no zeroes'!C23</f>
        <v>0</v>
      </c>
      <c r="B23" s="44">
        <v>1.5</v>
      </c>
      <c r="C23" s="44" t="s">
        <v>94</v>
      </c>
      <c r="D23" s="62">
        <f>Olivine!E23</f>
        <v>40.382300000000001</v>
      </c>
      <c r="E23" s="62">
        <f>Olivine!F23</f>
        <v>0</v>
      </c>
      <c r="F23" s="62">
        <f>Olivine!G23</f>
        <v>5.8463333333333345E-3</v>
      </c>
      <c r="G23" s="62">
        <f>Olivine!H23</f>
        <v>3.0960000000000002E-3</v>
      </c>
      <c r="H23" s="62">
        <f>Olivine!I23</f>
        <v>9.12866</v>
      </c>
      <c r="I23" s="62">
        <f>Olivine!J23</f>
        <v>0.12850600000000001</v>
      </c>
      <c r="J23" s="62">
        <f>Olivine!K23</f>
        <v>50.097166666666659</v>
      </c>
      <c r="K23" s="62">
        <f>Olivine!L23</f>
        <v>3.9156999999999997E-2</v>
      </c>
      <c r="L23" s="62">
        <f>Olivine!M23</f>
        <v>0</v>
      </c>
      <c r="M23" s="62">
        <f>Olivine!N23</f>
        <v>0.39530833333333332</v>
      </c>
      <c r="N23" s="44" t="s">
        <v>95</v>
      </c>
      <c r="O23" s="62">
        <f>'Spinel-- no zeroes'!E23</f>
        <v>6.6401111111111105E-3</v>
      </c>
      <c r="P23" s="62">
        <f>'Spinel-- no zeroes'!F23</f>
        <v>6.4313333333333333E-2</v>
      </c>
      <c r="Q23" s="62">
        <f>'Spinel-- no zeroes'!G23</f>
        <v>50.603477777777783</v>
      </c>
      <c r="R23" s="62">
        <f>'Spinel-- no zeroes'!H23</f>
        <v>17.013966666666665</v>
      </c>
      <c r="S23" s="62">
        <f>'Spinel-- no zeroes'!I23</f>
        <v>1.9814856865571953</v>
      </c>
      <c r="T23" s="62">
        <f>'Spinel-- no zeroes'!J23</f>
        <v>10.701132081026692</v>
      </c>
      <c r="U23" s="62">
        <f>'Spinel-- no zeroes'!K23</f>
        <v>0.11734222222222221</v>
      </c>
      <c r="V23" s="62">
        <f>'Spinel-- no zeroes'!L23</f>
        <v>18.672133333333331</v>
      </c>
      <c r="W23" s="62">
        <f>'Spinel-- no zeroes'!M23</f>
        <v>3.5715555555555561E-3</v>
      </c>
      <c r="X23" s="62">
        <f>'Spinel-- no zeroes'!N23</f>
        <v>0</v>
      </c>
      <c r="Y23" s="62">
        <f>'Spinel-- no zeroes'!O23</f>
        <v>0.30945600000000001</v>
      </c>
      <c r="AA23" s="61">
        <f>LN(('Spinel-- no zeroes'!AK23*Olivine!W23)/(Olivine!U23*'Spinel-- no zeroes'!AM23))</f>
        <v>1.0899545003057818</v>
      </c>
      <c r="AB23" s="44">
        <f>'Spinel-- no zeroes'!AI23/('Spinel-- no zeroes'!AI23+'Spinel-- no zeroes'!AJ23+'Spinel-- no zeroes'!AH23)</f>
        <v>0.18036091204097307</v>
      </c>
      <c r="AC23" s="44">
        <f>'Spinel-- no zeroes'!AJ23/('Spinel-- no zeroes'!AJ23+'Spinel-- no zeroes'!AI23+'Spinel-- no zeroes'!AH23)</f>
        <v>1.9992406738298794E-2</v>
      </c>
      <c r="AE23" s="44">
        <f t="shared" si="2"/>
        <v>1.0499696868291841</v>
      </c>
      <c r="AG23" s="64">
        <f t="shared" si="3"/>
        <v>953.59008563576197</v>
      </c>
    </row>
    <row r="24" spans="1:33" s="44" customFormat="1">
      <c r="A24" s="45">
        <f>'Spinel-- no zeroes'!C24</f>
        <v>0</v>
      </c>
      <c r="B24" s="44">
        <v>1.5</v>
      </c>
      <c r="C24" s="44" t="s">
        <v>94</v>
      </c>
      <c r="D24" s="62">
        <f>Olivine!E24</f>
        <v>40.382300000000001</v>
      </c>
      <c r="E24" s="62">
        <f>Olivine!F24</f>
        <v>0</v>
      </c>
      <c r="F24" s="62">
        <f>Olivine!G24</f>
        <v>5.8463333333333345E-3</v>
      </c>
      <c r="G24" s="62">
        <f>Olivine!H24</f>
        <v>3.0960000000000002E-3</v>
      </c>
      <c r="H24" s="62">
        <f>Olivine!I24</f>
        <v>9.12866</v>
      </c>
      <c r="I24" s="62">
        <f>Olivine!J24</f>
        <v>0.12850600000000001</v>
      </c>
      <c r="J24" s="62">
        <f>Olivine!K24</f>
        <v>50.097166666666659</v>
      </c>
      <c r="K24" s="62">
        <f>Olivine!L24</f>
        <v>3.9156999999999997E-2</v>
      </c>
      <c r="L24" s="62">
        <f>Olivine!M24</f>
        <v>0</v>
      </c>
      <c r="M24" s="62">
        <f>Olivine!N24</f>
        <v>0.39530833333333332</v>
      </c>
      <c r="N24" s="44" t="s">
        <v>95</v>
      </c>
      <c r="O24" s="62">
        <f>'Spinel-- no zeroes'!E24</f>
        <v>6.6401111111111105E-3</v>
      </c>
      <c r="P24" s="62">
        <f>'Spinel-- no zeroes'!F24</f>
        <v>6.4313333333333333E-2</v>
      </c>
      <c r="Q24" s="62">
        <f>'Spinel-- no zeroes'!G24</f>
        <v>50.603477777777783</v>
      </c>
      <c r="R24" s="62">
        <f>'Spinel-- no zeroes'!H24</f>
        <v>17.013966666666665</v>
      </c>
      <c r="S24" s="62">
        <f>'Spinel-- no zeroes'!I24</f>
        <v>1.9814856865571953</v>
      </c>
      <c r="T24" s="62">
        <f>'Spinel-- no zeroes'!J24</f>
        <v>10.701132081026692</v>
      </c>
      <c r="U24" s="62">
        <f>'Spinel-- no zeroes'!K24</f>
        <v>0.11734222222222221</v>
      </c>
      <c r="V24" s="62">
        <f>'Spinel-- no zeroes'!L24</f>
        <v>18.672133333333331</v>
      </c>
      <c r="W24" s="62">
        <f>'Spinel-- no zeroes'!M24</f>
        <v>3.5715555555555561E-3</v>
      </c>
      <c r="X24" s="62">
        <f>'Spinel-- no zeroes'!N24</f>
        <v>0</v>
      </c>
      <c r="Y24" s="62">
        <f>'Spinel-- no zeroes'!O24</f>
        <v>0.30945600000000001</v>
      </c>
      <c r="AA24" s="61">
        <f>LN(('Spinel-- no zeroes'!AK24*Olivine!W24)/(Olivine!U24*'Spinel-- no zeroes'!AM24))</f>
        <v>1.0323850757134103</v>
      </c>
      <c r="AB24" s="44">
        <f>'Spinel-- no zeroes'!AI24/('Spinel-- no zeroes'!AI24+'Spinel-- no zeroes'!AJ24+'Spinel-- no zeroes'!AH24)</f>
        <v>0.18036091204097307</v>
      </c>
      <c r="AC24" s="44">
        <f>'Spinel-- no zeroes'!AJ24/('Spinel-- no zeroes'!AJ24+'Spinel-- no zeroes'!AI24+'Spinel-- no zeroes'!AH24)</f>
        <v>1.9992406738298794E-2</v>
      </c>
      <c r="AE24" s="44">
        <f t="shared" si="2"/>
        <v>0.99240026223681277</v>
      </c>
      <c r="AG24" s="64">
        <f t="shared" si="3"/>
        <v>997.17492939720648</v>
      </c>
    </row>
    <row r="25" spans="1:33" s="44" customFormat="1">
      <c r="A25" s="45">
        <f>'Spinel-- no zeroes'!C25</f>
        <v>0</v>
      </c>
      <c r="B25" s="44">
        <v>1.5</v>
      </c>
      <c r="C25" s="44" t="s">
        <v>94</v>
      </c>
      <c r="D25" s="62">
        <f>Olivine!E25</f>
        <v>40.382300000000001</v>
      </c>
      <c r="E25" s="62">
        <f>Olivine!F25</f>
        <v>0</v>
      </c>
      <c r="F25" s="62">
        <f>Olivine!G25</f>
        <v>5.8463333333333345E-3</v>
      </c>
      <c r="G25" s="62">
        <f>Olivine!H25</f>
        <v>3.0960000000000002E-3</v>
      </c>
      <c r="H25" s="62">
        <f>Olivine!I25</f>
        <v>9.12866</v>
      </c>
      <c r="I25" s="62">
        <f>Olivine!J25</f>
        <v>0.12850600000000001</v>
      </c>
      <c r="J25" s="62">
        <f>Olivine!K25</f>
        <v>50.097166666666659</v>
      </c>
      <c r="K25" s="62">
        <f>Olivine!L25</f>
        <v>3.9156999999999997E-2</v>
      </c>
      <c r="L25" s="62">
        <f>Olivine!M25</f>
        <v>0</v>
      </c>
      <c r="M25" s="62">
        <f>Olivine!N25</f>
        <v>0.39530833333333332</v>
      </c>
      <c r="N25" s="44" t="s">
        <v>95</v>
      </c>
      <c r="O25" s="62">
        <f>'Spinel-- no zeroes'!E25</f>
        <v>6.6401111111111105E-3</v>
      </c>
      <c r="P25" s="62">
        <f>'Spinel-- no zeroes'!F25</f>
        <v>6.4313333333333333E-2</v>
      </c>
      <c r="Q25" s="62">
        <f>'Spinel-- no zeroes'!G25</f>
        <v>50.603477777777783</v>
      </c>
      <c r="R25" s="62">
        <f>'Spinel-- no zeroes'!H25</f>
        <v>17.013966666666665</v>
      </c>
      <c r="S25" s="62">
        <f>'Spinel-- no zeroes'!I25</f>
        <v>1.9814856865571953</v>
      </c>
      <c r="T25" s="62">
        <f>'Spinel-- no zeroes'!J25</f>
        <v>10.701132081026692</v>
      </c>
      <c r="U25" s="62">
        <f>'Spinel-- no zeroes'!K25</f>
        <v>0.11734222222222221</v>
      </c>
      <c r="V25" s="62">
        <f>'Spinel-- no zeroes'!L25</f>
        <v>18.672133333333331</v>
      </c>
      <c r="W25" s="62">
        <f>'Spinel-- no zeroes'!M25</f>
        <v>3.5715555555555561E-3</v>
      </c>
      <c r="X25" s="62">
        <f>'Spinel-- no zeroes'!N25</f>
        <v>0</v>
      </c>
      <c r="Y25" s="62">
        <f>'Spinel-- no zeroes'!O25</f>
        <v>0.30945600000000001</v>
      </c>
      <c r="AA25" s="61">
        <f>LN(('Spinel-- no zeroes'!AK25*Olivine!W25)/(Olivine!U25*'Spinel-- no zeroes'!AM25))</f>
        <v>0.97291867133793342</v>
      </c>
      <c r="AB25" s="44">
        <f>'Spinel-- no zeroes'!AI25/('Spinel-- no zeroes'!AI25+'Spinel-- no zeroes'!AJ25+'Spinel-- no zeroes'!AH25)</f>
        <v>0.18036091204097307</v>
      </c>
      <c r="AC25" s="44">
        <f>'Spinel-- no zeroes'!AJ25/('Spinel-- no zeroes'!AJ25+'Spinel-- no zeroes'!AI25+'Spinel-- no zeroes'!AH25)</f>
        <v>1.9992406738298794E-2</v>
      </c>
      <c r="AE25" s="44">
        <f t="shared" si="2"/>
        <v>0.93293385786133587</v>
      </c>
      <c r="AG25" s="64">
        <f t="shared" si="3"/>
        <v>1045.5716418484008</v>
      </c>
    </row>
    <row r="26" spans="1:33" s="44" customFormat="1">
      <c r="A26" s="45">
        <f>'Spinel-- no zeroes'!C26</f>
        <v>0</v>
      </c>
      <c r="B26" s="44">
        <v>1.5</v>
      </c>
      <c r="C26" s="44" t="s">
        <v>94</v>
      </c>
      <c r="D26" s="62">
        <f>Olivine!E26</f>
        <v>40.382300000000001</v>
      </c>
      <c r="E26" s="62">
        <f>Olivine!F26</f>
        <v>0</v>
      </c>
      <c r="F26" s="62">
        <f>Olivine!G26</f>
        <v>5.8463333333333345E-3</v>
      </c>
      <c r="G26" s="62">
        <f>Olivine!H26</f>
        <v>3.0960000000000002E-3</v>
      </c>
      <c r="H26" s="62">
        <f>Olivine!I26</f>
        <v>9.12866</v>
      </c>
      <c r="I26" s="62">
        <f>Olivine!J26</f>
        <v>0.12850600000000001</v>
      </c>
      <c r="J26" s="62">
        <f>Olivine!K26</f>
        <v>50.097166666666659</v>
      </c>
      <c r="K26" s="62">
        <f>Olivine!L26</f>
        <v>3.9156999999999997E-2</v>
      </c>
      <c r="L26" s="62">
        <f>Olivine!M26</f>
        <v>0</v>
      </c>
      <c r="M26" s="62">
        <f>Olivine!N26</f>
        <v>0.39530833333333332</v>
      </c>
      <c r="N26" s="44" t="s">
        <v>95</v>
      </c>
      <c r="O26" s="62">
        <f>'Spinel-- no zeroes'!E26</f>
        <v>6.6401111111111105E-3</v>
      </c>
      <c r="P26" s="62">
        <f>'Spinel-- no zeroes'!F26</f>
        <v>6.4313333333333333E-2</v>
      </c>
      <c r="Q26" s="62">
        <f>'Spinel-- no zeroes'!G26</f>
        <v>50.603477777777783</v>
      </c>
      <c r="R26" s="62">
        <f>'Spinel-- no zeroes'!H26</f>
        <v>17.013966666666665</v>
      </c>
      <c r="S26" s="62">
        <f>'Spinel-- no zeroes'!I26</f>
        <v>1.9814856865571953</v>
      </c>
      <c r="T26" s="62">
        <f>'Spinel-- no zeroes'!J26</f>
        <v>10.701132081026692</v>
      </c>
      <c r="U26" s="62">
        <f>'Spinel-- no zeroes'!K26</f>
        <v>0.11734222222222221</v>
      </c>
      <c r="V26" s="62">
        <f>'Spinel-- no zeroes'!L26</f>
        <v>18.672133333333331</v>
      </c>
      <c r="W26" s="62">
        <f>'Spinel-- no zeroes'!M26</f>
        <v>3.5715555555555561E-3</v>
      </c>
      <c r="X26" s="62">
        <f>'Spinel-- no zeroes'!N26</f>
        <v>0</v>
      </c>
      <c r="Y26" s="62">
        <f>'Spinel-- no zeroes'!O26</f>
        <v>0.30945600000000001</v>
      </c>
      <c r="AA26" s="61">
        <f>LN(('Spinel-- no zeroes'!AK26*Olivine!W26)/(Olivine!U26*'Spinel-- no zeroes'!AM26))</f>
        <v>0.91134920627542437</v>
      </c>
      <c r="AB26" s="44">
        <f>'Spinel-- no zeroes'!AI26/('Spinel-- no zeroes'!AI26+'Spinel-- no zeroes'!AJ26+'Spinel-- no zeroes'!AH26)</f>
        <v>0.18036091204097307</v>
      </c>
      <c r="AC26" s="44">
        <f>'Spinel-- no zeroes'!AJ26/('Spinel-- no zeroes'!AJ26+'Spinel-- no zeroes'!AI26+'Spinel-- no zeroes'!AH26)</f>
        <v>1.9992406738298794E-2</v>
      </c>
      <c r="AE26" s="44">
        <f t="shared" si="2"/>
        <v>0.87136439279882683</v>
      </c>
      <c r="AG26" s="64">
        <f t="shared" si="3"/>
        <v>1099.7250447029228</v>
      </c>
    </row>
    <row r="27" spans="1:33" s="44" customFormat="1">
      <c r="A27" s="45">
        <f>'Spinel-- no zeroes'!C27</f>
        <v>0</v>
      </c>
      <c r="B27" s="44">
        <v>1.5</v>
      </c>
      <c r="C27" s="44" t="s">
        <v>94</v>
      </c>
      <c r="D27" s="62">
        <f>Olivine!E27</f>
        <v>40.382300000000001</v>
      </c>
      <c r="E27" s="62">
        <f>Olivine!F27</f>
        <v>0</v>
      </c>
      <c r="F27" s="62">
        <f>Olivine!G27</f>
        <v>5.8463333333333345E-3</v>
      </c>
      <c r="G27" s="62">
        <f>Olivine!H27</f>
        <v>3.0960000000000002E-3</v>
      </c>
      <c r="H27" s="62">
        <f>Olivine!I27</f>
        <v>9.12866</v>
      </c>
      <c r="I27" s="62">
        <f>Olivine!J27</f>
        <v>0.12850600000000001</v>
      </c>
      <c r="J27" s="62">
        <f>Olivine!K27</f>
        <v>50.097166666666659</v>
      </c>
      <c r="K27" s="62">
        <f>Olivine!L27</f>
        <v>3.9156999999999997E-2</v>
      </c>
      <c r="L27" s="62">
        <f>Olivine!M27</f>
        <v>0</v>
      </c>
      <c r="M27" s="62">
        <f>Olivine!N27</f>
        <v>0.39530833333333332</v>
      </c>
      <c r="N27" s="44" t="s">
        <v>95</v>
      </c>
      <c r="O27" s="62">
        <f>'Spinel-- no zeroes'!E27</f>
        <v>6.6401111111111105E-3</v>
      </c>
      <c r="P27" s="62">
        <f>'Spinel-- no zeroes'!F27</f>
        <v>6.4313333333333333E-2</v>
      </c>
      <c r="Q27" s="62">
        <f>'Spinel-- no zeroes'!G27</f>
        <v>50.603477777777783</v>
      </c>
      <c r="R27" s="62">
        <f>'Spinel-- no zeroes'!H27</f>
        <v>17.013966666666665</v>
      </c>
      <c r="S27" s="62">
        <f>'Spinel-- no zeroes'!I27</f>
        <v>1.9814856865571953</v>
      </c>
      <c r="T27" s="62">
        <f>'Spinel-- no zeroes'!J27</f>
        <v>10.701132081026692</v>
      </c>
      <c r="U27" s="62">
        <f>'Spinel-- no zeroes'!K27</f>
        <v>0.11734222222222221</v>
      </c>
      <c r="V27" s="62">
        <f>'Spinel-- no zeroes'!L27</f>
        <v>18.672133333333331</v>
      </c>
      <c r="W27" s="62">
        <f>'Spinel-- no zeroes'!M27</f>
        <v>3.5715555555555561E-3</v>
      </c>
      <c r="X27" s="62">
        <f>'Spinel-- no zeroes'!N27</f>
        <v>0</v>
      </c>
      <c r="Y27" s="62">
        <f>'Spinel-- no zeroes'!O27</f>
        <v>0.30945600000000001</v>
      </c>
      <c r="AA27" s="61">
        <f>LN(('Spinel-- no zeroes'!AK27*Olivine!W27)/(Olivine!U27*'Spinel-- no zeroes'!AM27))</f>
        <v>0.84743971383877281</v>
      </c>
      <c r="AB27" s="44">
        <f>'Spinel-- no zeroes'!AI27/('Spinel-- no zeroes'!AI27+'Spinel-- no zeroes'!AJ27+'Spinel-- no zeroes'!AH27)</f>
        <v>0.18036091204097307</v>
      </c>
      <c r="AC27" s="44">
        <f>'Spinel-- no zeroes'!AJ27/('Spinel-- no zeroes'!AJ27+'Spinel-- no zeroes'!AI27+'Spinel-- no zeroes'!AH27)</f>
        <v>1.9992406738298794E-2</v>
      </c>
      <c r="AE27" s="44">
        <f t="shared" si="2"/>
        <v>0.80745490036217527</v>
      </c>
      <c r="AG27" s="64">
        <f t="shared" si="3"/>
        <v>1160.8504708974001</v>
      </c>
    </row>
    <row r="28" spans="1:33" s="44" customFormat="1">
      <c r="A28" s="45">
        <f>'Spinel-- no zeroes'!C28</f>
        <v>0</v>
      </c>
      <c r="B28" s="44">
        <v>1.5</v>
      </c>
      <c r="C28" s="44" t="s">
        <v>94</v>
      </c>
      <c r="D28" s="62">
        <f>Olivine!E28</f>
        <v>40.382300000000001</v>
      </c>
      <c r="E28" s="62">
        <f>Olivine!F28</f>
        <v>0</v>
      </c>
      <c r="F28" s="62">
        <f>Olivine!G28</f>
        <v>5.8463333333333345E-3</v>
      </c>
      <c r="G28" s="62">
        <f>Olivine!H28</f>
        <v>3.0960000000000002E-3</v>
      </c>
      <c r="H28" s="62">
        <f>Olivine!I28</f>
        <v>9.12866</v>
      </c>
      <c r="I28" s="62">
        <f>Olivine!J28</f>
        <v>0.12850600000000001</v>
      </c>
      <c r="J28" s="62">
        <f>Olivine!K28</f>
        <v>50.097166666666659</v>
      </c>
      <c r="K28" s="62">
        <f>Olivine!L28</f>
        <v>3.9156999999999997E-2</v>
      </c>
      <c r="L28" s="62">
        <f>Olivine!M28</f>
        <v>0</v>
      </c>
      <c r="M28" s="62">
        <f>Olivine!N28</f>
        <v>0.39530833333333332</v>
      </c>
      <c r="N28" s="44" t="s">
        <v>95</v>
      </c>
      <c r="O28" s="62">
        <f>'Spinel-- no zeroes'!E28</f>
        <v>6.6401111111111105E-3</v>
      </c>
      <c r="P28" s="62">
        <f>'Spinel-- no zeroes'!F28</f>
        <v>6.4313333333333333E-2</v>
      </c>
      <c r="Q28" s="62">
        <f>'Spinel-- no zeroes'!G28</f>
        <v>50.603477777777783</v>
      </c>
      <c r="R28" s="62">
        <f>'Spinel-- no zeroes'!H28</f>
        <v>17.013966666666665</v>
      </c>
      <c r="S28" s="62">
        <f>'Spinel-- no zeroes'!I28</f>
        <v>1.9814856865571953</v>
      </c>
      <c r="T28" s="62">
        <f>'Spinel-- no zeroes'!J28</f>
        <v>10.701132081026692</v>
      </c>
      <c r="U28" s="62">
        <f>'Spinel-- no zeroes'!K28</f>
        <v>0.11734222222222221</v>
      </c>
      <c r="V28" s="62">
        <f>'Spinel-- no zeroes'!L28</f>
        <v>18.672133333333331</v>
      </c>
      <c r="W28" s="62">
        <f>'Spinel-- no zeroes'!M28</f>
        <v>3.5715555555555561E-3</v>
      </c>
      <c r="X28" s="62">
        <f>'Spinel-- no zeroes'!N28</f>
        <v>0</v>
      </c>
      <c r="Y28" s="62">
        <f>'Spinel-- no zeroes'!O28</f>
        <v>0.30945600000000001</v>
      </c>
      <c r="AA28" s="61">
        <f>LN(('Spinel-- no zeroes'!AK28*Olivine!W28)/(Olivine!U28*'Spinel-- no zeroes'!AM28))</f>
        <v>0.7809156143976308</v>
      </c>
      <c r="AB28" s="44">
        <f>'Spinel-- no zeroes'!AI28/('Spinel-- no zeroes'!AI28+'Spinel-- no zeroes'!AJ28+'Spinel-- no zeroes'!AH28)</f>
        <v>0.18036091204097307</v>
      </c>
      <c r="AC28" s="44">
        <f>'Spinel-- no zeroes'!AJ28/('Spinel-- no zeroes'!AJ28+'Spinel-- no zeroes'!AI28+'Spinel-- no zeroes'!AH28)</f>
        <v>1.9992406738298794E-2</v>
      </c>
      <c r="AE28" s="44">
        <f t="shared" si="2"/>
        <v>0.74093080092103325</v>
      </c>
      <c r="AG28" s="64">
        <f t="shared" si="3"/>
        <v>1230.5392102903593</v>
      </c>
    </row>
    <row r="29" spans="1:33" s="44" customFormat="1">
      <c r="A29" s="45">
        <f>'Spinel-- no zeroes'!C29</f>
        <v>0</v>
      </c>
      <c r="B29" s="44">
        <v>1.5</v>
      </c>
      <c r="C29" s="44" t="s">
        <v>94</v>
      </c>
      <c r="D29" s="62">
        <f>Olivine!E29</f>
        <v>40.382300000000001</v>
      </c>
      <c r="E29" s="62">
        <f>Olivine!F29</f>
        <v>0</v>
      </c>
      <c r="F29" s="62">
        <f>Olivine!G29</f>
        <v>5.8463333333333345E-3</v>
      </c>
      <c r="G29" s="62">
        <f>Olivine!H29</f>
        <v>3.0960000000000002E-3</v>
      </c>
      <c r="H29" s="62">
        <f>Olivine!I29</f>
        <v>9.12866</v>
      </c>
      <c r="I29" s="62">
        <f>Olivine!J29</f>
        <v>0.12850600000000001</v>
      </c>
      <c r="J29" s="62">
        <f>Olivine!K29</f>
        <v>50.097166666666659</v>
      </c>
      <c r="K29" s="62">
        <f>Olivine!L29</f>
        <v>3.9156999999999997E-2</v>
      </c>
      <c r="L29" s="62">
        <f>Olivine!M29</f>
        <v>0</v>
      </c>
      <c r="M29" s="62">
        <f>Olivine!N29</f>
        <v>0.39530833333333332</v>
      </c>
      <c r="N29" s="44" t="s">
        <v>95</v>
      </c>
      <c r="O29" s="62">
        <f>'Spinel-- no zeroes'!E29</f>
        <v>6.6401111111111105E-3</v>
      </c>
      <c r="P29" s="62">
        <f>'Spinel-- no zeroes'!F29</f>
        <v>6.4313333333333333E-2</v>
      </c>
      <c r="Q29" s="62">
        <f>'Spinel-- no zeroes'!G29</f>
        <v>50.603477777777783</v>
      </c>
      <c r="R29" s="62">
        <f>'Spinel-- no zeroes'!H29</f>
        <v>17.013966666666665</v>
      </c>
      <c r="S29" s="62">
        <f>'Spinel-- no zeroes'!I29</f>
        <v>1.9814856865571953</v>
      </c>
      <c r="T29" s="62">
        <f>'Spinel-- no zeroes'!J29</f>
        <v>10.701132081026692</v>
      </c>
      <c r="U29" s="62">
        <f>'Spinel-- no zeroes'!K29</f>
        <v>0.11734222222222221</v>
      </c>
      <c r="V29" s="62">
        <f>'Spinel-- no zeroes'!L29</f>
        <v>18.672133333333331</v>
      </c>
      <c r="W29" s="62">
        <f>'Spinel-- no zeroes'!M29</f>
        <v>3.5715555555555561E-3</v>
      </c>
      <c r="X29" s="62">
        <f>'Spinel-- no zeroes'!N29</f>
        <v>0</v>
      </c>
      <c r="Y29" s="62">
        <f>'Spinel-- no zeroes'!O29</f>
        <v>0.30945600000000001</v>
      </c>
      <c r="AA29" s="61">
        <f>LN(('Spinel-- no zeroes'!AK29*Olivine!W29)/(Olivine!U29*'Spinel-- no zeroes'!AM29))</f>
        <v>0.71145606692494234</v>
      </c>
      <c r="AB29" s="44">
        <f>'Spinel-- no zeroes'!AI29/('Spinel-- no zeroes'!AI29+'Spinel-- no zeroes'!AJ29+'Spinel-- no zeroes'!AH29)</f>
        <v>0.18036091204097307</v>
      </c>
      <c r="AC29" s="44">
        <f>'Spinel-- no zeroes'!AJ29/('Spinel-- no zeroes'!AJ29+'Spinel-- no zeroes'!AI29+'Spinel-- no zeroes'!AH29)</f>
        <v>1.9992406738298794E-2</v>
      </c>
      <c r="AE29" s="44">
        <f t="shared" si="2"/>
        <v>0.6714712534483448</v>
      </c>
      <c r="AG29" s="64">
        <f t="shared" si="3"/>
        <v>1310.9177306185829</v>
      </c>
    </row>
    <row r="30" spans="1:33" s="44" customFormat="1">
      <c r="A30" s="45">
        <f>'Spinel-- no zeroes'!C30</f>
        <v>0</v>
      </c>
      <c r="B30" s="44">
        <v>1.5</v>
      </c>
      <c r="C30" s="44" t="s">
        <v>94</v>
      </c>
      <c r="D30" s="62">
        <f>Olivine!E30</f>
        <v>40.382300000000001</v>
      </c>
      <c r="E30" s="62">
        <f>Olivine!F30</f>
        <v>0</v>
      </c>
      <c r="F30" s="62">
        <f>Olivine!G30</f>
        <v>5.8463333333333345E-3</v>
      </c>
      <c r="G30" s="62">
        <f>Olivine!H30</f>
        <v>3.0960000000000002E-3</v>
      </c>
      <c r="H30" s="62">
        <f>Olivine!I30</f>
        <v>9.12866</v>
      </c>
      <c r="I30" s="62">
        <f>Olivine!J30</f>
        <v>0.12850600000000001</v>
      </c>
      <c r="J30" s="62">
        <f>Olivine!K30</f>
        <v>50.097166666666659</v>
      </c>
      <c r="K30" s="62">
        <f>Olivine!L30</f>
        <v>3.9156999999999997E-2</v>
      </c>
      <c r="L30" s="62">
        <f>Olivine!M30</f>
        <v>0</v>
      </c>
      <c r="M30" s="62">
        <f>Olivine!N30</f>
        <v>0.39530833333333332</v>
      </c>
      <c r="N30" s="44" t="s">
        <v>95</v>
      </c>
      <c r="O30" s="62">
        <f>'Spinel-- no zeroes'!E30</f>
        <v>6.6401111111111105E-3</v>
      </c>
      <c r="P30" s="62">
        <f>'Spinel-- no zeroes'!F30</f>
        <v>6.4313333333333333E-2</v>
      </c>
      <c r="Q30" s="62">
        <f>'Spinel-- no zeroes'!G30</f>
        <v>50.603477777777783</v>
      </c>
      <c r="R30" s="62">
        <f>'Spinel-- no zeroes'!H30</f>
        <v>17.013966666666665</v>
      </c>
      <c r="S30" s="62">
        <f>'Spinel-- no zeroes'!I30</f>
        <v>1.9814856865571953</v>
      </c>
      <c r="T30" s="62">
        <f>'Spinel-- no zeroes'!J30</f>
        <v>10.701132081026692</v>
      </c>
      <c r="U30" s="62">
        <f>'Spinel-- no zeroes'!K30</f>
        <v>0.11734222222222221</v>
      </c>
      <c r="V30" s="62">
        <f>'Spinel-- no zeroes'!L30</f>
        <v>18.672133333333331</v>
      </c>
      <c r="W30" s="62">
        <f>'Spinel-- no zeroes'!M30</f>
        <v>3.5715555555555561E-3</v>
      </c>
      <c r="X30" s="62">
        <f>'Spinel-- no zeroes'!N30</f>
        <v>0</v>
      </c>
      <c r="Y30" s="62">
        <f>'Spinel-- no zeroes'!O30</f>
        <v>0.30945600000000001</v>
      </c>
      <c r="AA30" s="61">
        <f>LN(('Spinel-- no zeroes'!AK30*Olivine!W30)/(Olivine!U30*'Spinel-- no zeroes'!AM30))</f>
        <v>0.63868269934922994</v>
      </c>
      <c r="AB30" s="44">
        <f>'Spinel-- no zeroes'!AI30/('Spinel-- no zeroes'!AI30+'Spinel-- no zeroes'!AJ30+'Spinel-- no zeroes'!AH30)</f>
        <v>0.18036091204097307</v>
      </c>
      <c r="AC30" s="44">
        <f>'Spinel-- no zeroes'!AJ30/('Spinel-- no zeroes'!AJ30+'Spinel-- no zeroes'!AI30+'Spinel-- no zeroes'!AH30)</f>
        <v>1.9992406738298794E-2</v>
      </c>
      <c r="AE30" s="44">
        <f t="shared" si="2"/>
        <v>0.5986978858726324</v>
      </c>
      <c r="AG30" s="64">
        <f t="shared" si="3"/>
        <v>1404.8957398392049</v>
      </c>
    </row>
    <row r="31" spans="1:33" s="44" customFormat="1">
      <c r="A31" s="45"/>
      <c r="D31" s="62"/>
      <c r="E31" s="62"/>
      <c r="F31" s="62"/>
      <c r="G31" s="62"/>
      <c r="H31" s="62"/>
      <c r="I31" s="62"/>
      <c r="J31" s="62"/>
      <c r="K31" s="62"/>
      <c r="L31" s="62"/>
      <c r="M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AA31" s="61"/>
      <c r="AG31" s="64"/>
    </row>
    <row r="32" spans="1:33" s="44" customFormat="1">
      <c r="A32" s="45">
        <f>'Spinel-- no zeroes'!C32</f>
        <v>0</v>
      </c>
      <c r="B32" s="44">
        <v>1.5</v>
      </c>
      <c r="C32" s="44" t="s">
        <v>94</v>
      </c>
      <c r="D32" s="62">
        <f>Olivine!E32</f>
        <v>40.382300000000001</v>
      </c>
      <c r="E32" s="62">
        <f>Olivine!F32</f>
        <v>0</v>
      </c>
      <c r="F32" s="62">
        <f>Olivine!G32</f>
        <v>5.8463333333333345E-3</v>
      </c>
      <c r="G32" s="62">
        <f>Olivine!H32</f>
        <v>3.0960000000000002E-3</v>
      </c>
      <c r="H32" s="62">
        <f>Olivine!I32</f>
        <v>9.12866</v>
      </c>
      <c r="I32" s="62">
        <f>Olivine!J32</f>
        <v>0.12850600000000001</v>
      </c>
      <c r="J32" s="62">
        <f>Olivine!K32</f>
        <v>50.097166666666659</v>
      </c>
      <c r="K32" s="62">
        <f>Olivine!L32</f>
        <v>3.9156999999999997E-2</v>
      </c>
      <c r="L32" s="62">
        <f>Olivine!M32</f>
        <v>0</v>
      </c>
      <c r="M32" s="62">
        <f>Olivine!N32</f>
        <v>0.39530833333333332</v>
      </c>
      <c r="N32" s="44" t="s">
        <v>95</v>
      </c>
      <c r="O32" s="62">
        <f>'Spinel-- no zeroes'!E32</f>
        <v>6.6401111111111105E-3</v>
      </c>
      <c r="P32" s="62">
        <f>'Spinel-- no zeroes'!F32</f>
        <v>6.4313333333333333E-2</v>
      </c>
      <c r="Q32" s="62">
        <f>'Spinel-- no zeroes'!G32</f>
        <v>50.603477777777783</v>
      </c>
      <c r="R32" s="62">
        <f>'Spinel-- no zeroes'!H32</f>
        <v>17.013966666666665</v>
      </c>
      <c r="S32" s="62">
        <f>'Spinel-- no zeroes'!I32</f>
        <v>1.9814856865571953</v>
      </c>
      <c r="T32" s="62">
        <f>'Spinel-- no zeroes'!J32</f>
        <v>10.701132081026692</v>
      </c>
      <c r="U32" s="62">
        <f>'Spinel-- no zeroes'!K32</f>
        <v>0.11734222222222221</v>
      </c>
      <c r="V32" s="62">
        <f>'Spinel-- no zeroes'!L32</f>
        <v>18.672133333333331</v>
      </c>
      <c r="W32" s="62">
        <f>'Spinel-- no zeroes'!M32</f>
        <v>3.5715555555555561E-3</v>
      </c>
      <c r="X32" s="62">
        <f>'Spinel-- no zeroes'!N32</f>
        <v>0</v>
      </c>
      <c r="Y32" s="62">
        <f>'Spinel-- no zeroes'!O32</f>
        <v>0.30945600000000001</v>
      </c>
      <c r="AA32" s="61">
        <f>LN(('Spinel-- no zeroes'!AK32*Olivine!W32)/(Olivine!U32*'Spinel-- no zeroes'!AM32))</f>
        <v>1.1458074372902647</v>
      </c>
      <c r="AB32" s="44">
        <f>'Spinel-- no zeroes'!AI32/('Spinel-- no zeroes'!AI32+'Spinel-- no zeroes'!AJ32+'Spinel-- no zeroes'!AH32)</f>
        <v>0.18036091204097307</v>
      </c>
      <c r="AC32" s="44">
        <f>'Spinel-- no zeroes'!AJ32/('Spinel-- no zeroes'!AJ32+'Spinel-- no zeroes'!AI32+'Spinel-- no zeroes'!AH32)</f>
        <v>1.3416011362710321E-5</v>
      </c>
      <c r="AE32" s="44">
        <f t="shared" si="2"/>
        <v>1.1457806052675392</v>
      </c>
      <c r="AG32" s="64">
        <f t="shared" si="3"/>
        <v>887.32574874755949</v>
      </c>
    </row>
    <row r="33" spans="1:33" s="44" customFormat="1">
      <c r="A33" s="45">
        <f>'Spinel-- no zeroes'!C33</f>
        <v>0</v>
      </c>
      <c r="B33" s="44">
        <v>1.5</v>
      </c>
      <c r="C33" s="44" t="s">
        <v>94</v>
      </c>
      <c r="D33" s="62">
        <f>Olivine!E33</f>
        <v>40.382300000000001</v>
      </c>
      <c r="E33" s="62">
        <f>Olivine!F33</f>
        <v>0</v>
      </c>
      <c r="F33" s="62">
        <f>Olivine!G33</f>
        <v>5.8463333333333345E-3</v>
      </c>
      <c r="G33" s="62">
        <f>Olivine!H33</f>
        <v>3.0960000000000002E-3</v>
      </c>
      <c r="H33" s="62">
        <f>Olivine!I33</f>
        <v>9.12866</v>
      </c>
      <c r="I33" s="62">
        <f>Olivine!J33</f>
        <v>0.12850600000000001</v>
      </c>
      <c r="J33" s="62">
        <f>Olivine!K33</f>
        <v>50.097166666666659</v>
      </c>
      <c r="K33" s="62">
        <f>Olivine!L33</f>
        <v>3.9156999999999997E-2</v>
      </c>
      <c r="L33" s="62">
        <f>Olivine!M33</f>
        <v>0</v>
      </c>
      <c r="M33" s="62">
        <f>Olivine!N33</f>
        <v>0.39530833333333332</v>
      </c>
      <c r="N33" s="44" t="s">
        <v>95</v>
      </c>
      <c r="O33" s="62">
        <f>'Spinel-- no zeroes'!E33</f>
        <v>6.6401111111111105E-3</v>
      </c>
      <c r="P33" s="62">
        <f>'Spinel-- no zeroes'!F33</f>
        <v>6.4313333333333333E-2</v>
      </c>
      <c r="Q33" s="62">
        <f>'Spinel-- no zeroes'!G33</f>
        <v>50.603477777777783</v>
      </c>
      <c r="R33" s="62">
        <f>'Spinel-- no zeroes'!H33</f>
        <v>17.013966666666665</v>
      </c>
      <c r="S33" s="62">
        <f>'Spinel-- no zeroes'!I33</f>
        <v>1.9814856865571953</v>
      </c>
      <c r="T33" s="62">
        <f>'Spinel-- no zeroes'!J33</f>
        <v>10.701132081026692</v>
      </c>
      <c r="U33" s="62">
        <f>'Spinel-- no zeroes'!K33</f>
        <v>0.11734222222222221</v>
      </c>
      <c r="V33" s="62">
        <f>'Spinel-- no zeroes'!L33</f>
        <v>18.672133333333331</v>
      </c>
      <c r="W33" s="62">
        <f>'Spinel-- no zeroes'!M33</f>
        <v>3.5715555555555561E-3</v>
      </c>
      <c r="X33" s="62">
        <f>'Spinel-- no zeroes'!N33</f>
        <v>0</v>
      </c>
      <c r="Y33" s="62">
        <f>'Spinel-- no zeroes'!O33</f>
        <v>0.30945600000000001</v>
      </c>
      <c r="AA33" s="61">
        <f>LN(('Spinel-- no zeroes'!AK33*Olivine!W33)/(Olivine!U33*'Spinel-- no zeroes'!AM33))</f>
        <v>1.1458074372902647</v>
      </c>
      <c r="AB33" s="44">
        <f>'Spinel-- no zeroes'!AI33/('Spinel-- no zeroes'!AI33+'Spinel-- no zeroes'!AJ33+'Spinel-- no zeroes'!AH33)</f>
        <v>0.18036091204097307</v>
      </c>
      <c r="AC33" s="44">
        <f>'Spinel-- no zeroes'!AJ33/('Spinel-- no zeroes'!AJ33+'Spinel-- no zeroes'!AI33+'Spinel-- no zeroes'!AH33)</f>
        <v>2.3161117633162316E-2</v>
      </c>
      <c r="AE33" s="44">
        <f t="shared" si="2"/>
        <v>1.0994852020239401</v>
      </c>
      <c r="AG33" s="64">
        <f t="shared" si="3"/>
        <v>918.42658951320789</v>
      </c>
    </row>
    <row r="34" spans="1:33" s="44" customFormat="1">
      <c r="A34" s="45">
        <f>'Spinel-- no zeroes'!C34</f>
        <v>0</v>
      </c>
      <c r="B34" s="44">
        <v>1.5</v>
      </c>
      <c r="C34" s="44" t="s">
        <v>94</v>
      </c>
      <c r="D34" s="62">
        <f>Olivine!E34</f>
        <v>40.382300000000001</v>
      </c>
      <c r="E34" s="62">
        <f>Olivine!F34</f>
        <v>0</v>
      </c>
      <c r="F34" s="62">
        <f>Olivine!G34</f>
        <v>5.8463333333333345E-3</v>
      </c>
      <c r="G34" s="62">
        <f>Olivine!H34</f>
        <v>3.0960000000000002E-3</v>
      </c>
      <c r="H34" s="62">
        <f>Olivine!I34</f>
        <v>9.12866</v>
      </c>
      <c r="I34" s="62">
        <f>Olivine!J34</f>
        <v>0.12850600000000001</v>
      </c>
      <c r="J34" s="62">
        <f>Olivine!K34</f>
        <v>50.097166666666659</v>
      </c>
      <c r="K34" s="62">
        <f>Olivine!L34</f>
        <v>3.9156999999999997E-2</v>
      </c>
      <c r="L34" s="62">
        <f>Olivine!M34</f>
        <v>0</v>
      </c>
      <c r="M34" s="62">
        <f>Olivine!N34</f>
        <v>0.39530833333333332</v>
      </c>
      <c r="N34" s="44" t="s">
        <v>95</v>
      </c>
      <c r="O34" s="62">
        <f>'Spinel-- no zeroes'!E34</f>
        <v>6.6401111111111105E-3</v>
      </c>
      <c r="P34" s="62">
        <f>'Spinel-- no zeroes'!F34</f>
        <v>6.4313333333333333E-2</v>
      </c>
      <c r="Q34" s="62">
        <f>'Spinel-- no zeroes'!G34</f>
        <v>50.603477777777783</v>
      </c>
      <c r="R34" s="62">
        <f>'Spinel-- no zeroes'!H34</f>
        <v>17.013966666666665</v>
      </c>
      <c r="S34" s="62">
        <f>'Spinel-- no zeroes'!I34</f>
        <v>1.9814856865571953</v>
      </c>
      <c r="T34" s="62">
        <f>'Spinel-- no zeroes'!J34</f>
        <v>10.701132081026692</v>
      </c>
      <c r="U34" s="62">
        <f>'Spinel-- no zeroes'!K34</f>
        <v>0.11734222222222221</v>
      </c>
      <c r="V34" s="62">
        <f>'Spinel-- no zeroes'!L34</f>
        <v>18.672133333333331</v>
      </c>
      <c r="W34" s="62">
        <f>'Spinel-- no zeroes'!M34</f>
        <v>3.5715555555555561E-3</v>
      </c>
      <c r="X34" s="62">
        <f>'Spinel-- no zeroes'!N34</f>
        <v>0</v>
      </c>
      <c r="Y34" s="62">
        <f>'Spinel-- no zeroes'!O34</f>
        <v>0.30945600000000001</v>
      </c>
      <c r="AA34" s="61">
        <f>LN(('Spinel-- no zeroes'!AK34*Olivine!W34)/(Olivine!U34*'Spinel-- no zeroes'!AM34))</f>
        <v>1.1458074372902647</v>
      </c>
      <c r="AB34" s="44">
        <f>'Spinel-- no zeroes'!AI34/('Spinel-- no zeroes'!AI34+'Spinel-- no zeroes'!AJ34+'Spinel-- no zeroes'!AH34)</f>
        <v>0.18036091204097307</v>
      </c>
      <c r="AC34" s="44">
        <f>'Spinel-- no zeroes'!AJ34/('Spinel-- no zeroes'!AJ34+'Spinel-- no zeroes'!AI34+'Spinel-- no zeroes'!AH34)</f>
        <v>4.6308819254961914E-2</v>
      </c>
      <c r="AE34" s="44">
        <f t="shared" si="2"/>
        <v>1.0531897987803409</v>
      </c>
      <c r="AG34" s="64">
        <f t="shared" si="3"/>
        <v>951.2403464938244</v>
      </c>
    </row>
    <row r="35" spans="1:33" s="44" customFormat="1">
      <c r="A35" s="45">
        <f>'Spinel-- no zeroes'!C35</f>
        <v>0</v>
      </c>
      <c r="B35" s="44">
        <v>1.5</v>
      </c>
      <c r="C35" s="44" t="s">
        <v>94</v>
      </c>
      <c r="D35" s="62">
        <f>Olivine!E35</f>
        <v>40.382300000000001</v>
      </c>
      <c r="E35" s="62">
        <f>Olivine!F35</f>
        <v>0</v>
      </c>
      <c r="F35" s="62">
        <f>Olivine!G35</f>
        <v>5.8463333333333345E-3</v>
      </c>
      <c r="G35" s="62">
        <f>Olivine!H35</f>
        <v>3.0960000000000002E-3</v>
      </c>
      <c r="H35" s="62">
        <f>Olivine!I35</f>
        <v>9.12866</v>
      </c>
      <c r="I35" s="62">
        <f>Olivine!J35</f>
        <v>0.12850600000000001</v>
      </c>
      <c r="J35" s="62">
        <f>Olivine!K35</f>
        <v>50.097166666666659</v>
      </c>
      <c r="K35" s="62">
        <f>Olivine!L35</f>
        <v>3.9156999999999997E-2</v>
      </c>
      <c r="L35" s="62">
        <f>Olivine!M35</f>
        <v>0</v>
      </c>
      <c r="M35" s="62">
        <f>Olivine!N35</f>
        <v>0.39530833333333332</v>
      </c>
      <c r="N35" s="44" t="s">
        <v>95</v>
      </c>
      <c r="O35" s="62">
        <f>'Spinel-- no zeroes'!E35</f>
        <v>6.6401111111111105E-3</v>
      </c>
      <c r="P35" s="62">
        <f>'Spinel-- no zeroes'!F35</f>
        <v>6.4313333333333333E-2</v>
      </c>
      <c r="Q35" s="62">
        <f>'Spinel-- no zeroes'!G35</f>
        <v>50.603477777777783</v>
      </c>
      <c r="R35" s="62">
        <f>'Spinel-- no zeroes'!H35</f>
        <v>17.013966666666665</v>
      </c>
      <c r="S35" s="62">
        <f>'Spinel-- no zeroes'!I35</f>
        <v>1.9814856865571953</v>
      </c>
      <c r="T35" s="62">
        <f>'Spinel-- no zeroes'!J35</f>
        <v>10.701132081026692</v>
      </c>
      <c r="U35" s="62">
        <f>'Spinel-- no zeroes'!K35</f>
        <v>0.11734222222222221</v>
      </c>
      <c r="V35" s="62">
        <f>'Spinel-- no zeroes'!L35</f>
        <v>18.672133333333331</v>
      </c>
      <c r="W35" s="62">
        <f>'Spinel-- no zeroes'!M35</f>
        <v>3.5715555555555561E-3</v>
      </c>
      <c r="X35" s="62">
        <f>'Spinel-- no zeroes'!N35</f>
        <v>0</v>
      </c>
      <c r="Y35" s="62">
        <f>'Spinel-- no zeroes'!O35</f>
        <v>0.30945600000000001</v>
      </c>
      <c r="AA35" s="61">
        <f>LN(('Spinel-- no zeroes'!AK35*Olivine!W35)/(Olivine!U35*'Spinel-- no zeroes'!AM35))</f>
        <v>1.1458074372902647</v>
      </c>
      <c r="AB35" s="44">
        <f>'Spinel-- no zeroes'!AI35/('Spinel-- no zeroes'!AI35+'Spinel-- no zeroes'!AJ35+'Spinel-- no zeroes'!AH35)</f>
        <v>0.18036091204097307</v>
      </c>
      <c r="AC35" s="44">
        <f>'Spinel-- no zeroes'!AJ35/('Spinel-- no zeroes'!AJ35+'Spinel-- no zeroes'!AI35+'Spinel-- no zeroes'!AH35)</f>
        <v>6.9456520876761518E-2</v>
      </c>
      <c r="AE35" s="44">
        <f t="shared" si="2"/>
        <v>1.0068943955367415</v>
      </c>
      <c r="AG35" s="64">
        <f t="shared" si="3"/>
        <v>985.91253837924307</v>
      </c>
    </row>
    <row r="36" spans="1:33" s="44" customFormat="1">
      <c r="A36" s="45">
        <f>'Spinel-- no zeroes'!C36</f>
        <v>0</v>
      </c>
      <c r="B36" s="44">
        <v>1.5</v>
      </c>
      <c r="C36" s="44" t="s">
        <v>94</v>
      </c>
      <c r="D36" s="62">
        <f>Olivine!E36</f>
        <v>40.382300000000001</v>
      </c>
      <c r="E36" s="62">
        <f>Olivine!F36</f>
        <v>0</v>
      </c>
      <c r="F36" s="62">
        <f>Olivine!G36</f>
        <v>5.8463333333333345E-3</v>
      </c>
      <c r="G36" s="62">
        <f>Olivine!H36</f>
        <v>3.0960000000000002E-3</v>
      </c>
      <c r="H36" s="62">
        <f>Olivine!I36</f>
        <v>9.12866</v>
      </c>
      <c r="I36" s="62">
        <f>Olivine!J36</f>
        <v>0.12850600000000001</v>
      </c>
      <c r="J36" s="62">
        <f>Olivine!K36</f>
        <v>50.097166666666659</v>
      </c>
      <c r="K36" s="62">
        <f>Olivine!L36</f>
        <v>3.9156999999999997E-2</v>
      </c>
      <c r="L36" s="62">
        <f>Olivine!M36</f>
        <v>0</v>
      </c>
      <c r="M36" s="62">
        <f>Olivine!N36</f>
        <v>0.39530833333333332</v>
      </c>
      <c r="N36" s="44" t="s">
        <v>95</v>
      </c>
      <c r="O36" s="62">
        <f>'Spinel-- no zeroes'!E36</f>
        <v>6.6401111111111105E-3</v>
      </c>
      <c r="P36" s="62">
        <f>'Spinel-- no zeroes'!F36</f>
        <v>6.4313333333333333E-2</v>
      </c>
      <c r="Q36" s="62">
        <f>'Spinel-- no zeroes'!G36</f>
        <v>50.603477777777783</v>
      </c>
      <c r="R36" s="62">
        <f>'Spinel-- no zeroes'!H36</f>
        <v>17.013966666666665</v>
      </c>
      <c r="S36" s="62">
        <f>'Spinel-- no zeroes'!I36</f>
        <v>1.9814856865571953</v>
      </c>
      <c r="T36" s="62">
        <f>'Spinel-- no zeroes'!J36</f>
        <v>10.701132081026692</v>
      </c>
      <c r="U36" s="62">
        <f>'Spinel-- no zeroes'!K36</f>
        <v>0.11734222222222221</v>
      </c>
      <c r="V36" s="62">
        <f>'Spinel-- no zeroes'!L36</f>
        <v>18.672133333333331</v>
      </c>
      <c r="W36" s="62">
        <f>'Spinel-- no zeroes'!M36</f>
        <v>3.5715555555555561E-3</v>
      </c>
      <c r="X36" s="62">
        <f>'Spinel-- no zeroes'!N36</f>
        <v>0</v>
      </c>
      <c r="Y36" s="62">
        <f>'Spinel-- no zeroes'!O36</f>
        <v>0.30945600000000001</v>
      </c>
      <c r="AA36" s="61">
        <f>LN(('Spinel-- no zeroes'!AK36*Olivine!W36)/(Olivine!U36*'Spinel-- no zeroes'!AM36))</f>
        <v>1.1458074372902647</v>
      </c>
      <c r="AB36" s="44">
        <f>'Spinel-- no zeroes'!AI36/('Spinel-- no zeroes'!AI36+'Spinel-- no zeroes'!AJ36+'Spinel-- no zeroes'!AH36)</f>
        <v>0.18036091204097307</v>
      </c>
      <c r="AC36" s="44">
        <f>'Spinel-- no zeroes'!AJ36/('Spinel-- no zeroes'!AJ36+'Spinel-- no zeroes'!AI36+'Spinel-- no zeroes'!AH36)</f>
        <v>9.2604222498561123E-2</v>
      </c>
      <c r="AE36" s="44">
        <f t="shared" si="2"/>
        <v>0.96059899229314238</v>
      </c>
      <c r="AG36" s="64">
        <f t="shared" si="3"/>
        <v>1022.6056473793291</v>
      </c>
    </row>
    <row r="37" spans="1:33" s="44" customFormat="1">
      <c r="A37" s="45">
        <f>'Spinel-- no zeroes'!C37</f>
        <v>0</v>
      </c>
      <c r="B37" s="44">
        <v>1.5</v>
      </c>
      <c r="C37" s="44" t="s">
        <v>94</v>
      </c>
      <c r="D37" s="62">
        <f>Olivine!E37</f>
        <v>40.382300000000001</v>
      </c>
      <c r="E37" s="62">
        <f>Olivine!F37</f>
        <v>0</v>
      </c>
      <c r="F37" s="62">
        <f>Olivine!G37</f>
        <v>5.8463333333333345E-3</v>
      </c>
      <c r="G37" s="62">
        <f>Olivine!H37</f>
        <v>3.0960000000000002E-3</v>
      </c>
      <c r="H37" s="62">
        <f>Olivine!I37</f>
        <v>9.12866</v>
      </c>
      <c r="I37" s="62">
        <f>Olivine!J37</f>
        <v>0.12850600000000001</v>
      </c>
      <c r="J37" s="62">
        <f>Olivine!K37</f>
        <v>50.097166666666659</v>
      </c>
      <c r="K37" s="62">
        <f>Olivine!L37</f>
        <v>3.9156999999999997E-2</v>
      </c>
      <c r="L37" s="62">
        <f>Olivine!M37</f>
        <v>0</v>
      </c>
      <c r="M37" s="62">
        <f>Olivine!N37</f>
        <v>0.39530833333333332</v>
      </c>
      <c r="N37" s="44" t="s">
        <v>95</v>
      </c>
      <c r="O37" s="62">
        <f>'Spinel-- no zeroes'!E37</f>
        <v>6.6401111111111105E-3</v>
      </c>
      <c r="P37" s="62">
        <f>'Spinel-- no zeroes'!F37</f>
        <v>6.4313333333333333E-2</v>
      </c>
      <c r="Q37" s="62">
        <f>'Spinel-- no zeroes'!G37</f>
        <v>50.603477777777783</v>
      </c>
      <c r="R37" s="62">
        <f>'Spinel-- no zeroes'!H37</f>
        <v>17.013966666666665</v>
      </c>
      <c r="S37" s="62">
        <f>'Spinel-- no zeroes'!I37</f>
        <v>1.9814856865571953</v>
      </c>
      <c r="T37" s="62">
        <f>'Spinel-- no zeroes'!J37</f>
        <v>10.701132081026692</v>
      </c>
      <c r="U37" s="62">
        <f>'Spinel-- no zeroes'!K37</f>
        <v>0.11734222222222221</v>
      </c>
      <c r="V37" s="62">
        <f>'Spinel-- no zeroes'!L37</f>
        <v>18.672133333333331</v>
      </c>
      <c r="W37" s="62">
        <f>'Spinel-- no zeroes'!M37</f>
        <v>3.5715555555555561E-3</v>
      </c>
      <c r="X37" s="62">
        <f>'Spinel-- no zeroes'!N37</f>
        <v>0</v>
      </c>
      <c r="Y37" s="62">
        <f>'Spinel-- no zeroes'!O37</f>
        <v>0.30945600000000001</v>
      </c>
      <c r="AA37" s="61">
        <f>LN(('Spinel-- no zeroes'!AK37*Olivine!W37)/(Olivine!U37*'Spinel-- no zeroes'!AM37))</f>
        <v>1.1458074372902649</v>
      </c>
      <c r="AB37" s="44">
        <f>'Spinel-- no zeroes'!AI37/('Spinel-- no zeroes'!AI37+'Spinel-- no zeroes'!AJ37+'Spinel-- no zeroes'!AH37)</f>
        <v>0.18036091204097304</v>
      </c>
      <c r="AC37" s="44">
        <f>'Spinel-- no zeroes'!AJ37/('Spinel-- no zeroes'!AJ37+'Spinel-- no zeroes'!AI37+'Spinel-- no zeroes'!AH37)</f>
        <v>0.11575192412036071</v>
      </c>
      <c r="AE37" s="44">
        <f t="shared" si="2"/>
        <v>0.91430358904954345</v>
      </c>
      <c r="AG37" s="64">
        <f t="shared" si="3"/>
        <v>1061.5016652803288</v>
      </c>
    </row>
    <row r="38" spans="1:33" s="44" customFormat="1">
      <c r="A38" s="45">
        <f>'Spinel-- no zeroes'!C38</f>
        <v>0</v>
      </c>
      <c r="B38" s="44">
        <v>1.5</v>
      </c>
      <c r="C38" s="44" t="s">
        <v>94</v>
      </c>
      <c r="D38" s="62">
        <f>Olivine!E38</f>
        <v>40.382300000000001</v>
      </c>
      <c r="E38" s="62">
        <f>Olivine!F38</f>
        <v>0</v>
      </c>
      <c r="F38" s="62">
        <f>Olivine!G38</f>
        <v>5.8463333333333345E-3</v>
      </c>
      <c r="G38" s="62">
        <f>Olivine!H38</f>
        <v>3.0960000000000002E-3</v>
      </c>
      <c r="H38" s="62">
        <f>Olivine!I38</f>
        <v>9.12866</v>
      </c>
      <c r="I38" s="62">
        <f>Olivine!J38</f>
        <v>0.12850600000000001</v>
      </c>
      <c r="J38" s="62">
        <f>Olivine!K38</f>
        <v>50.097166666666659</v>
      </c>
      <c r="K38" s="62">
        <f>Olivine!L38</f>
        <v>3.9156999999999997E-2</v>
      </c>
      <c r="L38" s="62">
        <f>Olivine!M38</f>
        <v>0</v>
      </c>
      <c r="M38" s="62">
        <f>Olivine!N38</f>
        <v>0.39530833333333332</v>
      </c>
      <c r="N38" s="44" t="s">
        <v>95</v>
      </c>
      <c r="O38" s="62">
        <f>'Spinel-- no zeroes'!E38</f>
        <v>6.6401111111111105E-3</v>
      </c>
      <c r="P38" s="62">
        <f>'Spinel-- no zeroes'!F38</f>
        <v>6.4313333333333333E-2</v>
      </c>
      <c r="Q38" s="62">
        <f>'Spinel-- no zeroes'!G38</f>
        <v>50.603477777777783</v>
      </c>
      <c r="R38" s="62">
        <f>'Spinel-- no zeroes'!H38</f>
        <v>17.013966666666665</v>
      </c>
      <c r="S38" s="62">
        <f>'Spinel-- no zeroes'!I38</f>
        <v>1.9814856865571953</v>
      </c>
      <c r="T38" s="62">
        <f>'Spinel-- no zeroes'!J38</f>
        <v>10.701132081026692</v>
      </c>
      <c r="U38" s="62">
        <f>'Spinel-- no zeroes'!K38</f>
        <v>0.11734222222222221</v>
      </c>
      <c r="V38" s="62">
        <f>'Spinel-- no zeroes'!L38</f>
        <v>18.672133333333331</v>
      </c>
      <c r="W38" s="62">
        <f>'Spinel-- no zeroes'!M38</f>
        <v>3.5715555555555561E-3</v>
      </c>
      <c r="X38" s="62">
        <f>'Spinel-- no zeroes'!N38</f>
        <v>0</v>
      </c>
      <c r="Y38" s="62">
        <f>'Spinel-- no zeroes'!O38</f>
        <v>0.30945600000000001</v>
      </c>
      <c r="AA38" s="61">
        <f>LN(('Spinel-- no zeroes'!AK38*Olivine!W38)/(Olivine!U38*'Spinel-- no zeroes'!AM38))</f>
        <v>1.1458074372902649</v>
      </c>
      <c r="AB38" s="44">
        <f>'Spinel-- no zeroes'!AI38/('Spinel-- no zeroes'!AI38+'Spinel-- no zeroes'!AJ38+'Spinel-- no zeroes'!AH38)</f>
        <v>0.18036091204097304</v>
      </c>
      <c r="AC38" s="44">
        <f>'Spinel-- no zeroes'!AJ38/('Spinel-- no zeroes'!AJ38+'Spinel-- no zeroes'!AI38+'Spinel-- no zeroes'!AH38)</f>
        <v>0.1388996257421603</v>
      </c>
      <c r="AE38" s="44">
        <f t="shared" si="2"/>
        <v>0.8680081858059443</v>
      </c>
      <c r="AG38" s="64">
        <f t="shared" si="3"/>
        <v>1102.8051122578481</v>
      </c>
    </row>
    <row r="39" spans="1:33" s="44" customFormat="1">
      <c r="A39" s="45">
        <f>'Spinel-- no zeroes'!C39</f>
        <v>0</v>
      </c>
      <c r="B39" s="44">
        <v>1.5</v>
      </c>
      <c r="C39" s="44" t="s">
        <v>94</v>
      </c>
      <c r="D39" s="62">
        <f>Olivine!E39</f>
        <v>40.382300000000001</v>
      </c>
      <c r="E39" s="62">
        <f>Olivine!F39</f>
        <v>0</v>
      </c>
      <c r="F39" s="62">
        <f>Olivine!G39</f>
        <v>5.8463333333333345E-3</v>
      </c>
      <c r="G39" s="62">
        <f>Olivine!H39</f>
        <v>3.0960000000000002E-3</v>
      </c>
      <c r="H39" s="62">
        <f>Olivine!I39</f>
        <v>9.12866</v>
      </c>
      <c r="I39" s="62">
        <f>Olivine!J39</f>
        <v>0.12850600000000001</v>
      </c>
      <c r="J39" s="62">
        <f>Olivine!K39</f>
        <v>50.097166666666659</v>
      </c>
      <c r="K39" s="62">
        <f>Olivine!L39</f>
        <v>3.9156999999999997E-2</v>
      </c>
      <c r="L39" s="62">
        <f>Olivine!M39</f>
        <v>0</v>
      </c>
      <c r="M39" s="62">
        <f>Olivine!N39</f>
        <v>0.39530833333333332</v>
      </c>
      <c r="N39" s="44" t="s">
        <v>95</v>
      </c>
      <c r="O39" s="62">
        <f>'Spinel-- no zeroes'!E39</f>
        <v>6.6401111111111105E-3</v>
      </c>
      <c r="P39" s="62">
        <f>'Spinel-- no zeroes'!F39</f>
        <v>6.4313333333333333E-2</v>
      </c>
      <c r="Q39" s="62">
        <f>'Spinel-- no zeroes'!G39</f>
        <v>50.603477777777783</v>
      </c>
      <c r="R39" s="62">
        <f>'Spinel-- no zeroes'!H39</f>
        <v>17.013966666666665</v>
      </c>
      <c r="S39" s="62">
        <f>'Spinel-- no zeroes'!I39</f>
        <v>1.9814856865571953</v>
      </c>
      <c r="T39" s="62">
        <f>'Spinel-- no zeroes'!J39</f>
        <v>10.701132081026692</v>
      </c>
      <c r="U39" s="62">
        <f>'Spinel-- no zeroes'!K39</f>
        <v>0.11734222222222221</v>
      </c>
      <c r="V39" s="62">
        <f>'Spinel-- no zeroes'!L39</f>
        <v>18.672133333333331</v>
      </c>
      <c r="W39" s="62">
        <f>'Spinel-- no zeroes'!M39</f>
        <v>3.5715555555555561E-3</v>
      </c>
      <c r="X39" s="62">
        <f>'Spinel-- no zeroes'!N39</f>
        <v>0</v>
      </c>
      <c r="Y39" s="62">
        <f>'Spinel-- no zeroes'!O39</f>
        <v>0.30945600000000001</v>
      </c>
      <c r="AA39" s="61">
        <f>LN(('Spinel-- no zeroes'!AK39*Olivine!W39)/(Olivine!U39*'Spinel-- no zeroes'!AM39))</f>
        <v>1.1458074372902649</v>
      </c>
      <c r="AB39" s="44">
        <f>'Spinel-- no zeroes'!AI39/('Spinel-- no zeroes'!AI39+'Spinel-- no zeroes'!AJ39+'Spinel-- no zeroes'!AH39)</f>
        <v>0.18036091204097304</v>
      </c>
      <c r="AC39" s="44">
        <f>'Spinel-- no zeroes'!AJ39/('Spinel-- no zeroes'!AJ39+'Spinel-- no zeroes'!AI39+'Spinel-- no zeroes'!AH39)</f>
        <v>0.16204732736395991</v>
      </c>
      <c r="AE39" s="44">
        <f t="shared" si="2"/>
        <v>0.82171278256234515</v>
      </c>
      <c r="AG39" s="64">
        <f t="shared" si="3"/>
        <v>1146.7466341297891</v>
      </c>
    </row>
    <row r="40" spans="1:33" s="44" customFormat="1">
      <c r="A40" s="45">
        <f>'Spinel-- no zeroes'!C40</f>
        <v>0</v>
      </c>
      <c r="B40" s="44">
        <v>1.5</v>
      </c>
      <c r="C40" s="44" t="s">
        <v>94</v>
      </c>
      <c r="D40" s="62">
        <f>Olivine!E40</f>
        <v>40.382300000000001</v>
      </c>
      <c r="E40" s="62">
        <f>Olivine!F40</f>
        <v>0</v>
      </c>
      <c r="F40" s="62">
        <f>Olivine!G40</f>
        <v>5.8463333333333345E-3</v>
      </c>
      <c r="G40" s="62">
        <f>Olivine!H40</f>
        <v>3.0960000000000002E-3</v>
      </c>
      <c r="H40" s="62">
        <f>Olivine!I40</f>
        <v>9.12866</v>
      </c>
      <c r="I40" s="62">
        <f>Olivine!J40</f>
        <v>0.12850600000000001</v>
      </c>
      <c r="J40" s="62">
        <f>Olivine!K40</f>
        <v>50.097166666666659</v>
      </c>
      <c r="K40" s="62">
        <f>Olivine!L40</f>
        <v>3.9156999999999997E-2</v>
      </c>
      <c r="L40" s="62">
        <f>Olivine!M40</f>
        <v>0</v>
      </c>
      <c r="M40" s="62">
        <f>Olivine!N40</f>
        <v>0.39530833333333332</v>
      </c>
      <c r="N40" s="44" t="s">
        <v>95</v>
      </c>
      <c r="O40" s="62">
        <f>'Spinel-- no zeroes'!E40</f>
        <v>6.6401111111111105E-3</v>
      </c>
      <c r="P40" s="62">
        <f>'Spinel-- no zeroes'!F40</f>
        <v>6.4313333333333333E-2</v>
      </c>
      <c r="Q40" s="62">
        <f>'Spinel-- no zeroes'!G40</f>
        <v>50.603477777777783</v>
      </c>
      <c r="R40" s="62">
        <f>'Spinel-- no zeroes'!H40</f>
        <v>17.013966666666665</v>
      </c>
      <c r="S40" s="62">
        <f>'Spinel-- no zeroes'!I40</f>
        <v>1.9814856865571953</v>
      </c>
      <c r="T40" s="62">
        <f>'Spinel-- no zeroes'!J40</f>
        <v>10.701132081026692</v>
      </c>
      <c r="U40" s="62">
        <f>'Spinel-- no zeroes'!K40</f>
        <v>0.11734222222222221</v>
      </c>
      <c r="V40" s="62">
        <f>'Spinel-- no zeroes'!L40</f>
        <v>18.672133333333331</v>
      </c>
      <c r="W40" s="62">
        <f>'Spinel-- no zeroes'!M40</f>
        <v>3.5715555555555561E-3</v>
      </c>
      <c r="X40" s="62">
        <f>'Spinel-- no zeroes'!N40</f>
        <v>0</v>
      </c>
      <c r="Y40" s="62">
        <f>'Spinel-- no zeroes'!O40</f>
        <v>0.30945600000000001</v>
      </c>
      <c r="AA40" s="61">
        <f>LN(('Spinel-- no zeroes'!AK40*Olivine!W40)/(Olivine!U40*'Spinel-- no zeroes'!AM40))</f>
        <v>1.1458074372902649</v>
      </c>
      <c r="AB40" s="44">
        <f>'Spinel-- no zeroes'!AI40/('Spinel-- no zeroes'!AI40+'Spinel-- no zeroes'!AJ40+'Spinel-- no zeroes'!AH40)</f>
        <v>0.18036091204097304</v>
      </c>
      <c r="AC40" s="44">
        <f>'Spinel-- no zeroes'!AJ40/('Spinel-- no zeroes'!AJ40+'Spinel-- no zeroes'!AI40+'Spinel-- no zeroes'!AH40)</f>
        <v>0.18519502898575951</v>
      </c>
      <c r="AE40" s="44">
        <f t="shared" si="2"/>
        <v>0.77541737931874588</v>
      </c>
      <c r="AG40" s="64">
        <f t="shared" si="3"/>
        <v>1193.587311623503</v>
      </c>
    </row>
    <row r="41" spans="1:33" s="44" customFormat="1">
      <c r="A41" s="45">
        <f>'Spinel-- no zeroes'!C41</f>
        <v>0</v>
      </c>
      <c r="B41" s="44">
        <v>1.5</v>
      </c>
      <c r="C41" s="44" t="s">
        <v>94</v>
      </c>
      <c r="D41" s="62">
        <f>Olivine!E41</f>
        <v>40.382300000000001</v>
      </c>
      <c r="E41" s="62">
        <f>Olivine!F41</f>
        <v>0</v>
      </c>
      <c r="F41" s="62">
        <f>Olivine!G41</f>
        <v>5.8463333333333345E-3</v>
      </c>
      <c r="G41" s="62">
        <f>Olivine!H41</f>
        <v>3.0960000000000002E-3</v>
      </c>
      <c r="H41" s="62">
        <f>Olivine!I41</f>
        <v>9.12866</v>
      </c>
      <c r="I41" s="62">
        <f>Olivine!J41</f>
        <v>0.12850600000000001</v>
      </c>
      <c r="J41" s="62">
        <f>Olivine!K41</f>
        <v>50.097166666666659</v>
      </c>
      <c r="K41" s="62">
        <f>Olivine!L41</f>
        <v>3.9156999999999997E-2</v>
      </c>
      <c r="L41" s="62">
        <f>Olivine!M41</f>
        <v>0</v>
      </c>
      <c r="M41" s="62">
        <f>Olivine!N41</f>
        <v>0.39530833333333332</v>
      </c>
      <c r="N41" s="44" t="s">
        <v>95</v>
      </c>
      <c r="O41" s="62">
        <f>'Spinel-- no zeroes'!E41</f>
        <v>6.6401111111111105E-3</v>
      </c>
      <c r="P41" s="62">
        <f>'Spinel-- no zeroes'!F41</f>
        <v>6.4313333333333333E-2</v>
      </c>
      <c r="Q41" s="62">
        <f>'Spinel-- no zeroes'!G41</f>
        <v>50.603477777777783</v>
      </c>
      <c r="R41" s="62">
        <f>'Spinel-- no zeroes'!H41</f>
        <v>17.013966666666665</v>
      </c>
      <c r="S41" s="62">
        <f>'Spinel-- no zeroes'!I41</f>
        <v>1.9814856865571953</v>
      </c>
      <c r="T41" s="62">
        <f>'Spinel-- no zeroes'!J41</f>
        <v>10.701132081026692</v>
      </c>
      <c r="U41" s="62">
        <f>'Spinel-- no zeroes'!K41</f>
        <v>0.11734222222222221</v>
      </c>
      <c r="V41" s="62">
        <f>'Spinel-- no zeroes'!L41</f>
        <v>18.672133333333331</v>
      </c>
      <c r="W41" s="62">
        <f>'Spinel-- no zeroes'!M41</f>
        <v>3.5715555555555561E-3</v>
      </c>
      <c r="X41" s="62">
        <f>'Spinel-- no zeroes'!N41</f>
        <v>0</v>
      </c>
      <c r="Y41" s="62">
        <f>'Spinel-- no zeroes'!O41</f>
        <v>0.30945600000000001</v>
      </c>
      <c r="AA41" s="61">
        <f>LN(('Spinel-- no zeroes'!AK41*Olivine!W41)/(Olivine!U41*'Spinel-- no zeroes'!AM41))</f>
        <v>1.1458074372902649</v>
      </c>
      <c r="AB41" s="44">
        <f>'Spinel-- no zeroes'!AI41/('Spinel-- no zeroes'!AI41+'Spinel-- no zeroes'!AJ41+'Spinel-- no zeroes'!AH41)</f>
        <v>0.18036091204097304</v>
      </c>
      <c r="AC41" s="44">
        <f>'Spinel-- no zeroes'!AJ41/('Spinel-- no zeroes'!AJ41+'Spinel-- no zeroes'!AI41+'Spinel-- no zeroes'!AH41)</f>
        <v>0.20834273060755909</v>
      </c>
      <c r="AE41" s="44">
        <f t="shared" si="2"/>
        <v>0.72912197607514673</v>
      </c>
      <c r="AG41" s="64">
        <f t="shared" si="3"/>
        <v>1243.6238516856224</v>
      </c>
    </row>
    <row r="42" spans="1:33" s="44" customFormat="1">
      <c r="A42" s="45">
        <f>'Spinel-- no zeroes'!C42</f>
        <v>0</v>
      </c>
      <c r="B42" s="44">
        <v>1.5</v>
      </c>
      <c r="C42" s="44" t="s">
        <v>94</v>
      </c>
      <c r="D42" s="62">
        <f>Olivine!E42</f>
        <v>40.382300000000001</v>
      </c>
      <c r="E42" s="62">
        <f>Olivine!F42</f>
        <v>0</v>
      </c>
      <c r="F42" s="62">
        <f>Olivine!G42</f>
        <v>5.8463333333333345E-3</v>
      </c>
      <c r="G42" s="62">
        <f>Olivine!H42</f>
        <v>3.0960000000000002E-3</v>
      </c>
      <c r="H42" s="62">
        <f>Olivine!I42</f>
        <v>9.12866</v>
      </c>
      <c r="I42" s="62">
        <f>Olivine!J42</f>
        <v>0.12850600000000001</v>
      </c>
      <c r="J42" s="62">
        <f>Olivine!K42</f>
        <v>50.097166666666659</v>
      </c>
      <c r="K42" s="62">
        <f>Olivine!L42</f>
        <v>3.9156999999999997E-2</v>
      </c>
      <c r="L42" s="62">
        <f>Olivine!M42</f>
        <v>0</v>
      </c>
      <c r="M42" s="62">
        <f>Olivine!N42</f>
        <v>0.39530833333333332</v>
      </c>
      <c r="N42" s="44" t="s">
        <v>95</v>
      </c>
      <c r="O42" s="62">
        <f>'Spinel-- no zeroes'!E42</f>
        <v>6.6401111111111105E-3</v>
      </c>
      <c r="P42" s="62">
        <f>'Spinel-- no zeroes'!F42</f>
        <v>6.4313333333333333E-2</v>
      </c>
      <c r="Q42" s="62">
        <f>'Spinel-- no zeroes'!G42</f>
        <v>50.603477777777783</v>
      </c>
      <c r="R42" s="62">
        <f>'Spinel-- no zeroes'!H42</f>
        <v>17.013966666666665</v>
      </c>
      <c r="S42" s="62">
        <f>'Spinel-- no zeroes'!I42</f>
        <v>1.9814856865571953</v>
      </c>
      <c r="T42" s="62">
        <f>'Spinel-- no zeroes'!J42</f>
        <v>10.701132081026692</v>
      </c>
      <c r="U42" s="62">
        <f>'Spinel-- no zeroes'!K42</f>
        <v>0.11734222222222221</v>
      </c>
      <c r="V42" s="62">
        <f>'Spinel-- no zeroes'!L42</f>
        <v>18.672133333333331</v>
      </c>
      <c r="W42" s="62">
        <f>'Spinel-- no zeroes'!M42</f>
        <v>3.5715555555555561E-3</v>
      </c>
      <c r="X42" s="62">
        <f>'Spinel-- no zeroes'!N42</f>
        <v>0</v>
      </c>
      <c r="Y42" s="62">
        <f>'Spinel-- no zeroes'!O42</f>
        <v>0.30945600000000001</v>
      </c>
      <c r="AA42" s="61">
        <f>LN(('Spinel-- no zeroes'!AK42*Olivine!W42)/(Olivine!U42*'Spinel-- no zeroes'!AM42))</f>
        <v>1.1458074372902649</v>
      </c>
      <c r="AB42" s="44">
        <f>'Spinel-- no zeroes'!AI42/('Spinel-- no zeroes'!AI42+'Spinel-- no zeroes'!AJ42+'Spinel-- no zeroes'!AH42)</f>
        <v>0.18036091204097301</v>
      </c>
      <c r="AC42" s="44">
        <f>'Spinel-- no zeroes'!AJ42/('Spinel-- no zeroes'!AJ42+'Spinel-- no zeroes'!AI42+'Spinel-- no zeroes'!AH42)</f>
        <v>0.23149043222935867</v>
      </c>
      <c r="AE42" s="44">
        <f t="shared" si="2"/>
        <v>0.68282657283154757</v>
      </c>
      <c r="AG42" s="64">
        <f t="shared" si="3"/>
        <v>1297.1948789050102</v>
      </c>
    </row>
    <row r="43" spans="1:33" s="44" customFormat="1">
      <c r="A43" s="45">
        <f>'Spinel-- no zeroes'!C43</f>
        <v>0</v>
      </c>
      <c r="B43" s="44">
        <v>1.5</v>
      </c>
      <c r="C43" s="44" t="s">
        <v>94</v>
      </c>
      <c r="D43" s="62">
        <f>Olivine!E43</f>
        <v>40.382300000000001</v>
      </c>
      <c r="E43" s="62">
        <f>Olivine!F43</f>
        <v>0</v>
      </c>
      <c r="F43" s="62">
        <f>Olivine!G43</f>
        <v>5.8463333333333345E-3</v>
      </c>
      <c r="G43" s="62">
        <f>Olivine!H43</f>
        <v>3.0960000000000002E-3</v>
      </c>
      <c r="H43" s="62">
        <f>Olivine!I43</f>
        <v>9.12866</v>
      </c>
      <c r="I43" s="62">
        <f>Olivine!J43</f>
        <v>0.12850600000000001</v>
      </c>
      <c r="J43" s="62">
        <f>Olivine!K43</f>
        <v>50.097166666666659</v>
      </c>
      <c r="K43" s="62">
        <f>Olivine!L43</f>
        <v>3.9156999999999997E-2</v>
      </c>
      <c r="L43" s="62">
        <f>Olivine!M43</f>
        <v>0</v>
      </c>
      <c r="M43" s="62">
        <f>Olivine!N43</f>
        <v>0.39530833333333332</v>
      </c>
      <c r="N43" s="44" t="s">
        <v>95</v>
      </c>
      <c r="O43" s="62">
        <f>'Spinel-- no zeroes'!E43</f>
        <v>6.6401111111111105E-3</v>
      </c>
      <c r="P43" s="62">
        <f>'Spinel-- no zeroes'!F43</f>
        <v>6.4313333333333333E-2</v>
      </c>
      <c r="Q43" s="62">
        <f>'Spinel-- no zeroes'!G43</f>
        <v>50.603477777777783</v>
      </c>
      <c r="R43" s="62">
        <f>'Spinel-- no zeroes'!H43</f>
        <v>17.013966666666665</v>
      </c>
      <c r="S43" s="62">
        <f>'Spinel-- no zeroes'!I43</f>
        <v>1.9814856865571953</v>
      </c>
      <c r="T43" s="62">
        <f>'Spinel-- no zeroes'!J43</f>
        <v>10.701132081026692</v>
      </c>
      <c r="U43" s="62">
        <f>'Spinel-- no zeroes'!K43</f>
        <v>0.11734222222222221</v>
      </c>
      <c r="V43" s="62">
        <f>'Spinel-- no zeroes'!L43</f>
        <v>18.672133333333331</v>
      </c>
      <c r="W43" s="62">
        <f>'Spinel-- no zeroes'!M43</f>
        <v>3.5715555555555561E-3</v>
      </c>
      <c r="X43" s="62">
        <f>'Spinel-- no zeroes'!N43</f>
        <v>0</v>
      </c>
      <c r="Y43" s="62">
        <f>'Spinel-- no zeroes'!O43</f>
        <v>0.30945600000000001</v>
      </c>
      <c r="AA43" s="61">
        <f>LN(('Spinel-- no zeroes'!AK43*Olivine!W43)/(Olivine!U43*'Spinel-- no zeroes'!AM43))</f>
        <v>1.1458074372902649</v>
      </c>
      <c r="AB43" s="44">
        <f>'Spinel-- no zeroes'!AI43/('Spinel-- no zeroes'!AI43+'Spinel-- no zeroes'!AJ43+'Spinel-- no zeroes'!AH43)</f>
        <v>0.18036091204097301</v>
      </c>
      <c r="AC43" s="44">
        <f>'Spinel-- no zeroes'!AJ43/('Spinel-- no zeroes'!AJ43+'Spinel-- no zeroes'!AI43+'Spinel-- no zeroes'!AH43)</f>
        <v>0.2546381338511583</v>
      </c>
      <c r="AE43" s="44">
        <f t="shared" si="2"/>
        <v>0.63653116958794831</v>
      </c>
      <c r="AG43" s="64">
        <f t="shared" si="3"/>
        <v>1354.6886089914969</v>
      </c>
    </row>
    <row r="44" spans="1:33" s="44" customFormat="1">
      <c r="A44" s="45">
        <f>'Spinel-- no zeroes'!C44</f>
        <v>0</v>
      </c>
      <c r="B44" s="44">
        <v>1.5</v>
      </c>
      <c r="C44" s="44" t="s">
        <v>94</v>
      </c>
      <c r="D44" s="62">
        <f>Olivine!E44</f>
        <v>40.382300000000001</v>
      </c>
      <c r="E44" s="62">
        <f>Olivine!F44</f>
        <v>0</v>
      </c>
      <c r="F44" s="62">
        <f>Olivine!G44</f>
        <v>5.8463333333333345E-3</v>
      </c>
      <c r="G44" s="62">
        <f>Olivine!H44</f>
        <v>3.0960000000000002E-3</v>
      </c>
      <c r="H44" s="62">
        <f>Olivine!I44</f>
        <v>9.12866</v>
      </c>
      <c r="I44" s="62">
        <f>Olivine!J44</f>
        <v>0.12850600000000001</v>
      </c>
      <c r="J44" s="62">
        <f>Olivine!K44</f>
        <v>50.097166666666659</v>
      </c>
      <c r="K44" s="62">
        <f>Olivine!L44</f>
        <v>3.9156999999999997E-2</v>
      </c>
      <c r="L44" s="62">
        <f>Olivine!M44</f>
        <v>0</v>
      </c>
      <c r="M44" s="62">
        <f>Olivine!N44</f>
        <v>0.39530833333333332</v>
      </c>
      <c r="N44" s="44" t="s">
        <v>95</v>
      </c>
      <c r="O44" s="62">
        <f>'Spinel-- no zeroes'!E44</f>
        <v>6.6401111111111105E-3</v>
      </c>
      <c r="P44" s="62">
        <f>'Spinel-- no zeroes'!F44</f>
        <v>6.4313333333333333E-2</v>
      </c>
      <c r="Q44" s="62">
        <f>'Spinel-- no zeroes'!G44</f>
        <v>50.603477777777783</v>
      </c>
      <c r="R44" s="62">
        <f>'Spinel-- no zeroes'!H44</f>
        <v>17.013966666666665</v>
      </c>
      <c r="S44" s="62">
        <f>'Spinel-- no zeroes'!I44</f>
        <v>1.9814856865571953</v>
      </c>
      <c r="T44" s="62">
        <f>'Spinel-- no zeroes'!J44</f>
        <v>10.701132081026692</v>
      </c>
      <c r="U44" s="62">
        <f>'Spinel-- no zeroes'!K44</f>
        <v>0.11734222222222221</v>
      </c>
      <c r="V44" s="62">
        <f>'Spinel-- no zeroes'!L44</f>
        <v>18.672133333333331</v>
      </c>
      <c r="W44" s="62">
        <f>'Spinel-- no zeroes'!M44</f>
        <v>3.5715555555555561E-3</v>
      </c>
      <c r="X44" s="62">
        <f>'Spinel-- no zeroes'!N44</f>
        <v>0</v>
      </c>
      <c r="Y44" s="62">
        <f>'Spinel-- no zeroes'!O44</f>
        <v>0.30945600000000001</v>
      </c>
      <c r="AA44" s="61">
        <f>LN(('Spinel-- no zeroes'!AK44*Olivine!W44)/(Olivine!U44*'Spinel-- no zeroes'!AM44))</f>
        <v>1.1458074372902647</v>
      </c>
      <c r="AB44" s="44">
        <f>'Spinel-- no zeroes'!AI44/('Spinel-- no zeroes'!AI44+'Spinel-- no zeroes'!AJ44+'Spinel-- no zeroes'!AH44)</f>
        <v>0.18036091204097307</v>
      </c>
      <c r="AC44" s="44">
        <f>'Spinel-- no zeroes'!AJ44/('Spinel-- no zeroes'!AJ44+'Spinel-- no zeroes'!AI44+'Spinel-- no zeroes'!AH44)</f>
        <v>0.27778583547295799</v>
      </c>
      <c r="AE44" s="44">
        <f t="shared" si="2"/>
        <v>0.59023576634434871</v>
      </c>
      <c r="AG44" s="64">
        <f t="shared" si="3"/>
        <v>1416.5522719716987</v>
      </c>
    </row>
    <row r="45" spans="1:33" s="44" customFormat="1">
      <c r="A45" s="45"/>
      <c r="D45" s="62"/>
      <c r="E45" s="62"/>
      <c r="F45" s="62"/>
      <c r="G45" s="62"/>
      <c r="H45" s="62"/>
      <c r="I45" s="62"/>
      <c r="J45" s="62"/>
      <c r="K45" s="62"/>
      <c r="L45" s="62"/>
      <c r="M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AA45" s="61"/>
      <c r="AG45" s="64"/>
    </row>
    <row r="46" spans="1:33" s="44" customFormat="1">
      <c r="A46" s="45"/>
      <c r="D46" s="62"/>
      <c r="E46" s="62"/>
      <c r="F46" s="62"/>
      <c r="G46" s="62"/>
      <c r="H46" s="62"/>
      <c r="I46" s="62"/>
      <c r="J46" s="62"/>
      <c r="K46" s="62"/>
      <c r="L46" s="62"/>
      <c r="M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AA46" s="61"/>
      <c r="AG46" s="64"/>
    </row>
    <row r="47" spans="1:33" s="44" customFormat="1">
      <c r="A47" s="45">
        <f>'Spinel-- no zeroes'!C47</f>
        <v>0</v>
      </c>
      <c r="B47" s="44">
        <v>1.5</v>
      </c>
      <c r="C47" s="44" t="s">
        <v>94</v>
      </c>
      <c r="D47" s="62">
        <f>Olivine!E47</f>
        <v>40.382300000000001</v>
      </c>
      <c r="E47" s="62">
        <f>Olivine!F47</f>
        <v>0</v>
      </c>
      <c r="F47" s="62">
        <f>Olivine!G47</f>
        <v>5.8463333333333345E-3</v>
      </c>
      <c r="G47" s="62">
        <f>Olivine!H47</f>
        <v>3.0960000000000002E-3</v>
      </c>
      <c r="H47" s="62">
        <f>Olivine!I47</f>
        <v>9.12866</v>
      </c>
      <c r="I47" s="62">
        <f>Olivine!J47</f>
        <v>0.12850600000000001</v>
      </c>
      <c r="J47" s="62">
        <f>Olivine!K47</f>
        <v>50.097166666666659</v>
      </c>
      <c r="K47" s="62">
        <f>Olivine!L47</f>
        <v>3.9156999999999997E-2</v>
      </c>
      <c r="L47" s="62">
        <f>Olivine!M47</f>
        <v>0</v>
      </c>
      <c r="M47" s="62">
        <f>Olivine!N47</f>
        <v>0.39530833333333332</v>
      </c>
      <c r="N47" s="44" t="s">
        <v>95</v>
      </c>
      <c r="O47" s="62">
        <f>'Spinel-- no zeroes'!E47</f>
        <v>6.6401111111111105E-3</v>
      </c>
      <c r="P47" s="62">
        <f>'Spinel-- no zeroes'!F47</f>
        <v>6.4313333333333333E-2</v>
      </c>
      <c r="Q47" s="62">
        <f>'Spinel-- no zeroes'!G47</f>
        <v>50.603477777777783</v>
      </c>
      <c r="R47" s="62">
        <f>'Spinel-- no zeroes'!H47</f>
        <v>17.013966666666665</v>
      </c>
      <c r="S47" s="62">
        <f>'Spinel-- no zeroes'!I47</f>
        <v>1.9814856865571953</v>
      </c>
      <c r="T47" s="62">
        <f>'Spinel-- no zeroes'!J47</f>
        <v>10.701132081026692</v>
      </c>
      <c r="U47" s="62">
        <f>'Spinel-- no zeroes'!K47</f>
        <v>0.11734222222222221</v>
      </c>
      <c r="V47" s="62">
        <f>'Spinel-- no zeroes'!L47</f>
        <v>18.672133333333331</v>
      </c>
      <c r="W47" s="62">
        <f>'Spinel-- no zeroes'!M47</f>
        <v>3.5715555555555561E-3</v>
      </c>
      <c r="X47" s="62">
        <f>'Spinel-- no zeroes'!N47</f>
        <v>0</v>
      </c>
      <c r="Y47" s="62">
        <f>'Spinel-- no zeroes'!O47</f>
        <v>0.30945600000000001</v>
      </c>
      <c r="AA47" s="61">
        <f>LN(('Spinel-- no zeroes'!AK47*Olivine!W47)/(Olivine!U47*'Spinel-- no zeroes'!AM47))</f>
        <v>1.103542666904008</v>
      </c>
      <c r="AB47" s="44">
        <f>'Spinel-- no zeroes'!AI47/('Spinel-- no zeroes'!AI47+'Spinel-- no zeroes'!AJ47+'Spinel-- no zeroes'!AH47)</f>
        <v>0.17473036941163567</v>
      </c>
      <c r="AC47" s="44">
        <f>'Spinel-- no zeroes'!AJ47/('Spinel-- no zeroes'!AJ47+'Spinel-- no zeroes'!AI47+'Spinel-- no zeroes'!AH47)</f>
        <v>1.9368279830039029E-2</v>
      </c>
      <c r="AE47" s="44">
        <f t="shared" si="2"/>
        <v>1.0648061072439299</v>
      </c>
      <c r="AG47" s="64">
        <f t="shared" si="3"/>
        <v>934.43916467524343</v>
      </c>
    </row>
    <row r="48" spans="1:33" s="44" customFormat="1">
      <c r="A48" s="45">
        <f>'Spinel-- no zeroes'!C48</f>
        <v>0</v>
      </c>
      <c r="B48" s="44">
        <v>1.5</v>
      </c>
      <c r="C48" s="44" t="s">
        <v>94</v>
      </c>
      <c r="D48" s="62">
        <f>Olivine!E48</f>
        <v>40.382300000000001</v>
      </c>
      <c r="E48" s="62">
        <f>Olivine!F48</f>
        <v>0</v>
      </c>
      <c r="F48" s="62">
        <f>Olivine!G48</f>
        <v>5.8463333333333345E-3</v>
      </c>
      <c r="G48" s="62">
        <f>Olivine!H48</f>
        <v>3.0960000000000002E-3</v>
      </c>
      <c r="H48" s="62">
        <f>Olivine!I48</f>
        <v>9.12866</v>
      </c>
      <c r="I48" s="62">
        <f>Olivine!J48</f>
        <v>0.12850600000000001</v>
      </c>
      <c r="J48" s="62">
        <f>Olivine!K48</f>
        <v>50.097166666666659</v>
      </c>
      <c r="K48" s="62">
        <f>Olivine!L48</f>
        <v>3.9156999999999997E-2</v>
      </c>
      <c r="L48" s="62">
        <f>Olivine!M48</f>
        <v>0</v>
      </c>
      <c r="M48" s="62">
        <f>Olivine!N48</f>
        <v>0.39530833333333332</v>
      </c>
      <c r="N48" s="44" t="s">
        <v>95</v>
      </c>
      <c r="O48" s="62">
        <f>'Spinel-- no zeroes'!E48</f>
        <v>6.6401111111111105E-3</v>
      </c>
      <c r="P48" s="62">
        <f>'Spinel-- no zeroes'!F48</f>
        <v>6.4313333333333333E-2</v>
      </c>
      <c r="Q48" s="62">
        <f>'Spinel-- no zeroes'!G48</f>
        <v>50.603477777777783</v>
      </c>
      <c r="R48" s="62">
        <f>'Spinel-- no zeroes'!H48</f>
        <v>17.013966666666665</v>
      </c>
      <c r="S48" s="62">
        <f>'Spinel-- no zeroes'!I48</f>
        <v>1.9814856865571953</v>
      </c>
      <c r="T48" s="62">
        <f>'Spinel-- no zeroes'!J48</f>
        <v>10.701132081026692</v>
      </c>
      <c r="U48" s="62">
        <f>'Spinel-- no zeroes'!K48</f>
        <v>0.11734222222222221</v>
      </c>
      <c r="V48" s="62">
        <f>'Spinel-- no zeroes'!L48</f>
        <v>18.672133333333331</v>
      </c>
      <c r="W48" s="62">
        <f>'Spinel-- no zeroes'!M48</f>
        <v>3.5715555555555561E-3</v>
      </c>
      <c r="X48" s="62">
        <f>'Spinel-- no zeroes'!N48</f>
        <v>0</v>
      </c>
      <c r="Y48" s="62">
        <f>'Spinel-- no zeroes'!O48</f>
        <v>0.30945600000000001</v>
      </c>
      <c r="AA48" s="61">
        <f>LN(('Spinel-- no zeroes'!AK48*Olivine!W48)/(Olivine!U48*'Spinel-- no zeroes'!AM48))</f>
        <v>1.1458074372902647</v>
      </c>
      <c r="AB48" s="44">
        <f>'Spinel-- no zeroes'!AI48/('Spinel-- no zeroes'!AI48+'Spinel-- no zeroes'!AJ48+'Spinel-- no zeroes'!AH48)</f>
        <v>0.18036091204097307</v>
      </c>
      <c r="AC48" s="44">
        <f>'Spinel-- no zeroes'!AJ48/('Spinel-- no zeroes'!AJ48+'Spinel-- no zeroes'!AI48+'Spinel-- no zeroes'!AH48)</f>
        <v>1.9992406738298794E-2</v>
      </c>
      <c r="AE48" s="44">
        <f t="shared" si="2"/>
        <v>1.105822623813667</v>
      </c>
      <c r="AG48" s="64">
        <f t="shared" si="3"/>
        <v>914.0710456802318</v>
      </c>
    </row>
    <row r="49" spans="1:33" s="44" customFormat="1">
      <c r="A49" s="45">
        <f>'Spinel-- no zeroes'!C49</f>
        <v>0</v>
      </c>
      <c r="B49" s="44">
        <v>1.5</v>
      </c>
      <c r="C49" s="44" t="s">
        <v>94</v>
      </c>
      <c r="D49" s="62">
        <f>Olivine!E49</f>
        <v>40.382300000000001</v>
      </c>
      <c r="E49" s="62">
        <f>Olivine!F49</f>
        <v>0</v>
      </c>
      <c r="F49" s="62">
        <f>Olivine!G49</f>
        <v>5.8463333333333345E-3</v>
      </c>
      <c r="G49" s="62">
        <f>Olivine!H49</f>
        <v>3.0960000000000002E-3</v>
      </c>
      <c r="H49" s="62">
        <f>Olivine!I49</f>
        <v>9.12866</v>
      </c>
      <c r="I49" s="62">
        <f>Olivine!J49</f>
        <v>0.12850600000000001</v>
      </c>
      <c r="J49" s="62">
        <f>Olivine!K49</f>
        <v>50.097166666666659</v>
      </c>
      <c r="K49" s="62">
        <f>Olivine!L49</f>
        <v>3.9156999999999997E-2</v>
      </c>
      <c r="L49" s="62">
        <f>Olivine!M49</f>
        <v>0</v>
      </c>
      <c r="M49" s="62">
        <f>Olivine!N49</f>
        <v>0.39530833333333332</v>
      </c>
      <c r="N49" s="44" t="s">
        <v>95</v>
      </c>
      <c r="O49" s="62">
        <f>'Spinel-- no zeroes'!E49</f>
        <v>6.6401111111111105E-3</v>
      </c>
      <c r="P49" s="62">
        <f>'Spinel-- no zeroes'!F49</f>
        <v>6.4313333333333333E-2</v>
      </c>
      <c r="Q49" s="62">
        <f>'Spinel-- no zeroes'!G49</f>
        <v>50.603477777777783</v>
      </c>
      <c r="R49" s="62">
        <f>'Spinel-- no zeroes'!H49</f>
        <v>17.013966666666665</v>
      </c>
      <c r="S49" s="62">
        <f>'Spinel-- no zeroes'!I49</f>
        <v>1.9814856865571953</v>
      </c>
      <c r="T49" s="62">
        <f>'Spinel-- no zeroes'!J49</f>
        <v>10.701132081026692</v>
      </c>
      <c r="U49" s="62">
        <f>'Spinel-- no zeroes'!K49</f>
        <v>0.11734222222222221</v>
      </c>
      <c r="V49" s="62">
        <f>'Spinel-- no zeroes'!L49</f>
        <v>18.672133333333331</v>
      </c>
      <c r="W49" s="62">
        <f>'Spinel-- no zeroes'!M49</f>
        <v>3.5715555555555561E-3</v>
      </c>
      <c r="X49" s="62">
        <f>'Spinel-- no zeroes'!N49</f>
        <v>0</v>
      </c>
      <c r="Y49" s="62">
        <f>'Spinel-- no zeroes'!O49</f>
        <v>0.30945600000000001</v>
      </c>
      <c r="AA49" s="61">
        <f>LN(('Spinel-- no zeroes'!AK49*Olivine!W49)/(Olivine!U49*'Spinel-- no zeroes'!AM49))</f>
        <v>1.1458074372902647</v>
      </c>
      <c r="AB49" s="44">
        <f>'Spinel-- no zeroes'!AI49/('Spinel-- no zeroes'!AI49+'Spinel-- no zeroes'!AJ49+'Spinel-- no zeroes'!AH49)</f>
        <v>0.18036091204097307</v>
      </c>
      <c r="AC49" s="44">
        <f>'Spinel-- no zeroes'!AJ49/('Spinel-- no zeroes'!AJ49+'Spinel-- no zeroes'!AI49+'Spinel-- no zeroes'!AH49)</f>
        <v>1.9992406738298794E-2</v>
      </c>
      <c r="AE49" s="44">
        <f t="shared" si="2"/>
        <v>1.105822623813667</v>
      </c>
      <c r="AG49" s="64">
        <f t="shared" si="3"/>
        <v>914.0710456802318</v>
      </c>
    </row>
    <row r="50" spans="1:33" s="44" customFormat="1">
      <c r="A50" s="45">
        <f>'Spinel-- no zeroes'!C50</f>
        <v>0</v>
      </c>
      <c r="B50" s="44">
        <v>1.5</v>
      </c>
      <c r="C50" s="44" t="s">
        <v>94</v>
      </c>
      <c r="D50" s="62">
        <f>Olivine!E50</f>
        <v>40.382300000000001</v>
      </c>
      <c r="E50" s="62">
        <f>Olivine!F50</f>
        <v>0</v>
      </c>
      <c r="F50" s="62">
        <f>Olivine!G50</f>
        <v>5.8463333333333345E-3</v>
      </c>
      <c r="G50" s="62">
        <f>Olivine!H50</f>
        <v>3.0960000000000002E-3</v>
      </c>
      <c r="H50" s="62">
        <f>Olivine!I50</f>
        <v>9.12866</v>
      </c>
      <c r="I50" s="62">
        <f>Olivine!J50</f>
        <v>0.12850600000000001</v>
      </c>
      <c r="J50" s="62">
        <f>Olivine!K50</f>
        <v>50.097166666666659</v>
      </c>
      <c r="K50" s="62">
        <f>Olivine!L50</f>
        <v>3.9156999999999997E-2</v>
      </c>
      <c r="L50" s="62">
        <f>Olivine!M50</f>
        <v>0</v>
      </c>
      <c r="M50" s="62">
        <f>Olivine!N50</f>
        <v>0.39530833333333332</v>
      </c>
      <c r="N50" s="44" t="s">
        <v>95</v>
      </c>
      <c r="O50" s="62">
        <f>'Spinel-- no zeroes'!E50</f>
        <v>6.6401111111111105E-3</v>
      </c>
      <c r="P50" s="62">
        <f>'Spinel-- no zeroes'!F50</f>
        <v>6.4313333333333333E-2</v>
      </c>
      <c r="Q50" s="62">
        <f>'Spinel-- no zeroes'!G50</f>
        <v>50.603477777777783</v>
      </c>
      <c r="R50" s="62">
        <f>'Spinel-- no zeroes'!H50</f>
        <v>17.013966666666665</v>
      </c>
      <c r="S50" s="62">
        <f>'Spinel-- no zeroes'!I50</f>
        <v>1.9814856865571953</v>
      </c>
      <c r="T50" s="62">
        <f>'Spinel-- no zeroes'!J50</f>
        <v>10.701132081026692</v>
      </c>
      <c r="U50" s="62">
        <f>'Spinel-- no zeroes'!K50</f>
        <v>0.11734222222222221</v>
      </c>
      <c r="V50" s="62">
        <f>'Spinel-- no zeroes'!L50</f>
        <v>18.672133333333331</v>
      </c>
      <c r="W50" s="62">
        <f>'Spinel-- no zeroes'!M50</f>
        <v>3.5715555555555561E-3</v>
      </c>
      <c r="X50" s="62">
        <f>'Spinel-- no zeroes'!N50</f>
        <v>0</v>
      </c>
      <c r="Y50" s="62">
        <f>'Spinel-- no zeroes'!O50</f>
        <v>0.30945600000000001</v>
      </c>
      <c r="AA50" s="61">
        <f>LN(('Spinel-- no zeroes'!AK50*Olivine!W50)/(Olivine!U50*'Spinel-- no zeroes'!AM50))</f>
        <v>1.1458074372902647</v>
      </c>
      <c r="AB50" s="44">
        <f>'Spinel-- no zeroes'!AI50/('Spinel-- no zeroes'!AI50+'Spinel-- no zeroes'!AJ50+'Spinel-- no zeroes'!AH50)</f>
        <v>0.18036091204097307</v>
      </c>
      <c r="AC50" s="44">
        <f>'Spinel-- no zeroes'!AJ50/('Spinel-- no zeroes'!AJ50+'Spinel-- no zeroes'!AI50+'Spinel-- no zeroes'!AH50)</f>
        <v>1.9992406738298794E-2</v>
      </c>
      <c r="AE50" s="44">
        <f t="shared" si="2"/>
        <v>1.105822623813667</v>
      </c>
      <c r="AG50" s="64">
        <f t="shared" si="3"/>
        <v>914.0710456802318</v>
      </c>
    </row>
    <row r="51" spans="1:33" s="44" customFormat="1">
      <c r="A51" s="45">
        <f>'Spinel-- no zeroes'!C51</f>
        <v>0</v>
      </c>
      <c r="B51" s="44">
        <v>1.5</v>
      </c>
      <c r="C51" s="44" t="s">
        <v>94</v>
      </c>
      <c r="D51" s="62">
        <f>Olivine!E51</f>
        <v>40.382300000000001</v>
      </c>
      <c r="E51" s="62">
        <f>Olivine!F51</f>
        <v>0</v>
      </c>
      <c r="F51" s="62">
        <f>Olivine!G51</f>
        <v>5.8463333333333345E-3</v>
      </c>
      <c r="G51" s="62">
        <f>Olivine!H51</f>
        <v>3.0960000000000002E-3</v>
      </c>
      <c r="H51" s="62">
        <f>Olivine!I51</f>
        <v>9.12866</v>
      </c>
      <c r="I51" s="62">
        <f>Olivine!J51</f>
        <v>0.12850600000000001</v>
      </c>
      <c r="J51" s="62">
        <f>Olivine!K51</f>
        <v>50.097166666666659</v>
      </c>
      <c r="K51" s="62">
        <f>Olivine!L51</f>
        <v>3.9156999999999997E-2</v>
      </c>
      <c r="L51" s="62">
        <f>Olivine!M51</f>
        <v>0</v>
      </c>
      <c r="M51" s="62">
        <f>Olivine!N51</f>
        <v>0.39530833333333332</v>
      </c>
      <c r="N51" s="44" t="s">
        <v>95</v>
      </c>
      <c r="O51" s="62">
        <f>'Spinel-- no zeroes'!E51</f>
        <v>6.6401111111111105E-3</v>
      </c>
      <c r="P51" s="62">
        <f>'Spinel-- no zeroes'!F51</f>
        <v>6.4313333333333333E-2</v>
      </c>
      <c r="Q51" s="62">
        <f>'Spinel-- no zeroes'!G51</f>
        <v>50.603477777777783</v>
      </c>
      <c r="R51" s="62">
        <f>'Spinel-- no zeroes'!H51</f>
        <v>17.013966666666665</v>
      </c>
      <c r="S51" s="62">
        <f>'Spinel-- no zeroes'!I51</f>
        <v>1.9814856865571953</v>
      </c>
      <c r="T51" s="62">
        <f>'Spinel-- no zeroes'!J51</f>
        <v>10.701132081026692</v>
      </c>
      <c r="U51" s="62">
        <f>'Spinel-- no zeroes'!K51</f>
        <v>0.11734222222222221</v>
      </c>
      <c r="V51" s="62">
        <f>'Spinel-- no zeroes'!L51</f>
        <v>18.672133333333331</v>
      </c>
      <c r="W51" s="62">
        <f>'Spinel-- no zeroes'!M51</f>
        <v>3.5715555555555561E-3</v>
      </c>
      <c r="X51" s="62">
        <f>'Spinel-- no zeroes'!N51</f>
        <v>0</v>
      </c>
      <c r="Y51" s="62">
        <f>'Spinel-- no zeroes'!O51</f>
        <v>0.30945600000000001</v>
      </c>
      <c r="AA51" s="61">
        <f>LN(('Spinel-- no zeroes'!AK51*Olivine!W51)/(Olivine!U51*'Spinel-- no zeroes'!AM51))</f>
        <v>1.1458074372902647</v>
      </c>
      <c r="AB51" s="44">
        <f>'Spinel-- no zeroes'!AI51/('Spinel-- no zeroes'!AI51+'Spinel-- no zeroes'!AJ51+'Spinel-- no zeroes'!AH51)</f>
        <v>0.18036091204097307</v>
      </c>
      <c r="AC51" s="44">
        <f>'Spinel-- no zeroes'!AJ51/('Spinel-- no zeroes'!AJ51+'Spinel-- no zeroes'!AI51+'Spinel-- no zeroes'!AH51)</f>
        <v>1.9992406738298794E-2</v>
      </c>
      <c r="AE51" s="44">
        <f t="shared" ref="AE51:AE58" si="4">AA51-2*AC51</f>
        <v>1.105822623813667</v>
      </c>
      <c r="AG51" s="64">
        <f t="shared" ref="AG51:AG58" si="5">(4299*AB51+1283)/(AE51+1.469*AB51+0.363)-273.15</f>
        <v>914.0710456802318</v>
      </c>
    </row>
    <row r="52" spans="1:33" s="44" customFormat="1">
      <c r="A52" s="45">
        <f>'Spinel-- no zeroes'!C52</f>
        <v>0</v>
      </c>
      <c r="B52" s="44">
        <v>1.5</v>
      </c>
      <c r="C52" s="44" t="s">
        <v>94</v>
      </c>
      <c r="D52" s="62">
        <f>Olivine!E52</f>
        <v>40.382300000000001</v>
      </c>
      <c r="E52" s="62">
        <f>Olivine!F52</f>
        <v>0</v>
      </c>
      <c r="F52" s="62">
        <f>Olivine!G52</f>
        <v>5.8463333333333345E-3</v>
      </c>
      <c r="G52" s="62">
        <f>Olivine!H52</f>
        <v>3.0960000000000002E-3</v>
      </c>
      <c r="H52" s="62">
        <f>Olivine!I52</f>
        <v>9.12866</v>
      </c>
      <c r="I52" s="62">
        <f>Olivine!J52</f>
        <v>0.12850600000000001</v>
      </c>
      <c r="J52" s="62">
        <f>Olivine!K52</f>
        <v>50.097166666666659</v>
      </c>
      <c r="K52" s="62">
        <f>Olivine!L52</f>
        <v>3.9156999999999997E-2</v>
      </c>
      <c r="L52" s="62">
        <f>Olivine!M52</f>
        <v>0</v>
      </c>
      <c r="M52" s="62">
        <f>Olivine!N52</f>
        <v>0.39530833333333332</v>
      </c>
      <c r="N52" s="44" t="s">
        <v>95</v>
      </c>
      <c r="O52" s="62">
        <f>'Spinel-- no zeroes'!E52</f>
        <v>6.6401111111111105E-3</v>
      </c>
      <c r="P52" s="62">
        <f>'Spinel-- no zeroes'!F52</f>
        <v>6.4313333333333333E-2</v>
      </c>
      <c r="Q52" s="62">
        <f>'Spinel-- no zeroes'!G52</f>
        <v>50.603477777777783</v>
      </c>
      <c r="R52" s="62">
        <f>'Spinel-- no zeroes'!H52</f>
        <v>17.013966666666665</v>
      </c>
      <c r="S52" s="62">
        <f>'Spinel-- no zeroes'!I52</f>
        <v>1.9814856865571953</v>
      </c>
      <c r="T52" s="62">
        <f>'Spinel-- no zeroes'!J52</f>
        <v>10.701132081026692</v>
      </c>
      <c r="U52" s="62">
        <f>'Spinel-- no zeroes'!K52</f>
        <v>0.11734222222222221</v>
      </c>
      <c r="V52" s="62">
        <f>'Spinel-- no zeroes'!L52</f>
        <v>18.672133333333331</v>
      </c>
      <c r="W52" s="62">
        <f>'Spinel-- no zeroes'!M52</f>
        <v>3.5715555555555561E-3</v>
      </c>
      <c r="X52" s="62">
        <f>'Spinel-- no zeroes'!N52</f>
        <v>0</v>
      </c>
      <c r="Y52" s="62">
        <f>'Spinel-- no zeroes'!O52</f>
        <v>0.30945600000000001</v>
      </c>
      <c r="AA52" s="61">
        <f>LN(('Spinel-- no zeroes'!AK52*Olivine!W52)/(Olivine!U52*'Spinel-- no zeroes'!AM52))</f>
        <v>1.1458074372902647</v>
      </c>
      <c r="AB52" s="44">
        <f>'Spinel-- no zeroes'!AI52/('Spinel-- no zeroes'!AI52+'Spinel-- no zeroes'!AJ52+'Spinel-- no zeroes'!AH52)</f>
        <v>0.18036091204097307</v>
      </c>
      <c r="AC52" s="44">
        <f>'Spinel-- no zeroes'!AJ52/('Spinel-- no zeroes'!AJ52+'Spinel-- no zeroes'!AI52+'Spinel-- no zeroes'!AH52)</f>
        <v>1.9992406738298794E-2</v>
      </c>
      <c r="AE52" s="44">
        <f t="shared" si="4"/>
        <v>1.105822623813667</v>
      </c>
      <c r="AG52" s="64">
        <f t="shared" si="5"/>
        <v>914.0710456802318</v>
      </c>
    </row>
    <row r="53" spans="1:33" s="44" customFormat="1">
      <c r="A53" s="45">
        <f>'Spinel-- no zeroes'!C53</f>
        <v>0</v>
      </c>
      <c r="B53" s="44">
        <v>1.5</v>
      </c>
      <c r="C53" s="44" t="s">
        <v>94</v>
      </c>
      <c r="D53" s="62">
        <f>Olivine!E53</f>
        <v>40.382300000000001</v>
      </c>
      <c r="E53" s="62">
        <f>Olivine!F53</f>
        <v>0</v>
      </c>
      <c r="F53" s="62">
        <f>Olivine!G53</f>
        <v>5.8463333333333345E-3</v>
      </c>
      <c r="G53" s="62">
        <f>Olivine!H53</f>
        <v>3.0960000000000002E-3</v>
      </c>
      <c r="H53" s="62">
        <f>Olivine!I53</f>
        <v>9.12866</v>
      </c>
      <c r="I53" s="62">
        <f>Olivine!J53</f>
        <v>0.12850600000000001</v>
      </c>
      <c r="J53" s="62">
        <f>Olivine!K53</f>
        <v>50.097166666666659</v>
      </c>
      <c r="K53" s="62">
        <f>Olivine!L53</f>
        <v>3.9156999999999997E-2</v>
      </c>
      <c r="L53" s="62">
        <f>Olivine!M53</f>
        <v>0</v>
      </c>
      <c r="M53" s="62">
        <f>Olivine!N53</f>
        <v>0.39530833333333332</v>
      </c>
      <c r="N53" s="44" t="s">
        <v>95</v>
      </c>
      <c r="O53" s="62">
        <f>'Spinel-- no zeroes'!E53</f>
        <v>6.6401111111111105E-3</v>
      </c>
      <c r="P53" s="62">
        <f>'Spinel-- no zeroes'!F53</f>
        <v>6.4313333333333333E-2</v>
      </c>
      <c r="Q53" s="62">
        <f>'Spinel-- no zeroes'!G53</f>
        <v>50.603477777777783</v>
      </c>
      <c r="R53" s="62">
        <f>'Spinel-- no zeroes'!H53</f>
        <v>17.013966666666665</v>
      </c>
      <c r="S53" s="62">
        <f>'Spinel-- no zeroes'!I53</f>
        <v>1.9814856865571953</v>
      </c>
      <c r="T53" s="62">
        <f>'Spinel-- no zeroes'!J53</f>
        <v>10.701132081026692</v>
      </c>
      <c r="U53" s="62">
        <f>'Spinel-- no zeroes'!K53</f>
        <v>0.11734222222222221</v>
      </c>
      <c r="V53" s="62">
        <f>'Spinel-- no zeroes'!L53</f>
        <v>18.672133333333331</v>
      </c>
      <c r="W53" s="62">
        <f>'Spinel-- no zeroes'!M53</f>
        <v>3.5715555555555561E-3</v>
      </c>
      <c r="X53" s="62">
        <f>'Spinel-- no zeroes'!N53</f>
        <v>0</v>
      </c>
      <c r="Y53" s="62">
        <f>'Spinel-- no zeroes'!O53</f>
        <v>0.30945600000000001</v>
      </c>
      <c r="AA53" s="61">
        <f>LN(('Spinel-- no zeroes'!AK53*Olivine!W53)/(Olivine!U53*'Spinel-- no zeroes'!AM53))</f>
        <v>1.1458074372902647</v>
      </c>
      <c r="AB53" s="44">
        <f>'Spinel-- no zeroes'!AI53/('Spinel-- no zeroes'!AI53+'Spinel-- no zeroes'!AJ53+'Spinel-- no zeroes'!AH53)</f>
        <v>0.18036091204097307</v>
      </c>
      <c r="AC53" s="44">
        <f>'Spinel-- no zeroes'!AJ53/('Spinel-- no zeroes'!AJ53+'Spinel-- no zeroes'!AI53+'Spinel-- no zeroes'!AH53)</f>
        <v>1.9992406738298794E-2</v>
      </c>
      <c r="AE53" s="44">
        <f t="shared" si="4"/>
        <v>1.105822623813667</v>
      </c>
      <c r="AG53" s="64">
        <f t="shared" si="5"/>
        <v>914.0710456802318</v>
      </c>
    </row>
    <row r="54" spans="1:33" s="44" customFormat="1">
      <c r="A54" s="45">
        <f>'Spinel-- no zeroes'!C54</f>
        <v>0</v>
      </c>
      <c r="B54" s="44">
        <v>1.5</v>
      </c>
      <c r="C54" s="44" t="s">
        <v>94</v>
      </c>
      <c r="D54" s="62">
        <f>Olivine!E54</f>
        <v>40.382300000000001</v>
      </c>
      <c r="E54" s="62">
        <f>Olivine!F54</f>
        <v>0</v>
      </c>
      <c r="F54" s="62">
        <f>Olivine!G54</f>
        <v>5.8463333333333345E-3</v>
      </c>
      <c r="G54" s="62">
        <f>Olivine!H54</f>
        <v>3.0960000000000002E-3</v>
      </c>
      <c r="H54" s="62">
        <f>Olivine!I54</f>
        <v>9.12866</v>
      </c>
      <c r="I54" s="62">
        <f>Olivine!J54</f>
        <v>0.12850600000000001</v>
      </c>
      <c r="J54" s="62">
        <f>Olivine!K54</f>
        <v>50.097166666666659</v>
      </c>
      <c r="K54" s="62">
        <f>Olivine!L54</f>
        <v>3.9156999999999997E-2</v>
      </c>
      <c r="L54" s="62">
        <f>Olivine!M54</f>
        <v>0</v>
      </c>
      <c r="M54" s="62">
        <f>Olivine!N54</f>
        <v>0.39530833333333332</v>
      </c>
      <c r="N54" s="44" t="s">
        <v>95</v>
      </c>
      <c r="O54" s="62">
        <f>'Spinel-- no zeroes'!E54</f>
        <v>6.6401111111111105E-3</v>
      </c>
      <c r="P54" s="62">
        <f>'Spinel-- no zeroes'!F54</f>
        <v>6.4313333333333333E-2</v>
      </c>
      <c r="Q54" s="62">
        <f>'Spinel-- no zeroes'!G54</f>
        <v>50.603477777777783</v>
      </c>
      <c r="R54" s="62">
        <f>'Spinel-- no zeroes'!H54</f>
        <v>17.013966666666665</v>
      </c>
      <c r="S54" s="62">
        <f>'Spinel-- no zeroes'!I54</f>
        <v>1.9814856865571953</v>
      </c>
      <c r="T54" s="62">
        <f>'Spinel-- no zeroes'!J54</f>
        <v>10.701132081026692</v>
      </c>
      <c r="U54" s="62">
        <f>'Spinel-- no zeroes'!K54</f>
        <v>0.11734222222222221</v>
      </c>
      <c r="V54" s="62">
        <f>'Spinel-- no zeroes'!L54</f>
        <v>18.672133333333331</v>
      </c>
      <c r="W54" s="62">
        <f>'Spinel-- no zeroes'!M54</f>
        <v>3.5715555555555561E-3</v>
      </c>
      <c r="X54" s="62">
        <f>'Spinel-- no zeroes'!N54</f>
        <v>0</v>
      </c>
      <c r="Y54" s="62">
        <f>'Spinel-- no zeroes'!O54</f>
        <v>0.30945600000000001</v>
      </c>
      <c r="AA54" s="61">
        <f>LN(('Spinel-- no zeroes'!AK54*Olivine!W54)/(Olivine!U54*'Spinel-- no zeroes'!AM54))</f>
        <v>1.1458074372902647</v>
      </c>
      <c r="AB54" s="44">
        <f>'Spinel-- no zeroes'!AI54/('Spinel-- no zeroes'!AI54+'Spinel-- no zeroes'!AJ54+'Spinel-- no zeroes'!AH54)</f>
        <v>0.18036091204097307</v>
      </c>
      <c r="AC54" s="44">
        <f>'Spinel-- no zeroes'!AJ54/('Spinel-- no zeroes'!AJ54+'Spinel-- no zeroes'!AI54+'Spinel-- no zeroes'!AH54)</f>
        <v>1.9992406738298794E-2</v>
      </c>
      <c r="AE54" s="44">
        <f t="shared" si="4"/>
        <v>1.105822623813667</v>
      </c>
      <c r="AG54" s="64">
        <f t="shared" si="5"/>
        <v>914.0710456802318</v>
      </c>
    </row>
    <row r="55" spans="1:33" s="44" customFormat="1">
      <c r="A55" s="45">
        <f>'Spinel-- no zeroes'!C55</f>
        <v>0</v>
      </c>
      <c r="B55" s="44">
        <v>1.5</v>
      </c>
      <c r="C55" s="44" t="s">
        <v>94</v>
      </c>
      <c r="D55" s="62">
        <f>Olivine!E55</f>
        <v>40.382300000000001</v>
      </c>
      <c r="E55" s="62">
        <f>Olivine!F55</f>
        <v>0</v>
      </c>
      <c r="F55" s="62">
        <f>Olivine!G55</f>
        <v>5.8463333333333345E-3</v>
      </c>
      <c r="G55" s="62">
        <f>Olivine!H55</f>
        <v>3.0960000000000002E-3</v>
      </c>
      <c r="H55" s="62">
        <f>Olivine!I55</f>
        <v>9.12866</v>
      </c>
      <c r="I55" s="62">
        <f>Olivine!J55</f>
        <v>0.12850600000000001</v>
      </c>
      <c r="J55" s="62">
        <f>Olivine!K55</f>
        <v>50.097166666666659</v>
      </c>
      <c r="K55" s="62">
        <f>Olivine!L55</f>
        <v>3.9156999999999997E-2</v>
      </c>
      <c r="L55" s="62">
        <f>Olivine!M55</f>
        <v>0</v>
      </c>
      <c r="M55" s="62">
        <f>Olivine!N55</f>
        <v>0.39530833333333332</v>
      </c>
      <c r="N55" s="44" t="s">
        <v>95</v>
      </c>
      <c r="O55" s="62">
        <f>'Spinel-- no zeroes'!E55</f>
        <v>6.6401111111111105E-3</v>
      </c>
      <c r="P55" s="62">
        <f>'Spinel-- no zeroes'!F55</f>
        <v>6.4313333333333333E-2</v>
      </c>
      <c r="Q55" s="62">
        <f>'Spinel-- no zeroes'!G55</f>
        <v>50.603477777777783</v>
      </c>
      <c r="R55" s="62">
        <f>'Spinel-- no zeroes'!H55</f>
        <v>17.013966666666665</v>
      </c>
      <c r="S55" s="62">
        <f>'Spinel-- no zeroes'!I55</f>
        <v>1.9814856865571953</v>
      </c>
      <c r="T55" s="62">
        <f>'Spinel-- no zeroes'!J55</f>
        <v>10.701132081026692</v>
      </c>
      <c r="U55" s="62">
        <f>'Spinel-- no zeroes'!K55</f>
        <v>0.11734222222222221</v>
      </c>
      <c r="V55" s="62">
        <f>'Spinel-- no zeroes'!L55</f>
        <v>18.672133333333331</v>
      </c>
      <c r="W55" s="62">
        <f>'Spinel-- no zeroes'!M55</f>
        <v>3.5715555555555561E-3</v>
      </c>
      <c r="X55" s="62">
        <f>'Spinel-- no zeroes'!N55</f>
        <v>0</v>
      </c>
      <c r="Y55" s="62">
        <f>'Spinel-- no zeroes'!O55</f>
        <v>0.30945600000000001</v>
      </c>
      <c r="AA55" s="61">
        <f>LN(('Spinel-- no zeroes'!AK55*Olivine!W55)/(Olivine!U55*'Spinel-- no zeroes'!AM55))</f>
        <v>1.1458074372902647</v>
      </c>
      <c r="AB55" s="44">
        <f>'Spinel-- no zeroes'!AI55/('Spinel-- no zeroes'!AI55+'Spinel-- no zeroes'!AJ55+'Spinel-- no zeroes'!AH55)</f>
        <v>0.18036091204097307</v>
      </c>
      <c r="AC55" s="44">
        <f>'Spinel-- no zeroes'!AJ55/('Spinel-- no zeroes'!AJ55+'Spinel-- no zeroes'!AI55+'Spinel-- no zeroes'!AH55)</f>
        <v>1.9992406738298794E-2</v>
      </c>
      <c r="AE55" s="44">
        <f t="shared" si="4"/>
        <v>1.105822623813667</v>
      </c>
      <c r="AG55" s="64">
        <f t="shared" si="5"/>
        <v>914.0710456802318</v>
      </c>
    </row>
    <row r="56" spans="1:33" s="44" customFormat="1">
      <c r="A56" s="45">
        <f>'Spinel-- no zeroes'!C56</f>
        <v>0</v>
      </c>
      <c r="B56" s="44">
        <v>1.5</v>
      </c>
      <c r="C56" s="44" t="s">
        <v>94</v>
      </c>
      <c r="D56" s="62">
        <f>Olivine!E56</f>
        <v>40.382300000000001</v>
      </c>
      <c r="E56" s="62">
        <f>Olivine!F56</f>
        <v>0</v>
      </c>
      <c r="F56" s="62">
        <f>Olivine!G56</f>
        <v>5.8463333333333345E-3</v>
      </c>
      <c r="G56" s="62">
        <f>Olivine!H56</f>
        <v>3.0960000000000002E-3</v>
      </c>
      <c r="H56" s="62">
        <f>Olivine!I56</f>
        <v>9.12866</v>
      </c>
      <c r="I56" s="62">
        <f>Olivine!J56</f>
        <v>0.12850600000000001</v>
      </c>
      <c r="J56" s="62">
        <f>Olivine!K56</f>
        <v>50.097166666666659</v>
      </c>
      <c r="K56" s="62">
        <f>Olivine!L56</f>
        <v>3.9156999999999997E-2</v>
      </c>
      <c r="L56" s="62">
        <f>Olivine!M56</f>
        <v>0</v>
      </c>
      <c r="M56" s="62">
        <f>Olivine!N56</f>
        <v>0.39530833333333332</v>
      </c>
      <c r="N56" s="44" t="s">
        <v>95</v>
      </c>
      <c r="O56" s="62">
        <f>'Spinel-- no zeroes'!E56</f>
        <v>6.6401111111111105E-3</v>
      </c>
      <c r="P56" s="62">
        <f>'Spinel-- no zeroes'!F56</f>
        <v>6.4313333333333333E-2</v>
      </c>
      <c r="Q56" s="62">
        <f>'Spinel-- no zeroes'!G56</f>
        <v>50.603477777777783</v>
      </c>
      <c r="R56" s="62">
        <f>'Spinel-- no zeroes'!H56</f>
        <v>17.013966666666665</v>
      </c>
      <c r="S56" s="62">
        <f>'Spinel-- no zeroes'!I56</f>
        <v>1.9814856865571953</v>
      </c>
      <c r="T56" s="62">
        <f>'Spinel-- no zeroes'!J56</f>
        <v>10.701132081026692</v>
      </c>
      <c r="U56" s="62">
        <f>'Spinel-- no zeroes'!K56</f>
        <v>0.11734222222222221</v>
      </c>
      <c r="V56" s="62">
        <f>'Spinel-- no zeroes'!L56</f>
        <v>18.672133333333331</v>
      </c>
      <c r="W56" s="62">
        <f>'Spinel-- no zeroes'!M56</f>
        <v>3.5715555555555561E-3</v>
      </c>
      <c r="X56" s="62">
        <f>'Spinel-- no zeroes'!N56</f>
        <v>0</v>
      </c>
      <c r="Y56" s="62">
        <f>'Spinel-- no zeroes'!O56</f>
        <v>0.30945600000000001</v>
      </c>
      <c r="AA56" s="61">
        <f>LN(('Spinel-- no zeroes'!AK56*Olivine!W56)/(Olivine!U56*'Spinel-- no zeroes'!AM56))</f>
        <v>1.1458074372902647</v>
      </c>
      <c r="AB56" s="44">
        <f>'Spinel-- no zeroes'!AI56/('Spinel-- no zeroes'!AI56+'Spinel-- no zeroes'!AJ56+'Spinel-- no zeroes'!AH56)</f>
        <v>0.18036091204097307</v>
      </c>
      <c r="AC56" s="44">
        <f>'Spinel-- no zeroes'!AJ56/('Spinel-- no zeroes'!AJ56+'Spinel-- no zeroes'!AI56+'Spinel-- no zeroes'!AH56)</f>
        <v>1.9992406738298794E-2</v>
      </c>
      <c r="AE56" s="44">
        <f t="shared" si="4"/>
        <v>1.105822623813667</v>
      </c>
      <c r="AG56" s="64">
        <f t="shared" si="5"/>
        <v>914.0710456802318</v>
      </c>
    </row>
    <row r="57" spans="1:33" s="44" customFormat="1">
      <c r="A57" s="45">
        <f>'Spinel-- no zeroes'!C57</f>
        <v>0</v>
      </c>
      <c r="B57" s="44">
        <v>1.5</v>
      </c>
      <c r="C57" s="44" t="s">
        <v>94</v>
      </c>
      <c r="D57" s="62">
        <f>Olivine!E57</f>
        <v>40.382300000000001</v>
      </c>
      <c r="E57" s="62">
        <f>Olivine!F57</f>
        <v>0</v>
      </c>
      <c r="F57" s="62">
        <f>Olivine!G57</f>
        <v>5.8463333333333345E-3</v>
      </c>
      <c r="G57" s="62">
        <f>Olivine!H57</f>
        <v>3.0960000000000002E-3</v>
      </c>
      <c r="H57" s="62">
        <f>Olivine!I57</f>
        <v>9.12866</v>
      </c>
      <c r="I57" s="62">
        <f>Olivine!J57</f>
        <v>0.12850600000000001</v>
      </c>
      <c r="J57" s="62">
        <f>Olivine!K57</f>
        <v>50.097166666666659</v>
      </c>
      <c r="K57" s="62">
        <f>Olivine!L57</f>
        <v>3.9156999999999997E-2</v>
      </c>
      <c r="L57" s="62">
        <f>Olivine!M57</f>
        <v>0</v>
      </c>
      <c r="M57" s="62">
        <f>Olivine!N57</f>
        <v>0.39530833333333332</v>
      </c>
      <c r="N57" s="44" t="s">
        <v>95</v>
      </c>
      <c r="O57" s="62">
        <f>'Spinel-- no zeroes'!E57</f>
        <v>6.6401111111111105E-3</v>
      </c>
      <c r="P57" s="62">
        <f>'Spinel-- no zeroes'!F57</f>
        <v>6.4313333333333333E-2</v>
      </c>
      <c r="Q57" s="62">
        <f>'Spinel-- no zeroes'!G57</f>
        <v>50.603477777777783</v>
      </c>
      <c r="R57" s="62">
        <f>'Spinel-- no zeroes'!H57</f>
        <v>17.013966666666665</v>
      </c>
      <c r="S57" s="62">
        <f>'Spinel-- no zeroes'!I57</f>
        <v>1.9814856865571953</v>
      </c>
      <c r="T57" s="62">
        <f>'Spinel-- no zeroes'!J57</f>
        <v>10.701132081026692</v>
      </c>
      <c r="U57" s="62">
        <f>'Spinel-- no zeroes'!K57</f>
        <v>0.11734222222222221</v>
      </c>
      <c r="V57" s="62">
        <f>'Spinel-- no zeroes'!L57</f>
        <v>18.672133333333331</v>
      </c>
      <c r="W57" s="62">
        <f>'Spinel-- no zeroes'!M57</f>
        <v>3.5715555555555561E-3</v>
      </c>
      <c r="X57" s="62">
        <f>'Spinel-- no zeroes'!N57</f>
        <v>0</v>
      </c>
      <c r="Y57" s="62">
        <f>'Spinel-- no zeroes'!O57</f>
        <v>0.30945600000000001</v>
      </c>
      <c r="AA57" s="61">
        <f>LN(('Spinel-- no zeroes'!AK57*Olivine!W57)/(Olivine!U57*'Spinel-- no zeroes'!AM57))</f>
        <v>1.1458074372902647</v>
      </c>
      <c r="AB57" s="44">
        <f>'Spinel-- no zeroes'!AI57/('Spinel-- no zeroes'!AI57+'Spinel-- no zeroes'!AJ57+'Spinel-- no zeroes'!AH57)</f>
        <v>0.18036091204097307</v>
      </c>
      <c r="AC57" s="44">
        <f>'Spinel-- no zeroes'!AJ57/('Spinel-- no zeroes'!AJ57+'Spinel-- no zeroes'!AI57+'Spinel-- no zeroes'!AH57)</f>
        <v>1.9992406738298794E-2</v>
      </c>
      <c r="AE57" s="44">
        <f t="shared" si="4"/>
        <v>1.105822623813667</v>
      </c>
      <c r="AG57" s="64">
        <f t="shared" si="5"/>
        <v>914.0710456802318</v>
      </c>
    </row>
    <row r="58" spans="1:33" s="44" customFormat="1">
      <c r="A58" s="45">
        <f>'Spinel-- no zeroes'!C58</f>
        <v>0</v>
      </c>
      <c r="B58" s="44">
        <v>1.5</v>
      </c>
      <c r="C58" s="44" t="s">
        <v>94</v>
      </c>
      <c r="D58" s="62">
        <f>Olivine!E58</f>
        <v>40.382300000000001</v>
      </c>
      <c r="E58" s="62">
        <f>Olivine!F58</f>
        <v>0</v>
      </c>
      <c r="F58" s="62">
        <f>Olivine!G58</f>
        <v>5.8463333333333345E-3</v>
      </c>
      <c r="G58" s="62">
        <f>Olivine!H58</f>
        <v>3.0960000000000002E-3</v>
      </c>
      <c r="H58" s="62">
        <f>Olivine!I58</f>
        <v>9.12866</v>
      </c>
      <c r="I58" s="62">
        <f>Olivine!J58</f>
        <v>0.12850600000000001</v>
      </c>
      <c r="J58" s="62">
        <f>Olivine!K58</f>
        <v>50.097166666666659</v>
      </c>
      <c r="K58" s="62">
        <f>Olivine!L58</f>
        <v>3.9156999999999997E-2</v>
      </c>
      <c r="L58" s="62">
        <f>Olivine!M58</f>
        <v>0</v>
      </c>
      <c r="M58" s="62">
        <f>Olivine!N58</f>
        <v>0.39530833333333332</v>
      </c>
      <c r="N58" s="44" t="s">
        <v>95</v>
      </c>
      <c r="O58" s="62">
        <f>'Spinel-- no zeroes'!E58</f>
        <v>6.6401111111111105E-3</v>
      </c>
      <c r="P58" s="62">
        <f>'Spinel-- no zeroes'!F58</f>
        <v>6.4313333333333333E-2</v>
      </c>
      <c r="Q58" s="62">
        <f>'Spinel-- no zeroes'!G58</f>
        <v>50.603477777777783</v>
      </c>
      <c r="R58" s="62">
        <f>'Spinel-- no zeroes'!H58</f>
        <v>17.013966666666665</v>
      </c>
      <c r="S58" s="62">
        <f>'Spinel-- no zeroes'!I58</f>
        <v>1.9814856865571953</v>
      </c>
      <c r="T58" s="62">
        <f>'Spinel-- no zeroes'!J58</f>
        <v>10.701132081026692</v>
      </c>
      <c r="U58" s="62">
        <f>'Spinel-- no zeroes'!K58</f>
        <v>0.11734222222222221</v>
      </c>
      <c r="V58" s="62">
        <f>'Spinel-- no zeroes'!L58</f>
        <v>18.672133333333331</v>
      </c>
      <c r="W58" s="62">
        <f>'Spinel-- no zeroes'!M58</f>
        <v>3.5715555555555561E-3</v>
      </c>
      <c r="X58" s="62">
        <f>'Spinel-- no zeroes'!N58</f>
        <v>0</v>
      </c>
      <c r="Y58" s="62">
        <f>'Spinel-- no zeroes'!O58</f>
        <v>0.30945600000000001</v>
      </c>
      <c r="AA58" s="61">
        <f>LN(('Spinel-- no zeroes'!AK58*Olivine!W58)/(Olivine!U58*'Spinel-- no zeroes'!AM58))</f>
        <v>1.1458074372902647</v>
      </c>
      <c r="AB58" s="44">
        <f>'Spinel-- no zeroes'!AI58/('Spinel-- no zeroes'!AI58+'Spinel-- no zeroes'!AJ58+'Spinel-- no zeroes'!AH58)</f>
        <v>0.18036091204097307</v>
      </c>
      <c r="AC58" s="44">
        <f>'Spinel-- no zeroes'!AJ58/('Spinel-- no zeroes'!AJ58+'Spinel-- no zeroes'!AI58+'Spinel-- no zeroes'!AH58)</f>
        <v>1.9992406738298794E-2</v>
      </c>
      <c r="AE58" s="44">
        <f t="shared" si="4"/>
        <v>1.105822623813667</v>
      </c>
      <c r="AG58" s="64">
        <f t="shared" si="5"/>
        <v>914.0710456802318</v>
      </c>
    </row>
    <row r="59" spans="1:33" s="44" customFormat="1">
      <c r="A59" s="45">
        <f>'Spinel-- no zeroes'!C59</f>
        <v>0</v>
      </c>
      <c r="B59" s="44">
        <v>1.5</v>
      </c>
      <c r="C59" s="44" t="s">
        <v>94</v>
      </c>
      <c r="D59" s="62">
        <f>Olivine!E59</f>
        <v>40.382300000000001</v>
      </c>
      <c r="E59" s="62">
        <f>Olivine!F59</f>
        <v>0</v>
      </c>
      <c r="F59" s="62">
        <f>Olivine!G59</f>
        <v>5.8463333333333301E-3</v>
      </c>
      <c r="G59" s="62">
        <f>Olivine!H59</f>
        <v>3.0959999999999998E-3</v>
      </c>
      <c r="H59" s="62">
        <f>Olivine!I59</f>
        <v>9.12866</v>
      </c>
      <c r="I59" s="62">
        <f>Olivine!J59</f>
        <v>0.12850600000000001</v>
      </c>
      <c r="J59" s="62">
        <f>Olivine!K59</f>
        <v>50.097166666666702</v>
      </c>
      <c r="K59" s="62">
        <f>Olivine!L59</f>
        <v>3.9156999999999997E-2</v>
      </c>
      <c r="L59" s="62">
        <f>Olivine!M59</f>
        <v>0</v>
      </c>
      <c r="M59" s="62">
        <f>Olivine!N59</f>
        <v>0.39530833333333298</v>
      </c>
      <c r="N59" s="44" t="s">
        <v>95</v>
      </c>
      <c r="O59" s="62">
        <f>'Spinel-- no zeroes'!E59</f>
        <v>6.6401111111111097E-3</v>
      </c>
      <c r="P59" s="62">
        <f>'Spinel-- no zeroes'!F59</f>
        <v>6.4313333333333306E-2</v>
      </c>
      <c r="Q59" s="62">
        <f>'Spinel-- no zeroes'!G59</f>
        <v>50.603477777777798</v>
      </c>
      <c r="R59" s="62">
        <f>'Spinel-- no zeroes'!H59</f>
        <v>17.0139666666667</v>
      </c>
      <c r="S59" s="62">
        <f>'Spinel-- no zeroes'!I59</f>
        <v>1.9814856865571999</v>
      </c>
      <c r="T59" s="62">
        <f>'Spinel-- no zeroes'!J59</f>
        <v>10.701132081026699</v>
      </c>
      <c r="U59" s="62">
        <f>'Spinel-- no zeroes'!K59</f>
        <v>0.117342222222222</v>
      </c>
      <c r="V59" s="62">
        <f>'Spinel-- no zeroes'!L59</f>
        <v>18.672133333333299</v>
      </c>
      <c r="W59" s="62">
        <f>'Spinel-- no zeroes'!M59</f>
        <v>3.57155555555556E-3</v>
      </c>
      <c r="X59" s="62">
        <f>'Spinel-- no zeroes'!N59</f>
        <v>0</v>
      </c>
      <c r="Y59" s="62">
        <f>'Spinel-- no zeroes'!O59</f>
        <v>0.30945600000000001</v>
      </c>
      <c r="AA59" s="61">
        <f>LN(('Spinel-- no zeroes'!AK59*Olivine!W59)/(Olivine!U59*'Spinel-- no zeroes'!AM59))</f>
        <v>1.1899376509413415</v>
      </c>
      <c r="AB59" s="44">
        <f>'Spinel-- no zeroes'!AI59/('Spinel-- no zeroes'!AI59+'Spinel-- no zeroes'!AJ59+'Spinel-- no zeroes'!AH59)</f>
        <v>0.18636641673744048</v>
      </c>
      <c r="AC59" s="44">
        <f>'Spinel-- no zeroes'!AJ59/('Spinel-- no zeroes'!AJ59+'Spinel-- no zeroes'!AI59+'Spinel-- no zeroes'!AH59)</f>
        <v>2.065809694357601E-2</v>
      </c>
      <c r="AE59" s="44">
        <f t="shared" ref="AE59" si="6">AA59-2*AC59</f>
        <v>1.1486214570541895</v>
      </c>
      <c r="AG59" s="64">
        <f t="shared" ref="AG59" si="7">(4299*AB59+1283)/(AE59+1.469*AB59+0.363)-273.15</f>
        <v>894.20552411951223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pane xSplit="3" ySplit="3" topLeftCell="K29" activePane="bottomRight" state="frozen"/>
      <selection pane="topRight" activeCell="D1" sqref="D1"/>
      <selection pane="bottomLeft" activeCell="A3" sqref="A3"/>
      <selection pane="bottomRight" activeCell="U50" sqref="U50"/>
    </sheetView>
  </sheetViews>
  <sheetFormatPr baseColWidth="10" defaultColWidth="8.83203125" defaultRowHeight="14" x14ac:dyDescent="0"/>
  <cols>
    <col min="1" max="1" width="14.6640625" style="8" customWidth="1"/>
    <col min="2" max="2" width="2.83203125" style="8" customWidth="1"/>
    <col min="3" max="3" width="54.83203125" style="4" customWidth="1"/>
    <col min="4" max="4" width="2.6640625" style="8" customWidth="1"/>
    <col min="5" max="5" width="13.5" style="8" customWidth="1"/>
    <col min="6" max="6" width="13.83203125" style="44" customWidth="1"/>
    <col min="7" max="8" width="13.83203125" style="8" customWidth="1"/>
    <col min="9" max="9" width="8.1640625" style="8" customWidth="1"/>
    <col min="10" max="10" width="11.6640625" style="8" customWidth="1"/>
    <col min="11" max="11" width="3.1640625" style="8" customWidth="1"/>
    <col min="12" max="12" width="14.1640625" style="8" customWidth="1"/>
    <col min="13" max="13" width="14.6640625" style="8" customWidth="1"/>
    <col min="14" max="14" width="3.33203125" style="8" customWidth="1"/>
    <col min="15" max="15" width="14.1640625" style="8" customWidth="1"/>
    <col min="16" max="16" width="3" style="44" customWidth="1"/>
    <col min="17" max="17" width="14.1640625" style="8" customWidth="1"/>
    <col min="18" max="18" width="3.1640625" style="44" customWidth="1"/>
    <col min="19" max="19" width="14.1640625" style="24" customWidth="1"/>
    <col min="20" max="20" width="3.1640625" style="8" customWidth="1"/>
    <col min="21" max="21" width="14.1640625" style="8" customWidth="1"/>
    <col min="22" max="22" width="3.33203125" style="8" customWidth="1"/>
    <col min="23" max="25" width="12" style="44" customWidth="1"/>
    <col min="26" max="26" width="3.33203125" style="8" customWidth="1"/>
    <col min="27" max="27" width="14.1640625" style="30" customWidth="1"/>
    <col min="28" max="28" width="3.5" style="4" customWidth="1"/>
    <col min="29" max="29" width="14.1640625" style="29" customWidth="1"/>
    <col min="30" max="30" width="3.5" style="4" customWidth="1"/>
    <col min="31" max="34" width="14.1640625" style="4" customWidth="1"/>
    <col min="35" max="35" width="15.83203125" style="8" customWidth="1"/>
    <col min="36" max="36" width="2.33203125" customWidth="1"/>
    <col min="37" max="38" width="15.83203125" customWidth="1"/>
    <col min="40" max="40" width="12.33203125" customWidth="1"/>
    <col min="41" max="41" width="10.5" customWidth="1"/>
  </cols>
  <sheetData>
    <row r="1" spans="1:34" s="8" customFormat="1">
      <c r="C1" s="4"/>
      <c r="F1" s="44"/>
      <c r="P1" s="44"/>
      <c r="R1" s="44"/>
      <c r="S1" s="24"/>
      <c r="W1" s="44"/>
      <c r="X1" s="44"/>
      <c r="Y1" s="44"/>
      <c r="AA1" s="30"/>
      <c r="AB1" s="4"/>
      <c r="AC1" s="29"/>
      <c r="AD1" s="4"/>
      <c r="AE1" s="4"/>
      <c r="AF1" s="4"/>
      <c r="AG1" s="4"/>
      <c r="AH1" s="4"/>
    </row>
    <row r="2" spans="1:34" s="8" customFormat="1">
      <c r="C2" s="4"/>
      <c r="F2" s="44"/>
      <c r="L2" s="8" t="s">
        <v>98</v>
      </c>
      <c r="M2" s="8" t="s">
        <v>117</v>
      </c>
      <c r="P2" s="44"/>
      <c r="R2" s="44"/>
      <c r="S2" s="24" t="s">
        <v>33</v>
      </c>
      <c r="U2" s="8" t="s">
        <v>58</v>
      </c>
      <c r="W2" s="44"/>
      <c r="X2" s="44"/>
      <c r="Y2" s="44"/>
      <c r="AA2" s="30" t="s">
        <v>33</v>
      </c>
      <c r="AC2" s="29" t="s">
        <v>58</v>
      </c>
      <c r="AE2" s="4"/>
      <c r="AF2" s="4"/>
      <c r="AG2" s="4"/>
      <c r="AH2" s="4"/>
    </row>
    <row r="3" spans="1:34" s="27" customFormat="1" ht="15" thickBot="1">
      <c r="A3" s="27" t="s">
        <v>30</v>
      </c>
      <c r="C3" s="27" t="s">
        <v>10</v>
      </c>
      <c r="E3" s="27" t="s">
        <v>36</v>
      </c>
      <c r="F3" s="59" t="s">
        <v>115</v>
      </c>
      <c r="G3" s="53"/>
      <c r="H3" s="53"/>
      <c r="J3" s="27" t="s">
        <v>37</v>
      </c>
      <c r="L3" s="53" t="s">
        <v>55</v>
      </c>
      <c r="M3" s="53" t="s">
        <v>116</v>
      </c>
      <c r="O3" s="53" t="s">
        <v>29</v>
      </c>
      <c r="P3" s="59"/>
      <c r="Q3" s="53" t="s">
        <v>31</v>
      </c>
      <c r="R3" s="59"/>
      <c r="S3" s="28" t="s">
        <v>34</v>
      </c>
      <c r="U3" s="27" t="s">
        <v>32</v>
      </c>
      <c r="W3" s="20" t="s">
        <v>59</v>
      </c>
      <c r="X3" s="20" t="s">
        <v>96</v>
      </c>
      <c r="Y3" s="20" t="s">
        <v>97</v>
      </c>
      <c r="AA3" s="28" t="s">
        <v>35</v>
      </c>
      <c r="AC3" s="27" t="s">
        <v>32</v>
      </c>
      <c r="AE3" s="20" t="s">
        <v>54</v>
      </c>
      <c r="AF3" s="20" t="s">
        <v>96</v>
      </c>
      <c r="AG3" s="20" t="s">
        <v>97</v>
      </c>
    </row>
    <row r="4" spans="1:34" ht="15" customHeight="1">
      <c r="A4" s="58">
        <v>1</v>
      </c>
      <c r="C4" s="4" t="s">
        <v>119</v>
      </c>
      <c r="E4" s="77">
        <v>800</v>
      </c>
      <c r="F4" s="44">
        <f>'T calculator'!AG4</f>
        <v>914.0710456802318</v>
      </c>
      <c r="G4" s="51"/>
      <c r="H4" s="51"/>
      <c r="I4" s="8">
        <v>5000</v>
      </c>
      <c r="J4" s="8">
        <f>I4/1000</f>
        <v>5</v>
      </c>
      <c r="L4" s="51">
        <v>1.65871E-2</v>
      </c>
      <c r="M4" s="51"/>
      <c r="O4" s="68">
        <f>Olivine!AC4</f>
        <v>0.90725136560129849</v>
      </c>
      <c r="Q4" s="69">
        <f>Orthopyroxene!BI4</f>
        <v>6.8527303830343252E-3</v>
      </c>
      <c r="S4" s="24">
        <f>-25096.3/(E4+273)+8.735+0.11*((J4*1000-1)/(E4+273))</f>
        <v>-14.141430568499533</v>
      </c>
      <c r="U4" s="77">
        <f>-24222/($E4+273)+8.64+0.0567*($J4*1000-1)/($E4+273)-12*LOG10(1-$O4)-2620*$O4^2/($E4+273)+3*LOG10($Q4)+2*LOG10($L4)</f>
        <v>-13.340308571176299</v>
      </c>
      <c r="W4" s="9">
        <f>U4-S4</f>
        <v>0.80112199732323397</v>
      </c>
      <c r="X4" s="9"/>
      <c r="Y4" s="9"/>
      <c r="AA4" s="30">
        <f>-25096.3/(F4+273)+8.735+0.11*((J4*1000-1)/(F4+273))</f>
        <v>-11.943130503919484</v>
      </c>
      <c r="AC4" s="8" t="e">
        <f>-24222/($F4+273)+8.64+0.0567*($J4*1000-1)/($F4+273)-12*LOG10(1-$O4)-2620*$O4^2/($F4+273)+3*LOG10($Q4)+2*LOG10($M4)</f>
        <v>#NUM!</v>
      </c>
      <c r="AE4" s="9" t="e">
        <f>AC4-AA4</f>
        <v>#NUM!</v>
      </c>
      <c r="AF4" s="9"/>
      <c r="AG4" s="9"/>
    </row>
    <row r="5" spans="1:34" s="8" customFormat="1" ht="15" customHeight="1">
      <c r="A5" s="58">
        <v>2</v>
      </c>
      <c r="C5" s="4">
        <f>'Spinel-- no zeroes'!C5</f>
        <v>0</v>
      </c>
      <c r="E5" s="78">
        <v>850</v>
      </c>
      <c r="F5" s="44">
        <f>'T calculator'!AG5</f>
        <v>914.0710456802318</v>
      </c>
      <c r="G5" s="51"/>
      <c r="H5" s="51"/>
      <c r="I5" s="8">
        <v>5500</v>
      </c>
      <c r="J5" s="8">
        <f t="shared" ref="J5:J16" si="0">I5/1000</f>
        <v>5.5</v>
      </c>
      <c r="L5" s="51">
        <v>1.33843E-2</v>
      </c>
      <c r="M5" s="51"/>
      <c r="O5" s="68">
        <f>Olivine!AC5</f>
        <v>0.90725136560129849</v>
      </c>
      <c r="P5" s="44"/>
      <c r="Q5" s="69">
        <f>Orthopyroxene!BI5</f>
        <v>6.8527303830343252E-3</v>
      </c>
      <c r="R5" s="44"/>
      <c r="S5" s="24">
        <f t="shared" ref="S5:S9" si="1">-25096.3/(E5+273)+8.735+0.11*((J5*1000-1)/(E5+273))</f>
        <v>-13.073913624220838</v>
      </c>
      <c r="U5" s="78">
        <f t="shared" ref="U5:U59" si="2">-24222/($E5+273)+8.64+0.0567*($J5*1000-1)/($E5+273)-12*LOG10(1-$O5)-2620*$O5^2/($E5+273)+3*LOG10($Q5)+2*LOG10($L5)</f>
        <v>-12.418610525368351</v>
      </c>
      <c r="W5" s="9">
        <f t="shared" ref="W5:W9" si="3">U5-S5</f>
        <v>0.65530309885248705</v>
      </c>
      <c r="X5" s="9"/>
      <c r="Y5" s="9"/>
      <c r="AA5" s="30">
        <f t="shared" ref="AA5:AA9" si="4">-25096.3/(F5+273)+8.735+0.11*((J5*1000-1)/(F5+273))</f>
        <v>-11.89679797799347</v>
      </c>
      <c r="AB5" s="4"/>
      <c r="AC5" s="8" t="e">
        <f t="shared" ref="AC5:AC59" si="5">-24222/($F5+273)+8.64+0.0567*($J5*1000-1)/($F5+273)-12*LOG10(1-$O5)-2620*$O5^2/($F5+273)+3*LOG10($Q5)+2*LOG10($M5)</f>
        <v>#NUM!</v>
      </c>
      <c r="AD5" s="4"/>
      <c r="AE5" s="9" t="e">
        <f t="shared" ref="AE5:AE9" si="6">AC5-AA5</f>
        <v>#NUM!</v>
      </c>
      <c r="AF5" s="9"/>
      <c r="AG5" s="9"/>
      <c r="AH5" s="4"/>
    </row>
    <row r="6" spans="1:34" s="8" customFormat="1" ht="15" customHeight="1">
      <c r="A6" s="58">
        <v>3</v>
      </c>
      <c r="C6" s="4">
        <f>'Spinel-- no zeroes'!C6</f>
        <v>0</v>
      </c>
      <c r="E6" s="78">
        <v>900</v>
      </c>
      <c r="F6" s="44">
        <f>'T calculator'!AG6</f>
        <v>914.0710456802318</v>
      </c>
      <c r="G6" s="51"/>
      <c r="H6" s="51"/>
      <c r="I6" s="8">
        <v>6000</v>
      </c>
      <c r="J6" s="8">
        <f t="shared" si="0"/>
        <v>6</v>
      </c>
      <c r="L6" s="51">
        <v>1.09841E-2</v>
      </c>
      <c r="M6" s="51"/>
      <c r="O6" s="68">
        <f>Olivine!AC6</f>
        <v>0.90725136560129849</v>
      </c>
      <c r="P6" s="44"/>
      <c r="Q6" s="69">
        <f>Orthopyroxene!BI6</f>
        <v>6.8527303830343252E-3</v>
      </c>
      <c r="R6" s="44"/>
      <c r="S6" s="24">
        <f t="shared" si="1"/>
        <v>-12.097404092071612</v>
      </c>
      <c r="U6" s="78">
        <f t="shared" si="2"/>
        <v>-11.576687962405728</v>
      </c>
      <c r="W6" s="9">
        <f t="shared" si="3"/>
        <v>0.52071612966588354</v>
      </c>
      <c r="X6" s="9"/>
      <c r="Y6" s="9"/>
      <c r="AA6" s="30">
        <f t="shared" si="4"/>
        <v>-11.850465452067455</v>
      </c>
      <c r="AB6" s="4"/>
      <c r="AC6" s="8" t="e">
        <f t="shared" si="5"/>
        <v>#NUM!</v>
      </c>
      <c r="AD6" s="4"/>
      <c r="AE6" s="9" t="e">
        <f t="shared" si="6"/>
        <v>#NUM!</v>
      </c>
      <c r="AF6" s="9"/>
      <c r="AG6" s="9"/>
      <c r="AH6" s="4"/>
    </row>
    <row r="7" spans="1:34" s="8" customFormat="1" ht="15" customHeight="1">
      <c r="A7" s="58">
        <v>4</v>
      </c>
      <c r="C7" s="4">
        <f>'Spinel-- no zeroes'!C7</f>
        <v>0</v>
      </c>
      <c r="E7" s="78">
        <v>950</v>
      </c>
      <c r="F7" s="44">
        <f>'T calculator'!AG7</f>
        <v>914.0710456802318</v>
      </c>
      <c r="G7" s="51"/>
      <c r="H7" s="51"/>
      <c r="I7" s="8">
        <v>6500</v>
      </c>
      <c r="J7" s="8">
        <f t="shared" si="0"/>
        <v>6.5</v>
      </c>
      <c r="L7" s="51">
        <v>9.1502700000000003E-3</v>
      </c>
      <c r="M7" s="51"/>
      <c r="O7" s="68">
        <f>Olivine!AC7</f>
        <v>0.90725136560129849</v>
      </c>
      <c r="P7" s="44"/>
      <c r="Q7" s="69">
        <f>Orthopyroxene!BI7</f>
        <v>6.8527303830343252E-3</v>
      </c>
      <c r="R7" s="44"/>
      <c r="S7" s="24">
        <f>-25096.3/(E7+273)+8.735+0.11*((J7*1000-1)/(E7+273))</f>
        <v>-11.20073998364677</v>
      </c>
      <c r="U7" s="78">
        <f t="shared" si="2"/>
        <v>-10.804641104973465</v>
      </c>
      <c r="W7" s="9">
        <f t="shared" si="3"/>
        <v>0.39609887867330507</v>
      </c>
      <c r="X7" s="9"/>
      <c r="Y7" s="9"/>
      <c r="AA7" s="30">
        <f t="shared" si="4"/>
        <v>-11.804132926141442</v>
      </c>
      <c r="AB7" s="4"/>
      <c r="AC7" s="8" t="e">
        <f t="shared" si="5"/>
        <v>#NUM!</v>
      </c>
      <c r="AD7" s="4"/>
      <c r="AE7" s="9" t="e">
        <f t="shared" si="6"/>
        <v>#NUM!</v>
      </c>
      <c r="AF7" s="9"/>
      <c r="AG7" s="9"/>
      <c r="AH7" s="4"/>
    </row>
    <row r="8" spans="1:34" s="8" customFormat="1" ht="15" customHeight="1">
      <c r="A8" s="58">
        <v>5</v>
      </c>
      <c r="C8" s="4">
        <f>'Spinel-- no zeroes'!C8</f>
        <v>0</v>
      </c>
      <c r="E8" s="78">
        <v>1000</v>
      </c>
      <c r="F8" s="44">
        <f>'T calculator'!AG8</f>
        <v>914.0710456802318</v>
      </c>
      <c r="G8" s="51"/>
      <c r="H8" s="51"/>
      <c r="I8" s="8">
        <v>7000</v>
      </c>
      <c r="J8" s="8">
        <f t="shared" si="0"/>
        <v>7</v>
      </c>
      <c r="L8" s="51">
        <v>7.7250699999999997E-3</v>
      </c>
      <c r="M8" s="51"/>
      <c r="O8" s="68">
        <f>Olivine!AC8</f>
        <v>0.90725136560129849</v>
      </c>
      <c r="P8" s="44"/>
      <c r="Q8" s="69">
        <f>Orthopyroxene!BI8</f>
        <v>6.8527303830343252E-3</v>
      </c>
      <c r="R8" s="44"/>
      <c r="S8" s="24">
        <f t="shared" si="1"/>
        <v>-10.374512961508247</v>
      </c>
      <c r="U8" s="78">
        <f>-24222/($E8+273)+8.64+0.0567*($J8*1000-1)/($E8+273)-12*LOG10(1-$O8)-2620*$O8^2/($E8+273)+3*LOG10($Q8)+2*LOG10($L8)</f>
        <v>-10.09410747103734</v>
      </c>
      <c r="W8" s="9">
        <f t="shared" si="3"/>
        <v>0.28040549047090657</v>
      </c>
      <c r="X8" s="9"/>
      <c r="Y8" s="9"/>
      <c r="AA8" s="30">
        <f t="shared" si="4"/>
        <v>-11.757800400215428</v>
      </c>
      <c r="AB8" s="4"/>
      <c r="AC8" s="8" t="e">
        <f t="shared" si="5"/>
        <v>#NUM!</v>
      </c>
      <c r="AD8" s="4"/>
      <c r="AE8" s="9" t="e">
        <f t="shared" si="6"/>
        <v>#NUM!</v>
      </c>
      <c r="AF8" s="9"/>
      <c r="AG8" s="9"/>
      <c r="AH8" s="4"/>
    </row>
    <row r="9" spans="1:34" s="8" customFormat="1" ht="15" customHeight="1">
      <c r="A9" s="58">
        <v>6</v>
      </c>
      <c r="C9" s="4">
        <f>'Spinel-- no zeroes'!C9</f>
        <v>0</v>
      </c>
      <c r="E9" s="78">
        <v>1050</v>
      </c>
      <c r="F9" s="44">
        <f>'T calculator'!AG9</f>
        <v>914.0710456802318</v>
      </c>
      <c r="G9" s="51"/>
      <c r="H9" s="51"/>
      <c r="I9" s="8">
        <v>7500</v>
      </c>
      <c r="J9" s="8">
        <f t="shared" si="0"/>
        <v>7.5</v>
      </c>
      <c r="L9" s="51">
        <v>6.6003299999999997E-3</v>
      </c>
      <c r="M9" s="51"/>
      <c r="O9" s="68">
        <f>Olivine!AC9</f>
        <v>0.90725136560129849</v>
      </c>
      <c r="P9" s="44"/>
      <c r="Q9" s="69">
        <f>Orthopyroxene!BI9</f>
        <v>6.8527303830343252E-3</v>
      </c>
      <c r="R9" s="44"/>
      <c r="S9" s="24">
        <f t="shared" si="1"/>
        <v>-9.610736961451245</v>
      </c>
      <c r="U9" s="78">
        <f t="shared" si="2"/>
        <v>-9.4380065299445697</v>
      </c>
      <c r="W9" s="9">
        <f t="shared" si="3"/>
        <v>0.17273043150667533</v>
      </c>
      <c r="X9" s="9"/>
      <c r="Y9" s="9"/>
      <c r="AA9" s="30">
        <f t="shared" si="4"/>
        <v>-11.711467874289413</v>
      </c>
      <c r="AB9" s="4"/>
      <c r="AC9" s="8" t="e">
        <f t="shared" si="5"/>
        <v>#NUM!</v>
      </c>
      <c r="AD9" s="4"/>
      <c r="AE9" s="9" t="e">
        <f t="shared" si="6"/>
        <v>#NUM!</v>
      </c>
      <c r="AF9" s="9"/>
      <c r="AG9" s="9"/>
      <c r="AH9" s="4"/>
    </row>
    <row r="10" spans="1:34" s="8" customFormat="1" ht="15" customHeight="1">
      <c r="A10" s="58">
        <v>7</v>
      </c>
      <c r="C10" s="4">
        <f>'Spinel-- no zeroes'!C10</f>
        <v>0</v>
      </c>
      <c r="E10" s="78">
        <v>1100</v>
      </c>
      <c r="F10" s="44">
        <f>'T calculator'!AG10</f>
        <v>914.0710456802318</v>
      </c>
      <c r="G10" s="51"/>
      <c r="H10" s="51"/>
      <c r="I10" s="8">
        <v>8000</v>
      </c>
      <c r="J10" s="8">
        <f t="shared" si="0"/>
        <v>8</v>
      </c>
      <c r="L10" s="51">
        <v>5.7004100000000004E-3</v>
      </c>
      <c r="M10" s="51"/>
      <c r="O10" s="68">
        <f>Olivine!AC10</f>
        <v>0.90725136560129849</v>
      </c>
      <c r="P10" s="44"/>
      <c r="Q10" s="69">
        <f>Orthopyroxene!BI10</f>
        <v>6.8527303830343252E-3</v>
      </c>
      <c r="R10" s="44"/>
      <c r="S10" s="24">
        <f t="shared" ref="S10:S50" si="7">-25096.3/(E10+273)+8.735+0.11*((J10*1000-1)/(E10+273))</f>
        <v>-8.902589220684634</v>
      </c>
      <c r="U10" s="78">
        <f t="shared" si="2"/>
        <v>-8.8302914666734598</v>
      </c>
      <c r="W10" s="9">
        <f t="shared" ref="W10:W50" si="8">U10-S10</f>
        <v>7.229775401117422E-2</v>
      </c>
      <c r="X10" s="9"/>
      <c r="Y10" s="9"/>
      <c r="AA10" s="30">
        <f t="shared" ref="AA10:AA50" si="9">-25096.3/(F10+273)+8.735+0.11*((J10*1000-1)/(F10+273))</f>
        <v>-11.6651353483634</v>
      </c>
      <c r="AB10" s="4"/>
      <c r="AC10" s="8" t="e">
        <f t="shared" si="5"/>
        <v>#NUM!</v>
      </c>
      <c r="AD10" s="4"/>
      <c r="AE10" s="9" t="e">
        <f t="shared" ref="AE10:AE50" si="10">AC10-AA10</f>
        <v>#NUM!</v>
      </c>
      <c r="AF10" s="9"/>
      <c r="AG10" s="9"/>
      <c r="AH10" s="4"/>
    </row>
    <row r="11" spans="1:34" s="8" customFormat="1" ht="15" customHeight="1">
      <c r="A11" s="58">
        <v>8</v>
      </c>
      <c r="C11" s="4">
        <f>'Spinel-- no zeroes'!C11</f>
        <v>0</v>
      </c>
      <c r="E11" s="78">
        <v>1150</v>
      </c>
      <c r="F11" s="44">
        <f>'T calculator'!AG11</f>
        <v>914.0710456802318</v>
      </c>
      <c r="G11" s="51"/>
      <c r="H11" s="51"/>
      <c r="I11" s="8">
        <v>8500</v>
      </c>
      <c r="J11" s="8">
        <f t="shared" si="0"/>
        <v>8.5</v>
      </c>
      <c r="L11" s="51">
        <v>4.9713300000000004E-3</v>
      </c>
      <c r="M11" s="51"/>
      <c r="O11" s="68">
        <f>Olivine!AC11</f>
        <v>0.90725136560129849</v>
      </c>
      <c r="P11" s="44"/>
      <c r="Q11" s="69">
        <f>Orthopyroxene!BI11</f>
        <v>6.8527303830343252E-3</v>
      </c>
      <c r="R11" s="44"/>
      <c r="S11" s="24">
        <f t="shared" si="7"/>
        <v>-8.2442059030217845</v>
      </c>
      <c r="U11" s="78">
        <f t="shared" si="2"/>
        <v>-8.2657781337012821</v>
      </c>
      <c r="W11" s="9">
        <f t="shared" si="8"/>
        <v>-2.157223067949765E-2</v>
      </c>
      <c r="X11" s="9"/>
      <c r="Y11" s="9"/>
      <c r="AA11" s="30">
        <f t="shared" si="9"/>
        <v>-11.618802822437386</v>
      </c>
      <c r="AB11" s="4"/>
      <c r="AC11" s="8" t="e">
        <f t="shared" si="5"/>
        <v>#NUM!</v>
      </c>
      <c r="AD11" s="4"/>
      <c r="AE11" s="9" t="e">
        <f t="shared" si="10"/>
        <v>#NUM!</v>
      </c>
      <c r="AF11" s="9"/>
      <c r="AG11" s="9"/>
      <c r="AH11" s="4"/>
    </row>
    <row r="12" spans="1:34" s="8" customFormat="1" ht="15" customHeight="1">
      <c r="A12" s="58">
        <v>9</v>
      </c>
      <c r="C12" s="4">
        <f>'Spinel-- no zeroes'!C12</f>
        <v>0</v>
      </c>
      <c r="E12" s="78">
        <v>1200</v>
      </c>
      <c r="F12" s="44">
        <f>'T calculator'!AG12</f>
        <v>914.0710456802318</v>
      </c>
      <c r="G12" s="51"/>
      <c r="H12" s="51"/>
      <c r="I12" s="8">
        <v>9000</v>
      </c>
      <c r="J12" s="8">
        <f t="shared" si="0"/>
        <v>9</v>
      </c>
      <c r="L12" s="51">
        <v>4.37391E-3</v>
      </c>
      <c r="M12" s="51"/>
      <c r="O12" s="68">
        <f>Olivine!AC12</f>
        <v>0.90725136560129849</v>
      </c>
      <c r="P12" s="44"/>
      <c r="Q12" s="69">
        <f>Orthopyroxene!BI12</f>
        <v>6.8527303830343252E-3</v>
      </c>
      <c r="R12" s="44"/>
      <c r="S12" s="24">
        <f t="shared" si="7"/>
        <v>-7.6305193482688392</v>
      </c>
      <c r="U12" s="78">
        <f t="shared" si="2"/>
        <v>-7.739997077411191</v>
      </c>
      <c r="W12" s="9">
        <f t="shared" si="8"/>
        <v>-0.10947772914235188</v>
      </c>
      <c r="X12" s="9"/>
      <c r="Y12" s="9"/>
      <c r="AA12" s="30">
        <f t="shared" si="9"/>
        <v>-11.572470296511371</v>
      </c>
      <c r="AB12" s="4"/>
      <c r="AC12" s="8" t="e">
        <f t="shared" si="5"/>
        <v>#NUM!</v>
      </c>
      <c r="AD12" s="4"/>
      <c r="AE12" s="9" t="e">
        <f t="shared" si="10"/>
        <v>#NUM!</v>
      </c>
      <c r="AF12" s="9"/>
      <c r="AG12" s="9"/>
      <c r="AH12" s="4"/>
    </row>
    <row r="13" spans="1:34" s="8" customFormat="1" ht="15" customHeight="1">
      <c r="A13" s="58">
        <v>10</v>
      </c>
      <c r="C13" s="4">
        <f>'Spinel-- no zeroes'!C13</f>
        <v>0</v>
      </c>
      <c r="E13" s="78">
        <v>1250</v>
      </c>
      <c r="F13" s="44">
        <f>'T calculator'!AG13</f>
        <v>914.0710456802318</v>
      </c>
      <c r="G13" s="51"/>
      <c r="H13" s="51"/>
      <c r="I13" s="8">
        <v>9500</v>
      </c>
      <c r="J13" s="8">
        <f t="shared" si="0"/>
        <v>9.5</v>
      </c>
      <c r="L13" s="51">
        <v>3.8792900000000001E-3</v>
      </c>
      <c r="M13" s="51"/>
      <c r="O13" s="68">
        <f>Olivine!AC13</f>
        <v>0.90725136560129849</v>
      </c>
      <c r="P13" s="44"/>
      <c r="Q13" s="69">
        <f>Orthopyroxene!BI13</f>
        <v>6.8527303830343252E-3</v>
      </c>
      <c r="R13" s="44"/>
      <c r="S13" s="24">
        <f t="shared" si="7"/>
        <v>-7.0571273801707139</v>
      </c>
      <c r="U13" s="78">
        <f t="shared" si="2"/>
        <v>-7.2490701737131733</v>
      </c>
      <c r="W13" s="9">
        <f t="shared" si="8"/>
        <v>-0.19194279354245936</v>
      </c>
      <c r="X13" s="9"/>
      <c r="Y13" s="9"/>
      <c r="AA13" s="30">
        <f t="shared" si="9"/>
        <v>-11.526137770585358</v>
      </c>
      <c r="AB13" s="4"/>
      <c r="AC13" s="8" t="e">
        <f t="shared" si="5"/>
        <v>#NUM!</v>
      </c>
      <c r="AD13" s="4"/>
      <c r="AE13" s="9" t="e">
        <f t="shared" si="10"/>
        <v>#NUM!</v>
      </c>
      <c r="AF13" s="9"/>
      <c r="AG13" s="9"/>
      <c r="AH13" s="4"/>
    </row>
    <row r="14" spans="1:34" s="8" customFormat="1" ht="15" customHeight="1">
      <c r="A14" s="58">
        <v>11</v>
      </c>
      <c r="C14" s="4">
        <f>'Spinel-- no zeroes'!C14</f>
        <v>0</v>
      </c>
      <c r="E14" s="78">
        <v>1300</v>
      </c>
      <c r="F14" s="44">
        <f>'T calculator'!AG14</f>
        <v>914.0710456802318</v>
      </c>
      <c r="G14" s="51"/>
      <c r="H14" s="51"/>
      <c r="I14" s="8">
        <v>10000</v>
      </c>
      <c r="J14" s="8">
        <f t="shared" si="0"/>
        <v>10</v>
      </c>
      <c r="L14" s="51">
        <v>3.4658599999999999E-3</v>
      </c>
      <c r="M14" s="51"/>
      <c r="O14" s="68">
        <f>Olivine!AC14</f>
        <v>0.90725136560129849</v>
      </c>
      <c r="P14" s="44"/>
      <c r="Q14" s="69">
        <f>Orthopyroxene!BI14</f>
        <v>6.8527303830343252E-3</v>
      </c>
      <c r="R14" s="44"/>
      <c r="S14" s="24">
        <f t="shared" si="7"/>
        <v>-6.5201875397329951</v>
      </c>
      <c r="U14" s="78">
        <f t="shared" si="2"/>
        <v>-6.7896266563425351</v>
      </c>
      <c r="W14" s="9">
        <f t="shared" si="8"/>
        <v>-0.26943911660954001</v>
      </c>
      <c r="X14" s="9"/>
      <c r="Y14" s="9"/>
      <c r="AA14" s="30">
        <f t="shared" si="9"/>
        <v>-11.479805244659342</v>
      </c>
      <c r="AB14" s="4"/>
      <c r="AC14" s="8" t="e">
        <f t="shared" si="5"/>
        <v>#NUM!</v>
      </c>
      <c r="AD14" s="4"/>
      <c r="AE14" s="9" t="e">
        <f t="shared" si="10"/>
        <v>#NUM!</v>
      </c>
      <c r="AF14" s="9"/>
      <c r="AG14" s="9"/>
      <c r="AH14" s="4"/>
    </row>
    <row r="15" spans="1:34" s="8" customFormat="1" ht="15" customHeight="1">
      <c r="A15" s="58">
        <v>12</v>
      </c>
      <c r="C15" s="4">
        <f>'Spinel-- no zeroes'!C15</f>
        <v>0</v>
      </c>
      <c r="E15" s="78">
        <v>1350</v>
      </c>
      <c r="F15" s="44">
        <f>'T calculator'!AG15</f>
        <v>914.0710456802318</v>
      </c>
      <c r="G15" s="51"/>
      <c r="H15" s="51"/>
      <c r="I15" s="8">
        <v>10500</v>
      </c>
      <c r="J15" s="8">
        <f t="shared" si="0"/>
        <v>10.5</v>
      </c>
      <c r="L15" s="51">
        <v>3.1172600000000002E-3</v>
      </c>
      <c r="M15" s="51"/>
      <c r="O15" s="68">
        <f>Olivine!AC15</f>
        <v>0.90725136560129849</v>
      </c>
      <c r="P15" s="44"/>
      <c r="Q15" s="69">
        <f>Orthopyroxene!BI15</f>
        <v>6.8527303830343252E-3</v>
      </c>
      <c r="R15" s="44"/>
      <c r="S15" s="24">
        <f t="shared" si="7"/>
        <v>-6.0163308687615524</v>
      </c>
      <c r="U15" s="78">
        <f t="shared" si="2"/>
        <v>-6.3587159019240467</v>
      </c>
      <c r="W15" s="9">
        <f t="shared" si="8"/>
        <v>-0.34238503316249425</v>
      </c>
      <c r="X15" s="9"/>
      <c r="Y15" s="9"/>
      <c r="AA15" s="30">
        <f t="shared" si="9"/>
        <v>-11.433472718733329</v>
      </c>
      <c r="AB15" s="4"/>
      <c r="AC15" s="8" t="e">
        <f t="shared" si="5"/>
        <v>#NUM!</v>
      </c>
      <c r="AD15" s="4"/>
      <c r="AE15" s="9" t="e">
        <f t="shared" si="10"/>
        <v>#NUM!</v>
      </c>
      <c r="AF15" s="9"/>
      <c r="AG15" s="9"/>
      <c r="AH15" s="4"/>
    </row>
    <row r="16" spans="1:34" s="8" customFormat="1" ht="15" customHeight="1" thickBot="1">
      <c r="A16" s="58">
        <v>13</v>
      </c>
      <c r="C16" s="4">
        <f>'Spinel-- no zeroes'!C16</f>
        <v>0</v>
      </c>
      <c r="E16" s="79">
        <v>1400</v>
      </c>
      <c r="F16" s="44">
        <f>'T calculator'!AG16</f>
        <v>914.0710456802318</v>
      </c>
      <c r="G16" s="51"/>
      <c r="H16" s="51"/>
      <c r="I16" s="8">
        <v>11000</v>
      </c>
      <c r="J16" s="8">
        <f t="shared" si="0"/>
        <v>11</v>
      </c>
      <c r="L16" s="51">
        <v>2.8209400000000001E-3</v>
      </c>
      <c r="M16" s="51"/>
      <c r="O16" s="68">
        <f>Olivine!AC16</f>
        <v>0.90725136560129849</v>
      </c>
      <c r="P16" s="44"/>
      <c r="Q16" s="69">
        <f>Orthopyroxene!BI16</f>
        <v>6.8527303830343252E-3</v>
      </c>
      <c r="R16" s="44"/>
      <c r="S16" s="24">
        <f t="shared" si="7"/>
        <v>-5.5425911536162582</v>
      </c>
      <c r="U16" s="79">
        <f t="shared" si="2"/>
        <v>-5.953747939383863</v>
      </c>
      <c r="W16" s="9">
        <f t="shared" si="8"/>
        <v>-0.41115678576760484</v>
      </c>
      <c r="X16" s="9"/>
      <c r="Y16" s="9"/>
      <c r="AA16" s="30">
        <f t="shared" si="9"/>
        <v>-11.387140192807315</v>
      </c>
      <c r="AB16" s="4"/>
      <c r="AC16" s="8" t="e">
        <f t="shared" si="5"/>
        <v>#NUM!</v>
      </c>
      <c r="AD16" s="4"/>
      <c r="AE16" s="9" t="e">
        <f t="shared" si="10"/>
        <v>#NUM!</v>
      </c>
      <c r="AF16" s="9"/>
      <c r="AG16" s="9"/>
      <c r="AH16" s="4"/>
    </row>
    <row r="17" spans="1:34" s="8" customFormat="1" ht="15" customHeight="1" thickBot="1">
      <c r="A17" s="58"/>
      <c r="C17" s="4"/>
      <c r="F17" s="44"/>
      <c r="G17" s="51"/>
      <c r="H17" s="51"/>
      <c r="L17" s="51"/>
      <c r="M17" s="51"/>
      <c r="O17" s="68"/>
      <c r="P17" s="44"/>
      <c r="Q17" s="69"/>
      <c r="R17" s="44"/>
      <c r="S17" s="24"/>
      <c r="W17" s="9"/>
      <c r="X17" s="9"/>
      <c r="Y17" s="9"/>
      <c r="AA17" s="30"/>
      <c r="AB17" s="4"/>
      <c r="AD17" s="4"/>
      <c r="AE17" s="9"/>
      <c r="AF17" s="9"/>
      <c r="AG17" s="9"/>
      <c r="AH17" s="4"/>
    </row>
    <row r="18" spans="1:34" s="8" customFormat="1" ht="15" customHeight="1">
      <c r="A18" s="58">
        <v>15</v>
      </c>
      <c r="C18" s="4" t="s">
        <v>120</v>
      </c>
      <c r="E18" s="8">
        <v>850</v>
      </c>
      <c r="F18" s="77">
        <f>'T calculator'!AG18</f>
        <v>786.25616159673848</v>
      </c>
      <c r="G18" s="51"/>
      <c r="H18" s="51"/>
      <c r="I18" s="8">
        <v>4862.5616159673846</v>
      </c>
      <c r="J18" s="58">
        <f>I18/1000</f>
        <v>4.862561615967385</v>
      </c>
      <c r="L18" s="51"/>
      <c r="M18" s="51">
        <v>1.8168900000000002E-2</v>
      </c>
      <c r="O18" s="68">
        <f>Olivine!AC18</f>
        <v>0.90725136560129849</v>
      </c>
      <c r="P18" s="44"/>
      <c r="Q18" s="69">
        <f>Orthopyroxene!BI18</f>
        <v>6.8527303830343252E-3</v>
      </c>
      <c r="R18" s="44"/>
      <c r="S18" s="24">
        <f t="shared" si="7"/>
        <v>-13.136351934321985</v>
      </c>
      <c r="U18" s="8" t="e">
        <f t="shared" si="2"/>
        <v>#NUM!</v>
      </c>
      <c r="W18" s="9" t="e">
        <f t="shared" si="8"/>
        <v>#NUM!</v>
      </c>
      <c r="X18" s="9"/>
      <c r="Y18" s="9"/>
      <c r="AA18" s="30">
        <f t="shared" si="9"/>
        <v>-14.452524522131812</v>
      </c>
      <c r="AB18" s="4"/>
      <c r="AC18" s="77">
        <f t="shared" si="5"/>
        <v>-13.584097569123296</v>
      </c>
      <c r="AD18" s="4"/>
      <c r="AE18" s="9">
        <f t="shared" si="10"/>
        <v>0.86842695300851602</v>
      </c>
      <c r="AF18" s="9"/>
      <c r="AG18" s="9"/>
      <c r="AH18" s="4">
        <v>786.25616159673848</v>
      </c>
    </row>
    <row r="19" spans="1:34" s="8" customFormat="1" ht="15" customHeight="1">
      <c r="A19" s="58">
        <v>16</v>
      </c>
      <c r="C19" s="4">
        <f>'Spinel-- no zeroes'!C19</f>
        <v>0</v>
      </c>
      <c r="E19" s="8">
        <v>850</v>
      </c>
      <c r="F19" s="78">
        <f>'T calculator'!AG19</f>
        <v>814.47566812711773</v>
      </c>
      <c r="G19" s="51"/>
      <c r="H19" s="51"/>
      <c r="I19" s="8">
        <v>4619.7451098264073</v>
      </c>
      <c r="J19" s="58">
        <f t="shared" ref="J19:J30" si="11">I19/1000</f>
        <v>4.6197451098264075</v>
      </c>
      <c r="L19" s="51"/>
      <c r="M19" s="51">
        <v>1.5953999999999999E-2</v>
      </c>
      <c r="O19" s="68">
        <f>Olivine!AC19</f>
        <v>0.90725136560129849</v>
      </c>
      <c r="P19" s="44"/>
      <c r="Q19" s="69">
        <f>Orthopyroxene!BI19</f>
        <v>6.8527303830343252E-3</v>
      </c>
      <c r="R19" s="44"/>
      <c r="S19" s="24">
        <f t="shared" si="7"/>
        <v>-13.160136275974262</v>
      </c>
      <c r="U19" s="8" t="e">
        <f t="shared" si="2"/>
        <v>#NUM!</v>
      </c>
      <c r="W19" s="9" t="e">
        <f t="shared" si="8"/>
        <v>#NUM!</v>
      </c>
      <c r="X19" s="9"/>
      <c r="Y19" s="9"/>
      <c r="AA19" s="30">
        <f t="shared" si="9"/>
        <v>-13.875379945572183</v>
      </c>
      <c r="AB19" s="4"/>
      <c r="AC19" s="78">
        <f t="shared" si="5"/>
        <v>-13.070210023471629</v>
      </c>
      <c r="AD19" s="4"/>
      <c r="AE19" s="9">
        <f t="shared" si="10"/>
        <v>0.80516992210055349</v>
      </c>
      <c r="AF19" s="9"/>
      <c r="AG19" s="9"/>
      <c r="AH19" s="4">
        <v>814.47566812711773</v>
      </c>
    </row>
    <row r="20" spans="1:34" s="8" customFormat="1" ht="15" customHeight="1">
      <c r="A20" s="58">
        <v>17</v>
      </c>
      <c r="C20" s="4">
        <f>'Spinel-- no zeroes'!C20</f>
        <v>0</v>
      </c>
      <c r="E20" s="8">
        <v>850</v>
      </c>
      <c r="F20" s="78">
        <f>'T calculator'!AG20</f>
        <v>844.95429902941498</v>
      </c>
      <c r="G20" s="51"/>
      <c r="H20" s="51"/>
      <c r="I20" s="8">
        <v>5033.8376886271581</v>
      </c>
      <c r="J20" s="58">
        <f t="shared" si="11"/>
        <v>5.0338376886271581</v>
      </c>
      <c r="L20" s="51"/>
      <c r="M20" s="51">
        <v>1.39293E-2</v>
      </c>
      <c r="O20" s="68">
        <f>Olivine!AC20</f>
        <v>0.90725136560129849</v>
      </c>
      <c r="P20" s="44"/>
      <c r="Q20" s="69">
        <f>Orthopyroxene!BI20</f>
        <v>6.8527303830343252E-3</v>
      </c>
      <c r="R20" s="44"/>
      <c r="S20" s="24">
        <f t="shared" si="7"/>
        <v>-13.119575115094403</v>
      </c>
      <c r="U20" s="8" t="e">
        <f t="shared" si="2"/>
        <v>#NUM!</v>
      </c>
      <c r="W20" s="9" t="e">
        <f t="shared" si="8"/>
        <v>#NUM!</v>
      </c>
      <c r="X20" s="9"/>
      <c r="Y20" s="9"/>
      <c r="AA20" s="30">
        <f t="shared" si="9"/>
        <v>-13.218212108543678</v>
      </c>
      <c r="AB20" s="4"/>
      <c r="AC20" s="78">
        <f t="shared" si="5"/>
        <v>-12.512348079415666</v>
      </c>
      <c r="AD20" s="4"/>
      <c r="AE20" s="9">
        <f t="shared" si="10"/>
        <v>0.70586402912801205</v>
      </c>
      <c r="AF20" s="9"/>
      <c r="AG20" s="9"/>
      <c r="AH20" s="4">
        <v>844.95429902941498</v>
      </c>
    </row>
    <row r="21" spans="1:34" s="8" customFormat="1" ht="15" customHeight="1">
      <c r="A21" s="58">
        <v>18</v>
      </c>
      <c r="C21" s="4">
        <f>'Spinel-- no zeroes'!C21</f>
        <v>0</v>
      </c>
      <c r="E21" s="8">
        <v>850</v>
      </c>
      <c r="F21" s="78">
        <f>'T calculator'!AG21</f>
        <v>878.02049811586414</v>
      </c>
      <c r="G21" s="51"/>
      <c r="H21" s="51"/>
      <c r="I21" s="8">
        <v>5521.8053002656652</v>
      </c>
      <c r="J21" s="58">
        <f t="shared" si="11"/>
        <v>5.5218053002656653</v>
      </c>
      <c r="L21" s="51"/>
      <c r="M21" s="51">
        <v>1.2086899999999999E-2</v>
      </c>
      <c r="O21" s="68">
        <f>Olivine!AC21</f>
        <v>0.90725136560129849</v>
      </c>
      <c r="P21" s="44"/>
      <c r="Q21" s="69">
        <f>Orthopyroxene!BI21</f>
        <v>6.8527303830343252E-3</v>
      </c>
      <c r="R21" s="44"/>
      <c r="S21" s="24">
        <f t="shared" si="7"/>
        <v>-13.071777753313249</v>
      </c>
      <c r="U21" s="8" t="e">
        <f t="shared" si="2"/>
        <v>#NUM!</v>
      </c>
      <c r="W21" s="9" t="e">
        <f t="shared" si="8"/>
        <v>#NUM!</v>
      </c>
      <c r="X21" s="9"/>
      <c r="Y21" s="9"/>
      <c r="AA21" s="30">
        <f t="shared" si="9"/>
        <v>-12.54091251159948</v>
      </c>
      <c r="AB21" s="4"/>
      <c r="AC21" s="78">
        <f t="shared" si="5"/>
        <v>-11.941031052380467</v>
      </c>
      <c r="AD21" s="4"/>
      <c r="AE21" s="9">
        <f t="shared" si="10"/>
        <v>0.59988145921901292</v>
      </c>
      <c r="AF21" s="9"/>
      <c r="AG21" s="9"/>
      <c r="AH21" s="4">
        <v>878.02049811586414</v>
      </c>
    </row>
    <row r="22" spans="1:34" s="8" customFormat="1" ht="15" customHeight="1">
      <c r="A22" s="58">
        <v>19</v>
      </c>
      <c r="C22" s="4">
        <f>'Spinel-- no zeroes'!C22</f>
        <v>0</v>
      </c>
      <c r="E22" s="8">
        <v>850</v>
      </c>
      <c r="F22" s="78">
        <f>'T calculator'!AG22</f>
        <v>914.0710456802318</v>
      </c>
      <c r="G22" s="51"/>
      <c r="H22" s="51"/>
      <c r="I22" s="8">
        <v>6035.5138091888002</v>
      </c>
      <c r="J22" s="58">
        <f t="shared" si="11"/>
        <v>6.0355138091888003</v>
      </c>
      <c r="L22" s="51"/>
      <c r="M22" s="51">
        <v>1.0418699999999999E-2</v>
      </c>
      <c r="O22" s="68">
        <f>Olivine!AC22</f>
        <v>0.90725136560129849</v>
      </c>
      <c r="P22" s="44"/>
      <c r="Q22" s="69">
        <f>Orthopyroxene!BI22</f>
        <v>6.8527303830343252E-3</v>
      </c>
      <c r="R22" s="44"/>
      <c r="S22" s="24">
        <f t="shared" si="7"/>
        <v>-13.021459021361739</v>
      </c>
      <c r="U22" s="8" t="e">
        <f t="shared" si="2"/>
        <v>#NUM!</v>
      </c>
      <c r="W22" s="9" t="e">
        <f t="shared" si="8"/>
        <v>#NUM!</v>
      </c>
      <c r="X22" s="9"/>
      <c r="Y22" s="9"/>
      <c r="AA22" s="30">
        <f t="shared" si="9"/>
        <v>-11.847174563097512</v>
      </c>
      <c r="AB22" s="4"/>
      <c r="AC22" s="78">
        <f t="shared" si="5"/>
        <v>-11.357766310352472</v>
      </c>
      <c r="AD22" s="4"/>
      <c r="AE22" s="80">
        <f t="shared" si="10"/>
        <v>0.48940825274504007</v>
      </c>
      <c r="AF22" s="9"/>
      <c r="AG22" s="9"/>
      <c r="AH22" s="4">
        <v>914.0710456802318</v>
      </c>
    </row>
    <row r="23" spans="1:34" s="8" customFormat="1" ht="15" customHeight="1">
      <c r="A23" s="58">
        <v>20</v>
      </c>
      <c r="C23" s="4">
        <f>'Spinel-- no zeroes'!C23</f>
        <v>0</v>
      </c>
      <c r="E23" s="8">
        <v>850</v>
      </c>
      <c r="F23" s="78">
        <f>'T calculator'!AG23</f>
        <v>953.59008563576197</v>
      </c>
      <c r="G23" s="51"/>
      <c r="H23" s="51"/>
      <c r="I23" s="8">
        <v>6571.2836528665948</v>
      </c>
      <c r="J23" s="58">
        <f t="shared" si="11"/>
        <v>6.5712836528665948</v>
      </c>
      <c r="L23" s="51"/>
      <c r="M23" s="51">
        <v>8.9160000000000003E-3</v>
      </c>
      <c r="O23" s="68">
        <f>Olivine!AC23</f>
        <v>0.90725136560129849</v>
      </c>
      <c r="P23" s="44"/>
      <c r="Q23" s="69">
        <f>Orthopyroxene!BI23</f>
        <v>6.8527303830343252E-3</v>
      </c>
      <c r="R23" s="44"/>
      <c r="S23" s="24">
        <f t="shared" si="7"/>
        <v>-12.968979339434261</v>
      </c>
      <c r="U23" s="8" t="e">
        <f t="shared" si="2"/>
        <v>#NUM!</v>
      </c>
      <c r="W23" s="9" t="e">
        <f t="shared" si="8"/>
        <v>#NUM!</v>
      </c>
      <c r="X23" s="9"/>
      <c r="Y23" s="9"/>
      <c r="AA23" s="30">
        <f t="shared" si="9"/>
        <v>-11.135997722561443</v>
      </c>
      <c r="AB23" s="4"/>
      <c r="AC23" s="78">
        <f t="shared" si="5"/>
        <v>-10.761626447058912</v>
      </c>
      <c r="AD23" s="4"/>
      <c r="AE23" s="9">
        <f t="shared" si="10"/>
        <v>0.37437127550253102</v>
      </c>
      <c r="AF23" s="9"/>
      <c r="AG23" s="9"/>
      <c r="AH23" s="4">
        <v>953.59008563576197</v>
      </c>
    </row>
    <row r="24" spans="1:34" s="8" customFormat="1" ht="15" customHeight="1">
      <c r="A24" s="58">
        <v>21</v>
      </c>
      <c r="C24" s="4">
        <f>'Spinel-- no zeroes'!C24</f>
        <v>0</v>
      </c>
      <c r="E24" s="8">
        <v>850</v>
      </c>
      <c r="F24" s="78">
        <f>'T calculator'!AG24</f>
        <v>997.17492939720648</v>
      </c>
      <c r="G24" s="51"/>
      <c r="H24" s="51"/>
      <c r="I24" s="8">
        <v>7129.5214402263437</v>
      </c>
      <c r="J24" s="58">
        <f t="shared" si="11"/>
        <v>7.1295214402263438</v>
      </c>
      <c r="L24" s="51"/>
      <c r="M24" s="51">
        <v>7.5699000000000001E-3</v>
      </c>
      <c r="O24" s="68">
        <f>Olivine!AC24</f>
        <v>0.90725136560129849</v>
      </c>
      <c r="P24" s="44"/>
      <c r="Q24" s="69">
        <f>Orthopyroxene!BI24</f>
        <v>6.8527303830343252E-3</v>
      </c>
      <c r="R24" s="44"/>
      <c r="S24" s="24">
        <f t="shared" si="7"/>
        <v>-12.914298879407928</v>
      </c>
      <c r="U24" s="8" t="e">
        <f t="shared" si="2"/>
        <v>#NUM!</v>
      </c>
      <c r="W24" s="9" t="e">
        <f t="shared" si="8"/>
        <v>#NUM!</v>
      </c>
      <c r="X24" s="9"/>
      <c r="Y24" s="9"/>
      <c r="AA24" s="30">
        <f t="shared" si="9"/>
        <v>-10.405798703303844</v>
      </c>
      <c r="AB24" s="4"/>
      <c r="AC24" s="78">
        <f t="shared" si="5"/>
        <v>-10.151344920869676</v>
      </c>
      <c r="AD24" s="4"/>
      <c r="AE24" s="9">
        <f t="shared" si="10"/>
        <v>0.25445378243416883</v>
      </c>
      <c r="AF24" s="9"/>
      <c r="AG24" s="9"/>
      <c r="AH24" s="4">
        <v>997.17492939720648</v>
      </c>
    </row>
    <row r="25" spans="1:34" s="8" customFormat="1" ht="15" customHeight="1">
      <c r="A25" s="58">
        <v>22</v>
      </c>
      <c r="C25" s="4">
        <f>'Spinel-- no zeroes'!C25</f>
        <v>0</v>
      </c>
      <c r="E25" s="8">
        <v>850</v>
      </c>
      <c r="F25" s="78">
        <f>'T calculator'!AG25</f>
        <v>1045.5716418484008</v>
      </c>
      <c r="G25" s="51"/>
      <c r="H25" s="51"/>
      <c r="I25" s="8">
        <v>7710.9052840947652</v>
      </c>
      <c r="J25" s="58">
        <f t="shared" si="11"/>
        <v>7.7109052840947649</v>
      </c>
      <c r="L25" s="51"/>
      <c r="M25" s="51">
        <v>6.37128E-3</v>
      </c>
      <c r="O25" s="68">
        <f>Olivine!AC25</f>
        <v>0.90725136560129849</v>
      </c>
      <c r="P25" s="44"/>
      <c r="Q25" s="69">
        <f>Orthopyroxene!BI25</f>
        <v>6.8527303830343252E-3</v>
      </c>
      <c r="R25" s="44"/>
      <c r="S25" s="24">
        <f t="shared" si="7"/>
        <v>-12.857351218833106</v>
      </c>
      <c r="U25" s="8" t="e">
        <f t="shared" si="2"/>
        <v>#NUM!</v>
      </c>
      <c r="W25" s="9" t="e">
        <f t="shared" si="8"/>
        <v>#NUM!</v>
      </c>
      <c r="X25" s="9"/>
      <c r="Y25" s="9"/>
      <c r="AA25" s="30">
        <f t="shared" si="9"/>
        <v>-9.6547557395955668</v>
      </c>
      <c r="AB25" s="4"/>
      <c r="AC25" s="78">
        <f t="shared" si="5"/>
        <v>-9.5254981531155583</v>
      </c>
      <c r="AD25" s="4"/>
      <c r="AE25" s="9">
        <f t="shared" si="10"/>
        <v>0.12925758648000851</v>
      </c>
      <c r="AF25" s="9"/>
      <c r="AG25" s="9"/>
      <c r="AH25" s="4">
        <v>1045.5716418484008</v>
      </c>
    </row>
    <row r="26" spans="1:34" s="8" customFormat="1" ht="15" customHeight="1">
      <c r="A26" s="58">
        <v>23</v>
      </c>
      <c r="C26" s="4">
        <f>'Spinel-- no zeroes'!C26</f>
        <v>0</v>
      </c>
      <c r="E26" s="8">
        <v>850</v>
      </c>
      <c r="F26" s="78">
        <f>'T calculator'!AG26</f>
        <v>1099.7250447029228</v>
      </c>
      <c r="G26" s="51"/>
      <c r="H26" s="51"/>
      <c r="I26" s="8">
        <v>8316.0051912176423</v>
      </c>
      <c r="J26" s="58">
        <f t="shared" si="11"/>
        <v>8.3160051912176431</v>
      </c>
      <c r="L26" s="51"/>
      <c r="M26" s="51">
        <v>5.3109200000000002E-3</v>
      </c>
      <c r="O26" s="68">
        <f>Olivine!AC26</f>
        <v>0.90725136560129849</v>
      </c>
      <c r="P26" s="44"/>
      <c r="Q26" s="69">
        <f>Orthopyroxene!BI26</f>
        <v>6.8527303830343252E-3</v>
      </c>
      <c r="R26" s="44"/>
      <c r="S26" s="24">
        <f t="shared" si="7"/>
        <v>-12.798080524457756</v>
      </c>
      <c r="U26" s="8" t="e">
        <f t="shared" si="2"/>
        <v>#NUM!</v>
      </c>
      <c r="W26" s="9" t="e">
        <f t="shared" si="8"/>
        <v>#NUM!</v>
      </c>
      <c r="X26" s="9"/>
      <c r="Y26" s="9"/>
      <c r="AA26" s="30">
        <f t="shared" si="9"/>
        <v>-8.8807996987658324</v>
      </c>
      <c r="AB26" s="4"/>
      <c r="AC26" s="78">
        <f t="shared" si="5"/>
        <v>-8.8824936780234651</v>
      </c>
      <c r="AD26" s="4"/>
      <c r="AE26" s="80">
        <f t="shared" si="10"/>
        <v>-1.6939792576327051E-3</v>
      </c>
      <c r="AF26" s="9"/>
      <c r="AG26" s="9"/>
      <c r="AH26" s="4">
        <v>1099.7250447029228</v>
      </c>
    </row>
    <row r="27" spans="1:34" s="8" customFormat="1" ht="15" customHeight="1">
      <c r="A27" s="58">
        <v>24</v>
      </c>
      <c r="C27" s="4">
        <f>'Spinel-- no zeroes'!C27</f>
        <v>0</v>
      </c>
      <c r="E27" s="8">
        <v>850</v>
      </c>
      <c r="F27" s="78">
        <f>'T calculator'!AG27</f>
        <v>1160.8504708974001</v>
      </c>
      <c r="G27" s="51"/>
      <c r="H27" s="51"/>
      <c r="I27" s="8">
        <v>8945.2294958259517</v>
      </c>
      <c r="J27" s="58">
        <f t="shared" si="11"/>
        <v>8.9452294958259522</v>
      </c>
      <c r="L27" s="51"/>
      <c r="M27" s="51">
        <v>4.37959E-3</v>
      </c>
      <c r="O27" s="68">
        <f>Olivine!AC27</f>
        <v>0.90725136560129849</v>
      </c>
      <c r="P27" s="44"/>
      <c r="Q27" s="69">
        <f>Orthopyroxene!BI27</f>
        <v>6.8527303830343252E-3</v>
      </c>
      <c r="R27" s="44"/>
      <c r="S27" s="24">
        <f t="shared" si="7"/>
        <v>-12.736446799162197</v>
      </c>
      <c r="U27" s="8" t="e">
        <f t="shared" si="2"/>
        <v>#NUM!</v>
      </c>
      <c r="W27" s="9" t="e">
        <f t="shared" si="8"/>
        <v>#NUM!</v>
      </c>
      <c r="X27" s="9"/>
      <c r="Y27" s="9"/>
      <c r="AA27" s="30">
        <f t="shared" si="9"/>
        <v>-8.0815615905317966</v>
      </c>
      <c r="AB27" s="4"/>
      <c r="AC27" s="78">
        <f t="shared" si="5"/>
        <v>-8.2205346669740251</v>
      </c>
      <c r="AD27" s="4"/>
      <c r="AE27" s="9">
        <f t="shared" si="10"/>
        <v>-0.13897307644222856</v>
      </c>
      <c r="AF27" s="9"/>
      <c r="AG27" s="9"/>
      <c r="AH27" s="4">
        <v>1160.8504708974001</v>
      </c>
    </row>
    <row r="28" spans="1:34" s="8" customFormat="1" ht="15" customHeight="1">
      <c r="A28" s="58">
        <v>25</v>
      </c>
      <c r="C28" s="4">
        <f>'Spinel-- no zeroes'!C28</f>
        <v>0</v>
      </c>
      <c r="E28" s="8">
        <v>850</v>
      </c>
      <c r="F28" s="78">
        <f>'T calculator'!AG28</f>
        <v>1230.5392102903593</v>
      </c>
      <c r="G28" s="51"/>
      <c r="H28" s="51"/>
      <c r="I28" s="8">
        <v>9598.8016505378255</v>
      </c>
      <c r="J28" s="58">
        <f t="shared" si="11"/>
        <v>9.5988016505378262</v>
      </c>
      <c r="L28" s="51"/>
      <c r="M28" s="51">
        <v>3.5681599999999999E-3</v>
      </c>
      <c r="O28" s="68">
        <f>Olivine!AC28</f>
        <v>0.90725136560129849</v>
      </c>
      <c r="P28" s="44"/>
      <c r="Q28" s="69">
        <f>Orthopyroxene!BI28</f>
        <v>6.8527303830343252E-3</v>
      </c>
      <c r="R28" s="44"/>
      <c r="S28" s="24">
        <f t="shared" si="7"/>
        <v>-12.672428155334675</v>
      </c>
      <c r="U28" s="8" t="e">
        <f t="shared" si="2"/>
        <v>#NUM!</v>
      </c>
      <c r="W28" s="9" t="e">
        <f t="shared" si="8"/>
        <v>#NUM!</v>
      </c>
      <c r="X28" s="9"/>
      <c r="Y28" s="9"/>
      <c r="AA28" s="30">
        <f t="shared" si="9"/>
        <v>-7.2543015452508195</v>
      </c>
      <c r="AB28" s="4"/>
      <c r="AC28" s="78">
        <f t="shared" si="5"/>
        <v>-7.5375626414264048</v>
      </c>
      <c r="AD28" s="4"/>
      <c r="AE28" s="9">
        <f t="shared" si="10"/>
        <v>-0.28326109617558526</v>
      </c>
      <c r="AF28" s="9"/>
      <c r="AG28" s="9"/>
      <c r="AH28" s="4">
        <v>1230.5392102903593</v>
      </c>
    </row>
    <row r="29" spans="1:34" s="8" customFormat="1" ht="15" customHeight="1">
      <c r="A29" s="58">
        <v>26</v>
      </c>
      <c r="C29" s="4">
        <f>'Spinel-- no zeroes'!C29</f>
        <v>0</v>
      </c>
      <c r="E29" s="8">
        <v>850</v>
      </c>
      <c r="F29" s="78">
        <f>'T calculator'!AG29</f>
        <v>1310.9177306185829</v>
      </c>
      <c r="G29" s="51"/>
      <c r="H29" s="51"/>
      <c r="I29" s="8">
        <v>10276.739843871579</v>
      </c>
      <c r="J29" s="58">
        <f t="shared" si="11"/>
        <v>10.27673984387158</v>
      </c>
      <c r="L29" s="51"/>
      <c r="M29" s="51">
        <v>2.86761E-3</v>
      </c>
      <c r="O29" s="68">
        <f>Olivine!AC29</f>
        <v>0.90725136560129849</v>
      </c>
      <c r="P29" s="44"/>
      <c r="Q29" s="69">
        <f>Orthopyroxene!BI29</f>
        <v>6.8527303830343252E-3</v>
      </c>
      <c r="R29" s="44"/>
      <c r="S29" s="24">
        <f t="shared" si="7"/>
        <v>-12.606022811375002</v>
      </c>
      <c r="U29" s="8" t="e">
        <f t="shared" si="2"/>
        <v>#NUM!</v>
      </c>
      <c r="W29" s="9" t="e">
        <f t="shared" si="8"/>
        <v>#NUM!</v>
      </c>
      <c r="X29" s="9"/>
      <c r="Y29" s="9"/>
      <c r="AA29" s="30">
        <f t="shared" si="9"/>
        <v>-6.3958165530885633</v>
      </c>
      <c r="AB29" s="4"/>
      <c r="AC29" s="78">
        <f t="shared" si="5"/>
        <v>-6.8311959263144555</v>
      </c>
      <c r="AD29" s="4"/>
      <c r="AE29" s="9">
        <f t="shared" si="10"/>
        <v>-0.43537937322589215</v>
      </c>
      <c r="AF29" s="9"/>
      <c r="AG29" s="9"/>
      <c r="AH29" s="4">
        <v>1310.9177306185829</v>
      </c>
    </row>
    <row r="30" spans="1:34" s="8" customFormat="1" ht="15" customHeight="1" thickBot="1">
      <c r="A30" s="58">
        <v>27</v>
      </c>
      <c r="C30" s="4">
        <f>'Spinel-- no zeroes'!C30</f>
        <v>0</v>
      </c>
      <c r="E30" s="8">
        <v>850</v>
      </c>
      <c r="F30" s="79">
        <f>'T calculator'!AG30</f>
        <v>1404.8957398392049</v>
      </c>
      <c r="G30" s="51"/>
      <c r="H30" s="51"/>
      <c r="I30" s="8">
        <v>11048.957398392049</v>
      </c>
      <c r="J30" s="58">
        <f t="shared" si="11"/>
        <v>11.04895739839205</v>
      </c>
      <c r="L30" s="51"/>
      <c r="M30" s="51">
        <v>2.2690800000000001E-3</v>
      </c>
      <c r="O30" s="68">
        <f>Olivine!AC30</f>
        <v>0.90725136560129849</v>
      </c>
      <c r="P30" s="44"/>
      <c r="Q30" s="69">
        <f>Orthopyroxene!BI30</f>
        <v>6.8527303830343252E-3</v>
      </c>
      <c r="R30" s="44"/>
      <c r="S30" s="24">
        <f t="shared" si="7"/>
        <v>-12.530382623487867</v>
      </c>
      <c r="U30" s="8" t="e">
        <f t="shared" si="2"/>
        <v>#NUM!</v>
      </c>
      <c r="W30" s="9" t="e">
        <f t="shared" si="8"/>
        <v>#NUM!</v>
      </c>
      <c r="X30" s="9"/>
      <c r="Y30" s="9"/>
      <c r="AA30" s="30">
        <f t="shared" si="9"/>
        <v>-5.4977226413158578</v>
      </c>
      <c r="AB30" s="4"/>
      <c r="AC30" s="79">
        <f t="shared" si="5"/>
        <v>-6.0962639744937208</v>
      </c>
      <c r="AD30" s="4"/>
      <c r="AE30" s="9">
        <f t="shared" si="10"/>
        <v>-0.59854133317786307</v>
      </c>
      <c r="AF30" s="9"/>
      <c r="AG30" s="9"/>
      <c r="AH30" s="4">
        <v>1404.8957398392049</v>
      </c>
    </row>
    <row r="31" spans="1:34" s="8" customFormat="1" ht="15" customHeight="1" thickBot="1">
      <c r="A31" s="58"/>
      <c r="C31" s="4"/>
      <c r="F31" s="44"/>
      <c r="G31" s="51"/>
      <c r="H31" s="51"/>
      <c r="L31" s="51"/>
      <c r="M31" s="51"/>
      <c r="O31" s="68"/>
      <c r="P31" s="44"/>
      <c r="Q31" s="69"/>
      <c r="R31" s="44"/>
      <c r="S31" s="24"/>
      <c r="W31" s="9"/>
      <c r="X31" s="9"/>
      <c r="Y31" s="9"/>
      <c r="AA31" s="30"/>
      <c r="AB31" s="4"/>
      <c r="AD31" s="4"/>
      <c r="AE31" s="9"/>
      <c r="AF31" s="9"/>
      <c r="AG31" s="9"/>
      <c r="AH31" s="4"/>
    </row>
    <row r="32" spans="1:34" s="8" customFormat="1" ht="15" customHeight="1">
      <c r="A32" s="58">
        <v>29</v>
      </c>
      <c r="C32" s="4" t="s">
        <v>121</v>
      </c>
      <c r="E32" s="8">
        <v>850</v>
      </c>
      <c r="F32" s="77">
        <f>'T calculator'!AG32</f>
        <v>887.32574874755949</v>
      </c>
      <c r="G32" s="51"/>
      <c r="H32" s="51"/>
      <c r="I32" s="8">
        <v>5873.2574874755946</v>
      </c>
      <c r="J32" s="58">
        <f>I32/1000</f>
        <v>5.8732574874755947</v>
      </c>
      <c r="L32" s="51"/>
      <c r="M32" s="51">
        <v>6.2035500000000002E-9</v>
      </c>
      <c r="O32" s="68">
        <f>Olivine!AC32</f>
        <v>0.90725136560129849</v>
      </c>
      <c r="P32" s="44"/>
      <c r="Q32" s="69">
        <f>Orthopyroxene!BI32</f>
        <v>6.8527303830343252E-3</v>
      </c>
      <c r="R32" s="44"/>
      <c r="S32" s="24">
        <f t="shared" si="7"/>
        <v>-13.03735233871566</v>
      </c>
      <c r="U32" s="8" t="e">
        <f t="shared" si="2"/>
        <v>#NUM!</v>
      </c>
      <c r="W32" s="9" t="e">
        <f t="shared" si="8"/>
        <v>#NUM!</v>
      </c>
      <c r="X32" s="9"/>
      <c r="Y32" s="9"/>
      <c r="AA32" s="30">
        <f t="shared" si="9"/>
        <v>-12.336971989563343</v>
      </c>
      <c r="AB32" s="4"/>
      <c r="AC32" s="77">
        <f t="shared" si="5"/>
        <v>-24.321599980871589</v>
      </c>
      <c r="AD32" s="4"/>
      <c r="AE32" s="9">
        <f t="shared" si="10"/>
        <v>-11.984627991308246</v>
      </c>
      <c r="AF32" s="9"/>
      <c r="AG32" s="9"/>
      <c r="AH32" s="4"/>
    </row>
    <row r="33" spans="1:34" s="8" customFormat="1" ht="15" customHeight="1">
      <c r="A33" s="58">
        <v>30</v>
      </c>
      <c r="C33" s="4">
        <f>'Spinel-- no zeroes'!C33</f>
        <v>0</v>
      </c>
      <c r="E33" s="8">
        <v>850</v>
      </c>
      <c r="F33" s="78">
        <f>'T calculator'!AG33</f>
        <v>918.42658951320789</v>
      </c>
      <c r="G33" s="51"/>
      <c r="H33" s="51"/>
      <c r="I33" s="8">
        <v>6184.2658951320791</v>
      </c>
      <c r="J33" s="58">
        <f t="shared" ref="J33:J44" si="12">I33/1000</f>
        <v>6.1842658951320795</v>
      </c>
      <c r="L33" s="51"/>
      <c r="M33" s="51">
        <v>1.33893E-2</v>
      </c>
      <c r="O33" s="68">
        <f>Olivine!AC33</f>
        <v>0.90725136560129849</v>
      </c>
      <c r="P33" s="44"/>
      <c r="Q33" s="69">
        <f>Orthopyroxene!BI33</f>
        <v>6.8527303830343252E-3</v>
      </c>
      <c r="R33" s="44"/>
      <c r="S33" s="24">
        <f t="shared" si="7"/>
        <v>-13.006888469755541</v>
      </c>
      <c r="U33" s="8" t="e">
        <f t="shared" si="2"/>
        <v>#NUM!</v>
      </c>
      <c r="W33" s="9" t="e">
        <f t="shared" si="8"/>
        <v>#NUM!</v>
      </c>
      <c r="X33" s="9"/>
      <c r="Y33" s="9"/>
      <c r="AA33" s="30">
        <f t="shared" si="9"/>
        <v>-11.758197790315721</v>
      </c>
      <c r="AB33" s="4"/>
      <c r="AC33" s="78">
        <f t="shared" si="5"/>
        <v>-11.052616135205932</v>
      </c>
      <c r="AD33" s="4"/>
      <c r="AE33" s="9">
        <f t="shared" si="10"/>
        <v>0.7055816551097891</v>
      </c>
      <c r="AF33" s="9"/>
      <c r="AG33" s="9"/>
      <c r="AH33" s="4"/>
    </row>
    <row r="34" spans="1:34" s="8" customFormat="1" ht="15" customHeight="1">
      <c r="A34" s="58">
        <v>31</v>
      </c>
      <c r="C34" s="4">
        <f>'Spinel-- no zeroes'!C34</f>
        <v>0</v>
      </c>
      <c r="E34" s="8">
        <v>850</v>
      </c>
      <c r="F34" s="78">
        <f>'T calculator'!AG34</f>
        <v>951.2403464938244</v>
      </c>
      <c r="G34" s="51"/>
      <c r="H34" s="51"/>
      <c r="I34" s="8">
        <v>6512.4034649382438</v>
      </c>
      <c r="J34" s="58">
        <f t="shared" si="12"/>
        <v>6.5124034649382434</v>
      </c>
      <c r="L34" s="51"/>
      <c r="M34" s="51">
        <v>3.92664E-2</v>
      </c>
      <c r="O34" s="68">
        <f>Olivine!AC34</f>
        <v>0.90725136560129849</v>
      </c>
      <c r="P34" s="44"/>
      <c r="Q34" s="69">
        <f>Orthopyroxene!BI34</f>
        <v>6.8527303830343252E-3</v>
      </c>
      <c r="R34" s="44"/>
      <c r="S34" s="24">
        <f t="shared" si="7"/>
        <v>-12.974746766568828</v>
      </c>
      <c r="U34" s="8" t="e">
        <f t="shared" si="2"/>
        <v>#NUM!</v>
      </c>
      <c r="W34" s="9" t="e">
        <f t="shared" si="8"/>
        <v>#NUM!</v>
      </c>
      <c r="X34" s="9"/>
      <c r="Y34" s="9"/>
      <c r="AA34" s="30">
        <f t="shared" si="9"/>
        <v>-11.179427496757704</v>
      </c>
      <c r="AB34" s="4"/>
      <c r="AC34" s="78">
        <f t="shared" si="5"/>
        <v>-9.5173450867151441</v>
      </c>
      <c r="AD34" s="4"/>
      <c r="AE34" s="9">
        <f t="shared" si="10"/>
        <v>1.6620824100425597</v>
      </c>
      <c r="AF34" s="9"/>
      <c r="AG34" s="9"/>
      <c r="AH34" s="4"/>
    </row>
    <row r="35" spans="1:34" s="8" customFormat="1" ht="15" customHeight="1">
      <c r="A35" s="58">
        <v>32</v>
      </c>
      <c r="C35" s="4">
        <f>'Spinel-- no zeroes'!C35</f>
        <v>0</v>
      </c>
      <c r="E35" s="8">
        <v>850</v>
      </c>
      <c r="F35" s="78">
        <f>'T calculator'!AG35</f>
        <v>985.91253837924307</v>
      </c>
      <c r="G35" s="51"/>
      <c r="H35" s="51"/>
      <c r="I35" s="8">
        <v>6859.1253837924305</v>
      </c>
      <c r="J35" s="58">
        <f t="shared" si="12"/>
        <v>6.8591253837924304</v>
      </c>
      <c r="L35" s="51"/>
      <c r="M35" s="51">
        <v>6.5622100000000003E-2</v>
      </c>
      <c r="O35" s="68">
        <f>Olivine!AC35</f>
        <v>0.90725136560129849</v>
      </c>
      <c r="P35" s="44"/>
      <c r="Q35" s="69">
        <f>Orthopyroxene!BI35</f>
        <v>6.8527303830343252E-3</v>
      </c>
      <c r="R35" s="44"/>
      <c r="S35" s="24">
        <f t="shared" si="7"/>
        <v>-12.940784690812853</v>
      </c>
      <c r="U35" s="8" t="e">
        <f t="shared" si="2"/>
        <v>#NUM!</v>
      </c>
      <c r="W35" s="9" t="e">
        <f t="shared" si="8"/>
        <v>#NUM!</v>
      </c>
      <c r="X35" s="9"/>
      <c r="Y35" s="9"/>
      <c r="AA35" s="30">
        <f t="shared" si="9"/>
        <v>-10.60066110884974</v>
      </c>
      <c r="AB35" s="4"/>
      <c r="AC35" s="78">
        <f t="shared" si="5"/>
        <v>-8.4705464440535199</v>
      </c>
      <c r="AD35" s="4"/>
      <c r="AE35" s="9">
        <f t="shared" si="10"/>
        <v>2.1301146647962206</v>
      </c>
      <c r="AF35" s="9"/>
      <c r="AG35" s="9"/>
      <c r="AH35" s="4"/>
    </row>
    <row r="36" spans="1:34" s="8" customFormat="1" ht="15" customHeight="1">
      <c r="A36" s="58">
        <v>33</v>
      </c>
      <c r="C36" s="4">
        <f>'Spinel-- no zeroes'!C36</f>
        <v>0</v>
      </c>
      <c r="E36" s="8">
        <v>850</v>
      </c>
      <c r="F36" s="78">
        <f>'T calculator'!AG36</f>
        <v>1022.6056473793291</v>
      </c>
      <c r="G36" s="51"/>
      <c r="H36" s="51"/>
      <c r="I36" s="8">
        <v>7226.0564737932909</v>
      </c>
      <c r="J36" s="58">
        <f t="shared" si="12"/>
        <v>7.2260564737932906</v>
      </c>
      <c r="L36" s="51"/>
      <c r="M36" s="51">
        <v>8.7753100000000001E-2</v>
      </c>
      <c r="O36" s="68">
        <f>Olivine!AC36</f>
        <v>0.90725136560129849</v>
      </c>
      <c r="P36" s="44"/>
      <c r="Q36" s="69">
        <f>Orthopyroxene!BI36</f>
        <v>6.8527303830343252E-3</v>
      </c>
      <c r="R36" s="44"/>
      <c r="S36" s="24">
        <f t="shared" si="7"/>
        <v>-12.904843088052305</v>
      </c>
      <c r="U36" s="8" t="e">
        <f t="shared" si="2"/>
        <v>#NUM!</v>
      </c>
      <c r="W36" s="9" t="e">
        <f t="shared" si="8"/>
        <v>#NUM!</v>
      </c>
      <c r="X36" s="9"/>
      <c r="Y36" s="9"/>
      <c r="AA36" s="30">
        <f t="shared" si="9"/>
        <v>-10.021898626552296</v>
      </c>
      <c r="AB36" s="4"/>
      <c r="AC36" s="78">
        <f t="shared" si="5"/>
        <v>-7.6173852448936588</v>
      </c>
      <c r="AD36" s="4"/>
      <c r="AE36" s="9">
        <f t="shared" si="10"/>
        <v>2.4045133816586377</v>
      </c>
      <c r="AF36" s="9"/>
      <c r="AG36" s="9"/>
      <c r="AH36" s="4"/>
    </row>
    <row r="37" spans="1:34" s="8" customFormat="1" ht="15" customHeight="1">
      <c r="A37" s="58">
        <v>34</v>
      </c>
      <c r="C37" s="4">
        <f>'Spinel-- no zeroes'!C37</f>
        <v>0</v>
      </c>
      <c r="E37" s="8">
        <v>850</v>
      </c>
      <c r="F37" s="78">
        <f>'T calculator'!AG37</f>
        <v>1061.5016652803288</v>
      </c>
      <c r="G37" s="51"/>
      <c r="H37" s="51"/>
      <c r="I37" s="8">
        <v>7615.0166528032878</v>
      </c>
      <c r="J37" s="58">
        <f t="shared" si="12"/>
        <v>7.6150166528032877</v>
      </c>
      <c r="L37" s="51"/>
      <c r="M37" s="51">
        <v>0.104438</v>
      </c>
      <c r="O37" s="68">
        <f>Olivine!AC37</f>
        <v>0.90725136560129849</v>
      </c>
      <c r="P37" s="44"/>
      <c r="Q37" s="69">
        <f>Orthopyroxene!BI37</f>
        <v>6.8527303830343252E-3</v>
      </c>
      <c r="R37" s="44"/>
      <c r="S37" s="24">
        <f t="shared" si="7"/>
        <v>-12.866743693848299</v>
      </c>
      <c r="U37" s="8" t="e">
        <f t="shared" si="2"/>
        <v>#NUM!</v>
      </c>
      <c r="W37" s="9" t="e">
        <f t="shared" si="8"/>
        <v>#NUM!</v>
      </c>
      <c r="X37" s="9"/>
      <c r="Y37" s="9"/>
      <c r="AA37" s="30">
        <f t="shared" si="9"/>
        <v>-9.4431400498258515</v>
      </c>
      <c r="AB37" s="4"/>
      <c r="AC37" s="78">
        <f t="shared" si="5"/>
        <v>-6.8654606279443113</v>
      </c>
      <c r="AD37" s="4"/>
      <c r="AE37" s="9">
        <f t="shared" si="10"/>
        <v>2.5776794218815402</v>
      </c>
      <c r="AF37" s="9"/>
      <c r="AG37" s="9"/>
      <c r="AH37" s="4"/>
    </row>
    <row r="38" spans="1:34" s="8" customFormat="1" ht="15" customHeight="1">
      <c r="A38" s="58">
        <v>35</v>
      </c>
      <c r="C38" s="4">
        <f>'Spinel-- no zeroes'!C38</f>
        <v>0</v>
      </c>
      <c r="E38" s="8">
        <v>850</v>
      </c>
      <c r="F38" s="78">
        <f>'T calculator'!AG38</f>
        <v>1102.8051122578481</v>
      </c>
      <c r="G38" s="51"/>
      <c r="H38" s="51"/>
      <c r="I38" s="8">
        <v>8028.0511225784812</v>
      </c>
      <c r="J38" s="58">
        <f t="shared" si="12"/>
        <v>8.0280511225784821</v>
      </c>
      <c r="L38" s="51"/>
      <c r="M38" s="51">
        <v>0.11598899999999999</v>
      </c>
      <c r="O38" s="68">
        <f>Olivine!AC38</f>
        <v>0.90725136560129849</v>
      </c>
      <c r="P38" s="44"/>
      <c r="Q38" s="69">
        <f>Orthopyroxene!BI38</f>
        <v>6.8527303830343252E-3</v>
      </c>
      <c r="R38" s="44"/>
      <c r="S38" s="24">
        <f t="shared" si="7"/>
        <v>-12.826286176773257</v>
      </c>
      <c r="U38" s="8" t="e">
        <f t="shared" si="2"/>
        <v>#NUM!</v>
      </c>
      <c r="W38" s="9" t="e">
        <f t="shared" si="8"/>
        <v>#NUM!</v>
      </c>
      <c r="X38" s="9"/>
      <c r="Y38" s="9"/>
      <c r="AA38" s="30">
        <f t="shared" si="9"/>
        <v>-8.8643853786308657</v>
      </c>
      <c r="AB38" s="4"/>
      <c r="AC38" s="78">
        <f t="shared" si="5"/>
        <v>-6.1736157072876949</v>
      </c>
      <c r="AD38" s="4"/>
      <c r="AE38" s="9">
        <f t="shared" si="10"/>
        <v>2.6907696713431708</v>
      </c>
      <c r="AF38" s="9"/>
      <c r="AG38" s="9"/>
      <c r="AH38" s="4"/>
    </row>
    <row r="39" spans="1:34" s="8" customFormat="1" ht="15" customHeight="1">
      <c r="A39" s="58">
        <v>36</v>
      </c>
      <c r="C39" s="4">
        <f>'Spinel-- no zeroes'!C39</f>
        <v>0</v>
      </c>
      <c r="E39" s="8">
        <v>850</v>
      </c>
      <c r="F39" s="78">
        <f>'T calculator'!AG39</f>
        <v>1146.7466341297891</v>
      </c>
      <c r="G39" s="51"/>
      <c r="H39" s="51"/>
      <c r="I39" s="8">
        <v>8467.4663412978916</v>
      </c>
      <c r="J39" s="58">
        <f t="shared" si="12"/>
        <v>8.4674663412978912</v>
      </c>
      <c r="L39" s="51"/>
      <c r="M39" s="51">
        <v>0.123284</v>
      </c>
      <c r="O39" s="68">
        <f>Olivine!AC39</f>
        <v>0.90725136560129849</v>
      </c>
      <c r="P39" s="44"/>
      <c r="Q39" s="69">
        <f>Orthopyroxene!BI39</f>
        <v>6.8527303830343252E-3</v>
      </c>
      <c r="R39" s="44"/>
      <c r="S39" s="24">
        <f t="shared" si="7"/>
        <v>-12.783244614832798</v>
      </c>
      <c r="U39" s="8" t="e">
        <f t="shared" si="2"/>
        <v>#NUM!</v>
      </c>
      <c r="W39" s="9" t="e">
        <f t="shared" si="8"/>
        <v>#NUM!</v>
      </c>
      <c r="X39" s="9"/>
      <c r="Y39" s="9"/>
      <c r="AA39" s="30">
        <f t="shared" si="9"/>
        <v>-8.2856346129278009</v>
      </c>
      <c r="AB39" s="4"/>
      <c r="AC39" s="78">
        <f t="shared" si="5"/>
        <v>-5.5199115306271569</v>
      </c>
      <c r="AD39" s="4"/>
      <c r="AE39" s="9">
        <f t="shared" si="10"/>
        <v>2.765723082300644</v>
      </c>
      <c r="AF39" s="9"/>
      <c r="AG39" s="9"/>
      <c r="AH39" s="4"/>
    </row>
    <row r="40" spans="1:34" s="8" customFormat="1" ht="15" customHeight="1">
      <c r="A40" s="58">
        <v>37</v>
      </c>
      <c r="C40" s="4">
        <f>'Spinel-- no zeroes'!C40</f>
        <v>0</v>
      </c>
      <c r="E40" s="8">
        <v>850</v>
      </c>
      <c r="F40" s="78">
        <f>'T calculator'!AG40</f>
        <v>1193.587311623503</v>
      </c>
      <c r="G40" s="51"/>
      <c r="H40" s="51"/>
      <c r="I40" s="8">
        <v>8935.8731162350305</v>
      </c>
      <c r="J40" s="58">
        <f t="shared" si="12"/>
        <v>8.9358731162350313</v>
      </c>
      <c r="L40" s="51"/>
      <c r="M40" s="51">
        <v>0.12730900000000001</v>
      </c>
      <c r="O40" s="68">
        <f>Olivine!AC40</f>
        <v>0.90725136560129849</v>
      </c>
      <c r="P40" s="44"/>
      <c r="Q40" s="69">
        <f>Orthopyroxene!BI40</f>
        <v>6.8527303830343252E-3</v>
      </c>
      <c r="R40" s="44"/>
      <c r="S40" s="24">
        <f t="shared" si="7"/>
        <v>-12.737363274456053</v>
      </c>
      <c r="U40" s="8" t="e">
        <f t="shared" si="2"/>
        <v>#NUM!</v>
      </c>
      <c r="W40" s="9" t="e">
        <f t="shared" si="8"/>
        <v>#NUM!</v>
      </c>
      <c r="X40" s="9"/>
      <c r="Y40" s="9"/>
      <c r="AA40" s="30">
        <f t="shared" si="9"/>
        <v>-7.7068877526771269</v>
      </c>
      <c r="AB40" s="4"/>
      <c r="AC40" s="78">
        <f t="shared" si="5"/>
        <v>-4.8912864529260514</v>
      </c>
      <c r="AD40" s="4"/>
      <c r="AE40" s="9">
        <f t="shared" si="10"/>
        <v>2.8156012997510755</v>
      </c>
      <c r="AF40" s="9"/>
      <c r="AG40" s="9"/>
      <c r="AH40" s="4"/>
    </row>
    <row r="41" spans="1:34" s="8" customFormat="1" ht="15" customHeight="1">
      <c r="A41" s="58">
        <v>38</v>
      </c>
      <c r="C41" s="4">
        <f>'Spinel-- no zeroes'!C41</f>
        <v>0</v>
      </c>
      <c r="E41" s="8">
        <v>850</v>
      </c>
      <c r="F41" s="78">
        <f>'T calculator'!AG41</f>
        <v>1243.6238516856224</v>
      </c>
      <c r="G41" s="51"/>
      <c r="H41" s="51"/>
      <c r="I41" s="8">
        <v>9436.238516856225</v>
      </c>
      <c r="J41" s="58">
        <f t="shared" si="12"/>
        <v>9.4362385168562248</v>
      </c>
      <c r="L41" s="51"/>
      <c r="M41" s="51">
        <v>0.128965</v>
      </c>
      <c r="O41" s="68">
        <f>Olivine!AC41</f>
        <v>0.90725136560129849</v>
      </c>
      <c r="P41" s="44"/>
      <c r="Q41" s="69">
        <f>Orthopyroxene!BI41</f>
        <v>6.8527303830343252E-3</v>
      </c>
      <c r="R41" s="44"/>
      <c r="S41" s="24">
        <f t="shared" si="7"/>
        <v>-12.688351525508295</v>
      </c>
      <c r="U41" s="8" t="e">
        <f t="shared" si="2"/>
        <v>#NUM!</v>
      </c>
      <c r="W41" s="9" t="e">
        <f t="shared" si="8"/>
        <v>#NUM!</v>
      </c>
      <c r="X41" s="9"/>
      <c r="Y41" s="9"/>
      <c r="AA41" s="30">
        <f t="shared" si="9"/>
        <v>-7.1281447978393215</v>
      </c>
      <c r="AB41" s="4"/>
      <c r="AC41" s="78">
        <f t="shared" si="5"/>
        <v>-4.2793446976133804</v>
      </c>
      <c r="AD41" s="4"/>
      <c r="AE41" s="9">
        <f t="shared" si="10"/>
        <v>2.8488001002259411</v>
      </c>
      <c r="AF41" s="9"/>
      <c r="AG41" s="9"/>
      <c r="AH41" s="4"/>
    </row>
    <row r="42" spans="1:34" s="8" customFormat="1" ht="15" customHeight="1">
      <c r="A42" s="58">
        <v>39</v>
      </c>
      <c r="C42" s="4">
        <f>'Spinel-- no zeroes'!C42</f>
        <v>0</v>
      </c>
      <c r="E42" s="8">
        <v>850</v>
      </c>
      <c r="F42" s="78">
        <f>'T calculator'!AG42</f>
        <v>1297.1948789050102</v>
      </c>
      <c r="G42" s="51"/>
      <c r="H42" s="51"/>
      <c r="I42" s="8">
        <v>9971.9487890501023</v>
      </c>
      <c r="J42" s="58">
        <f t="shared" si="12"/>
        <v>9.9719487890501028</v>
      </c>
      <c r="L42" s="51"/>
      <c r="M42" s="51">
        <v>0.128999</v>
      </c>
      <c r="O42" s="68">
        <f>Olivine!AC42</f>
        <v>0.90725136560129849</v>
      </c>
      <c r="P42" s="44"/>
      <c r="Q42" s="69">
        <f>Orthopyroxene!BI42</f>
        <v>6.8527303830343252E-3</v>
      </c>
      <c r="R42" s="44"/>
      <c r="S42" s="24">
        <f t="shared" si="7"/>
        <v>-12.635877678721718</v>
      </c>
      <c r="U42" s="8" t="e">
        <f t="shared" si="2"/>
        <v>#NUM!</v>
      </c>
      <c r="W42" s="9" t="e">
        <f t="shared" si="8"/>
        <v>#NUM!</v>
      </c>
      <c r="X42" s="9"/>
      <c r="Y42" s="9"/>
      <c r="AA42" s="30">
        <f t="shared" si="9"/>
        <v>-6.5494057483748485</v>
      </c>
      <c r="AB42" s="4"/>
      <c r="AC42" s="78">
        <f t="shared" si="5"/>
        <v>-3.6784035449009123</v>
      </c>
      <c r="AD42" s="4"/>
      <c r="AE42" s="9">
        <f t="shared" si="10"/>
        <v>2.8710022034739362</v>
      </c>
      <c r="AF42" s="9"/>
      <c r="AG42" s="9"/>
      <c r="AH42" s="4"/>
    </row>
    <row r="43" spans="1:34" s="8" customFormat="1" ht="15" customHeight="1">
      <c r="A43" s="58">
        <v>40</v>
      </c>
      <c r="C43" s="4">
        <f>'Spinel-- no zeroes'!C43</f>
        <v>0</v>
      </c>
      <c r="E43" s="8">
        <v>850</v>
      </c>
      <c r="F43" s="78">
        <f>'T calculator'!AG43</f>
        <v>1354.6886089914969</v>
      </c>
      <c r="G43" s="51"/>
      <c r="H43" s="51"/>
      <c r="I43" s="8">
        <v>10546.886089914969</v>
      </c>
      <c r="J43" s="58">
        <f t="shared" si="12"/>
        <v>10.54688608991497</v>
      </c>
      <c r="L43" s="51"/>
      <c r="M43" s="51">
        <v>0.127995</v>
      </c>
      <c r="O43" s="68">
        <f>Olivine!AC43</f>
        <v>0.90725136560129849</v>
      </c>
      <c r="P43" s="44"/>
      <c r="Q43" s="69">
        <f>Orthopyroxene!BI43</f>
        <v>6.8527303830343252E-3</v>
      </c>
      <c r="R43" s="44"/>
      <c r="S43" s="24">
        <f t="shared" si="7"/>
        <v>-12.579561469376095</v>
      </c>
      <c r="U43" s="8" t="e">
        <f t="shared" si="2"/>
        <v>#NUM!</v>
      </c>
      <c r="W43" s="9" t="e">
        <f t="shared" si="8"/>
        <v>#NUM!</v>
      </c>
      <c r="X43" s="9"/>
      <c r="Y43" s="9"/>
      <c r="AA43" s="30">
        <f t="shared" si="9"/>
        <v>-5.9706706042441793</v>
      </c>
      <c r="AB43" s="4"/>
      <c r="AC43" s="78">
        <f t="shared" si="5"/>
        <v>-3.0844820861192144</v>
      </c>
      <c r="AD43" s="4"/>
      <c r="AE43" s="9">
        <f t="shared" si="10"/>
        <v>2.8861885181249649</v>
      </c>
      <c r="AF43" s="9"/>
      <c r="AG43" s="9"/>
      <c r="AH43" s="4"/>
    </row>
    <row r="44" spans="1:34" s="8" customFormat="1" ht="15" customHeight="1" thickBot="1">
      <c r="A44" s="58">
        <v>41</v>
      </c>
      <c r="C44" s="4">
        <f>'Spinel-- no zeroes'!C44</f>
        <v>0</v>
      </c>
      <c r="E44" s="8">
        <v>850</v>
      </c>
      <c r="F44" s="79">
        <f>'T calculator'!AG44</f>
        <v>1416.5522719716987</v>
      </c>
      <c r="G44" s="51"/>
      <c r="H44" s="51"/>
      <c r="I44" s="8">
        <v>11165.522719716988</v>
      </c>
      <c r="J44" s="58">
        <f t="shared" si="12"/>
        <v>11.165522719716988</v>
      </c>
      <c r="L44" s="51"/>
      <c r="M44" s="51">
        <v>0.12639500000000001</v>
      </c>
      <c r="O44" s="68">
        <f>Olivine!AC44</f>
        <v>0.90725136560129849</v>
      </c>
      <c r="P44" s="44"/>
      <c r="Q44" s="69">
        <f>Orthopyroxene!BI44</f>
        <v>6.8527303830343252E-3</v>
      </c>
      <c r="R44" s="44"/>
      <c r="S44" s="24">
        <f t="shared" si="7"/>
        <v>-12.51896482709807</v>
      </c>
      <c r="U44" s="8" t="e">
        <f t="shared" si="2"/>
        <v>#NUM!</v>
      </c>
      <c r="W44" s="9" t="e">
        <f t="shared" si="8"/>
        <v>#NUM!</v>
      </c>
      <c r="X44" s="9"/>
      <c r="Y44" s="9"/>
      <c r="AA44" s="30">
        <f t="shared" si="9"/>
        <v>-5.3919393654077732</v>
      </c>
      <c r="AB44" s="4"/>
      <c r="AC44" s="79">
        <f t="shared" si="5"/>
        <v>-2.494704223861306</v>
      </c>
      <c r="AD44" s="4"/>
      <c r="AE44" s="9">
        <f t="shared" si="10"/>
        <v>2.8972351415464672</v>
      </c>
      <c r="AF44" s="9"/>
      <c r="AG44" s="9"/>
      <c r="AH44" s="4"/>
    </row>
    <row r="45" spans="1:34" s="8" customFormat="1" ht="15" customHeight="1">
      <c r="A45" s="58"/>
      <c r="C45" s="4"/>
      <c r="F45" s="44"/>
      <c r="G45" s="51"/>
      <c r="H45" s="51"/>
      <c r="L45" s="51"/>
      <c r="M45" s="51"/>
      <c r="O45" s="68"/>
      <c r="P45" s="44"/>
      <c r="Q45" s="69"/>
      <c r="R45" s="44"/>
      <c r="S45" s="24"/>
      <c r="W45" s="9"/>
      <c r="X45" s="9"/>
      <c r="Y45" s="9"/>
      <c r="AA45" s="30"/>
      <c r="AB45" s="4"/>
      <c r="AD45" s="4"/>
      <c r="AE45" s="9"/>
      <c r="AF45" s="9"/>
      <c r="AG45" s="9"/>
      <c r="AH45" s="4"/>
    </row>
    <row r="46" spans="1:34" s="8" customFormat="1" ht="15" customHeight="1">
      <c r="A46" s="58"/>
      <c r="C46" s="4"/>
      <c r="F46" s="44"/>
      <c r="G46" s="51"/>
      <c r="H46" s="51"/>
      <c r="L46" s="51"/>
      <c r="M46" s="51"/>
      <c r="O46" s="68"/>
      <c r="P46" s="44"/>
      <c r="Q46" s="69"/>
      <c r="R46" s="44"/>
      <c r="S46" s="24"/>
      <c r="W46" s="9"/>
      <c r="X46" s="9"/>
      <c r="Y46" s="9"/>
      <c r="AA46" s="30"/>
      <c r="AB46" s="4"/>
      <c r="AD46" s="4"/>
      <c r="AE46" s="9"/>
      <c r="AF46" s="9"/>
      <c r="AG46" s="9"/>
      <c r="AH46" s="4"/>
    </row>
    <row r="47" spans="1:34" s="8" customFormat="1" ht="15" customHeight="1">
      <c r="A47" s="58">
        <v>44</v>
      </c>
      <c r="C47" s="4">
        <f>'Spinel-- no zeroes'!C47</f>
        <v>0</v>
      </c>
      <c r="E47" s="8">
        <v>850</v>
      </c>
      <c r="F47" s="44">
        <f>'T calculator'!AG47</f>
        <v>934.43916467524343</v>
      </c>
      <c r="G47" s="51"/>
      <c r="H47" s="51"/>
      <c r="J47" s="8">
        <v>15</v>
      </c>
      <c r="L47" s="51"/>
      <c r="M47" s="51"/>
      <c r="O47" s="68">
        <f>Olivine!AC47</f>
        <v>0.90725136560129849</v>
      </c>
      <c r="P47" s="44"/>
      <c r="Q47" s="69">
        <f>Orthopyroxene!BI47</f>
        <v>6.8527303830343252E-3</v>
      </c>
      <c r="R47" s="44"/>
      <c r="S47" s="24">
        <f t="shared" si="7"/>
        <v>-12.143370436331256</v>
      </c>
      <c r="U47" s="8" t="e">
        <f t="shared" si="2"/>
        <v>#NUM!</v>
      </c>
      <c r="W47" s="9" t="e">
        <f t="shared" si="8"/>
        <v>#NUM!</v>
      </c>
      <c r="X47" s="9"/>
      <c r="Y47" s="9"/>
      <c r="AA47" s="30">
        <f t="shared" si="9"/>
        <v>-10.683295087609006</v>
      </c>
      <c r="AB47" s="4"/>
      <c r="AC47" s="8" t="e">
        <f t="shared" si="5"/>
        <v>#NUM!</v>
      </c>
      <c r="AD47" s="4"/>
      <c r="AE47" s="9" t="e">
        <f t="shared" si="10"/>
        <v>#NUM!</v>
      </c>
      <c r="AF47" s="9"/>
      <c r="AG47" s="9"/>
      <c r="AH47" s="4"/>
    </row>
    <row r="48" spans="1:34" s="8" customFormat="1" ht="15" customHeight="1">
      <c r="A48" s="58">
        <v>45</v>
      </c>
      <c r="C48" s="4">
        <f>'Spinel-- no zeroes'!C48</f>
        <v>0</v>
      </c>
      <c r="E48" s="8">
        <v>850</v>
      </c>
      <c r="F48" s="44">
        <f>'T calculator'!AG48</f>
        <v>914.0710456802318</v>
      </c>
      <c r="G48" s="51"/>
      <c r="H48" s="51"/>
      <c r="J48" s="8">
        <v>15</v>
      </c>
      <c r="L48" s="51"/>
      <c r="M48" s="51"/>
      <c r="O48" s="68">
        <f>Olivine!AC48</f>
        <v>0.90725136560129849</v>
      </c>
      <c r="P48" s="44"/>
      <c r="Q48" s="69">
        <f>Orthopyroxene!BI48</f>
        <v>6.8527303830343252E-3</v>
      </c>
      <c r="R48" s="44"/>
      <c r="S48" s="24">
        <f t="shared" si="7"/>
        <v>-12.143370436331256</v>
      </c>
      <c r="U48" s="8" t="e">
        <f t="shared" si="2"/>
        <v>#NUM!</v>
      </c>
      <c r="W48" s="9" t="e">
        <f t="shared" si="8"/>
        <v>#NUM!</v>
      </c>
      <c r="X48" s="9"/>
      <c r="Y48" s="9"/>
      <c r="AA48" s="30">
        <f t="shared" si="9"/>
        <v>-11.016479985399203</v>
      </c>
      <c r="AB48" s="4"/>
      <c r="AC48" s="8" t="e">
        <f t="shared" si="5"/>
        <v>#NUM!</v>
      </c>
      <c r="AD48" s="4"/>
      <c r="AE48" s="9" t="e">
        <f t="shared" si="10"/>
        <v>#NUM!</v>
      </c>
      <c r="AF48" s="9"/>
      <c r="AG48" s="9"/>
      <c r="AH48" s="4"/>
    </row>
    <row r="49" spans="1:34" s="8" customFormat="1" ht="15" customHeight="1">
      <c r="A49" s="58">
        <v>46</v>
      </c>
      <c r="C49" s="4">
        <f>'Spinel-- no zeroes'!C49</f>
        <v>0</v>
      </c>
      <c r="E49" s="8">
        <v>850</v>
      </c>
      <c r="F49" s="44">
        <f>'T calculator'!AG49</f>
        <v>914.0710456802318</v>
      </c>
      <c r="G49" s="51"/>
      <c r="H49" s="51"/>
      <c r="J49" s="8">
        <v>15</v>
      </c>
      <c r="L49" s="51"/>
      <c r="M49" s="51"/>
      <c r="O49" s="68">
        <f>Olivine!AC49</f>
        <v>0.90725136560129849</v>
      </c>
      <c r="P49" s="44"/>
      <c r="Q49" s="69">
        <f>Orthopyroxene!BI49</f>
        <v>6.8527303830343252E-3</v>
      </c>
      <c r="R49" s="44"/>
      <c r="S49" s="24">
        <f t="shared" si="7"/>
        <v>-12.143370436331256</v>
      </c>
      <c r="U49" s="8" t="e">
        <f>-24222/($E49+273)+8.64+0.0567*($J49*1000-1)/($E49+273)-12*LOG10(1-$O49)-2620*$O49^2/($E49+273)+3*LOG10($Q49)+2*LOG10($L49)</f>
        <v>#NUM!</v>
      </c>
      <c r="W49" s="9" t="e">
        <f t="shared" si="8"/>
        <v>#NUM!</v>
      </c>
      <c r="X49" s="9"/>
      <c r="Y49" s="9"/>
      <c r="AA49" s="30">
        <f t="shared" si="9"/>
        <v>-11.016479985399203</v>
      </c>
      <c r="AB49" s="4"/>
      <c r="AC49" s="8" t="e">
        <f t="shared" si="5"/>
        <v>#NUM!</v>
      </c>
      <c r="AD49" s="4"/>
      <c r="AE49" s="9" t="e">
        <f t="shared" si="10"/>
        <v>#NUM!</v>
      </c>
      <c r="AF49" s="9"/>
      <c r="AG49" s="9"/>
      <c r="AH49" s="4"/>
    </row>
    <row r="50" spans="1:34" s="8" customFormat="1" ht="15" customHeight="1">
      <c r="A50" s="58">
        <v>47</v>
      </c>
      <c r="C50" s="4">
        <f>'Spinel-- no zeroes'!C50</f>
        <v>0</v>
      </c>
      <c r="E50" s="8">
        <v>850</v>
      </c>
      <c r="F50" s="44">
        <f>'T calculator'!AG50</f>
        <v>914.0710456802318</v>
      </c>
      <c r="G50" s="51"/>
      <c r="H50" s="51"/>
      <c r="J50" s="8">
        <v>15</v>
      </c>
      <c r="L50" s="51"/>
      <c r="M50" s="51"/>
      <c r="O50" s="68">
        <f>Olivine!AC50</f>
        <v>0.90725136560129849</v>
      </c>
      <c r="P50" s="44"/>
      <c r="Q50" s="69">
        <f>Orthopyroxene!BI50</f>
        <v>6.8527303830343252E-3</v>
      </c>
      <c r="R50" s="44"/>
      <c r="S50" s="24">
        <f t="shared" si="7"/>
        <v>-12.143370436331256</v>
      </c>
      <c r="U50" s="8" t="e">
        <f t="shared" si="2"/>
        <v>#NUM!</v>
      </c>
      <c r="W50" s="9" t="e">
        <f t="shared" si="8"/>
        <v>#NUM!</v>
      </c>
      <c r="X50" s="9"/>
      <c r="Y50" s="9"/>
      <c r="AA50" s="30">
        <f t="shared" si="9"/>
        <v>-11.016479985399203</v>
      </c>
      <c r="AB50" s="4"/>
      <c r="AC50" s="8" t="e">
        <f t="shared" si="5"/>
        <v>#NUM!</v>
      </c>
      <c r="AD50" s="4"/>
      <c r="AE50" s="9" t="e">
        <f t="shared" si="10"/>
        <v>#NUM!</v>
      </c>
      <c r="AF50" s="9"/>
      <c r="AG50" s="9"/>
      <c r="AH50" s="4"/>
    </row>
    <row r="51" spans="1:34" s="8" customFormat="1" ht="15" customHeight="1">
      <c r="A51" s="58">
        <v>48</v>
      </c>
      <c r="C51" s="4">
        <f>'Spinel-- no zeroes'!C51</f>
        <v>0</v>
      </c>
      <c r="E51" s="8">
        <v>850</v>
      </c>
      <c r="F51" s="44">
        <f>'T calculator'!AG51</f>
        <v>914.0710456802318</v>
      </c>
      <c r="G51" s="51"/>
      <c r="H51" s="51"/>
      <c r="J51" s="8">
        <v>15</v>
      </c>
      <c r="L51" s="51"/>
      <c r="M51" s="51"/>
      <c r="O51" s="68">
        <f>Olivine!AC51</f>
        <v>0.90725136560129849</v>
      </c>
      <c r="P51" s="44"/>
      <c r="Q51" s="69">
        <f>Orthopyroxene!BI51</f>
        <v>6.8527303830343252E-3</v>
      </c>
      <c r="R51" s="44"/>
      <c r="S51" s="24">
        <f t="shared" ref="S51:S58" si="13">-25096.3/(E51+273)+8.735+0.11*((J51*1000-1)/(E51+273))</f>
        <v>-12.143370436331256</v>
      </c>
      <c r="U51" s="8" t="e">
        <f t="shared" si="2"/>
        <v>#NUM!</v>
      </c>
      <c r="W51" s="9" t="e">
        <f t="shared" ref="W51:W58" si="14">U51-S51</f>
        <v>#NUM!</v>
      </c>
      <c r="X51" s="9"/>
      <c r="Y51" s="9"/>
      <c r="AA51" s="30">
        <f t="shared" ref="AA51:AA58" si="15">-25096.3/(F51+273)+8.735+0.11*((J51*1000-1)/(F51+273))</f>
        <v>-11.016479985399203</v>
      </c>
      <c r="AB51" s="4"/>
      <c r="AC51" s="8" t="e">
        <f t="shared" si="5"/>
        <v>#NUM!</v>
      </c>
      <c r="AD51" s="4"/>
      <c r="AE51" s="9" t="e">
        <f t="shared" ref="AE51:AE58" si="16">AC51-AA51</f>
        <v>#NUM!</v>
      </c>
      <c r="AF51" s="9"/>
      <c r="AG51" s="9"/>
      <c r="AH51" s="4"/>
    </row>
    <row r="52" spans="1:34" s="8" customFormat="1" ht="15" customHeight="1">
      <c r="A52" s="58">
        <v>49</v>
      </c>
      <c r="C52" s="4">
        <f>'Spinel-- no zeroes'!C52</f>
        <v>0</v>
      </c>
      <c r="E52" s="8">
        <v>850</v>
      </c>
      <c r="F52" s="44">
        <f>'T calculator'!AG52</f>
        <v>914.0710456802318</v>
      </c>
      <c r="G52" s="51"/>
      <c r="H52" s="51"/>
      <c r="J52" s="8">
        <v>15</v>
      </c>
      <c r="L52" s="51"/>
      <c r="M52" s="51"/>
      <c r="O52" s="68">
        <f>Olivine!AC52</f>
        <v>0.90725136560129849</v>
      </c>
      <c r="P52" s="44"/>
      <c r="Q52" s="69">
        <f>Orthopyroxene!BI52</f>
        <v>6.8527303830343252E-3</v>
      </c>
      <c r="R52" s="44"/>
      <c r="S52" s="24">
        <f t="shared" si="13"/>
        <v>-12.143370436331256</v>
      </c>
      <c r="U52" s="8" t="e">
        <f t="shared" si="2"/>
        <v>#NUM!</v>
      </c>
      <c r="W52" s="9" t="e">
        <f t="shared" si="14"/>
        <v>#NUM!</v>
      </c>
      <c r="X52" s="9"/>
      <c r="Y52" s="9"/>
      <c r="AA52" s="30">
        <f t="shared" si="15"/>
        <v>-11.016479985399203</v>
      </c>
      <c r="AB52" s="4"/>
      <c r="AC52" s="8" t="e">
        <f t="shared" si="5"/>
        <v>#NUM!</v>
      </c>
      <c r="AD52" s="4"/>
      <c r="AE52" s="9" t="e">
        <f t="shared" si="16"/>
        <v>#NUM!</v>
      </c>
      <c r="AF52" s="9"/>
      <c r="AG52" s="9"/>
      <c r="AH52" s="4"/>
    </row>
    <row r="53" spans="1:34" s="8" customFormat="1" ht="15" customHeight="1">
      <c r="A53" s="58">
        <v>50</v>
      </c>
      <c r="C53" s="4">
        <f>'Spinel-- no zeroes'!C53</f>
        <v>0</v>
      </c>
      <c r="E53" s="8">
        <v>850</v>
      </c>
      <c r="F53" s="44">
        <f>'T calculator'!AG53</f>
        <v>914.0710456802318</v>
      </c>
      <c r="G53" s="51"/>
      <c r="H53" s="51"/>
      <c r="J53" s="8">
        <v>15</v>
      </c>
      <c r="L53" s="51"/>
      <c r="M53" s="51"/>
      <c r="O53" s="68">
        <f>Olivine!AC53</f>
        <v>0.90725136560129849</v>
      </c>
      <c r="P53" s="44"/>
      <c r="Q53" s="69">
        <f>Orthopyroxene!BI53</f>
        <v>6.8527303830343252E-3</v>
      </c>
      <c r="R53" s="44"/>
      <c r="S53" s="24">
        <f t="shared" si="13"/>
        <v>-12.143370436331256</v>
      </c>
      <c r="U53" s="8" t="e">
        <f t="shared" si="2"/>
        <v>#NUM!</v>
      </c>
      <c r="W53" s="9" t="e">
        <f t="shared" si="14"/>
        <v>#NUM!</v>
      </c>
      <c r="X53" s="9"/>
      <c r="Y53" s="9"/>
      <c r="AA53" s="30">
        <f t="shared" si="15"/>
        <v>-11.016479985399203</v>
      </c>
      <c r="AB53" s="4"/>
      <c r="AC53" s="8" t="e">
        <f t="shared" si="5"/>
        <v>#NUM!</v>
      </c>
      <c r="AD53" s="4"/>
      <c r="AE53" s="9" t="e">
        <f t="shared" si="16"/>
        <v>#NUM!</v>
      </c>
      <c r="AF53" s="9"/>
      <c r="AG53" s="9"/>
      <c r="AH53" s="4"/>
    </row>
    <row r="54" spans="1:34" s="8" customFormat="1" ht="15" customHeight="1">
      <c r="A54" s="58">
        <v>51</v>
      </c>
      <c r="C54" s="4">
        <f>'Spinel-- no zeroes'!C54</f>
        <v>0</v>
      </c>
      <c r="E54" s="8">
        <v>850</v>
      </c>
      <c r="F54" s="44">
        <f>'T calculator'!AG54</f>
        <v>914.0710456802318</v>
      </c>
      <c r="G54" s="51"/>
      <c r="H54" s="51"/>
      <c r="J54" s="8">
        <v>15</v>
      </c>
      <c r="L54" s="51"/>
      <c r="M54" s="51"/>
      <c r="O54" s="68">
        <f>Olivine!AC54</f>
        <v>0.90725136560129849</v>
      </c>
      <c r="P54" s="44"/>
      <c r="Q54" s="69">
        <f>Orthopyroxene!BI54</f>
        <v>6.8527303830343252E-3</v>
      </c>
      <c r="R54" s="44"/>
      <c r="S54" s="24">
        <f t="shared" si="13"/>
        <v>-12.143370436331256</v>
      </c>
      <c r="U54" s="8" t="e">
        <f t="shared" si="2"/>
        <v>#NUM!</v>
      </c>
      <c r="W54" s="9" t="e">
        <f t="shared" si="14"/>
        <v>#NUM!</v>
      </c>
      <c r="X54" s="9"/>
      <c r="Y54" s="9"/>
      <c r="AA54" s="30">
        <f t="shared" si="15"/>
        <v>-11.016479985399203</v>
      </c>
      <c r="AB54" s="4"/>
      <c r="AC54" s="8" t="e">
        <f t="shared" si="5"/>
        <v>#NUM!</v>
      </c>
      <c r="AD54" s="4"/>
      <c r="AE54" s="9" t="e">
        <f t="shared" si="16"/>
        <v>#NUM!</v>
      </c>
      <c r="AF54" s="9"/>
      <c r="AG54" s="9"/>
      <c r="AH54" s="4"/>
    </row>
    <row r="55" spans="1:34" s="8" customFormat="1" ht="15" customHeight="1">
      <c r="A55" s="58">
        <v>52</v>
      </c>
      <c r="C55" s="4">
        <f>'Spinel-- no zeroes'!C55</f>
        <v>0</v>
      </c>
      <c r="E55" s="8">
        <v>850</v>
      </c>
      <c r="F55" s="44">
        <f>'T calculator'!AG55</f>
        <v>914.0710456802318</v>
      </c>
      <c r="G55" s="51"/>
      <c r="H55" s="51"/>
      <c r="J55" s="8">
        <v>15</v>
      </c>
      <c r="L55" s="51"/>
      <c r="M55" s="51"/>
      <c r="O55" s="68">
        <f>Olivine!AC55</f>
        <v>0.90725136560129849</v>
      </c>
      <c r="P55" s="44"/>
      <c r="Q55" s="69">
        <f>Orthopyroxene!BI55</f>
        <v>6.8527303830343252E-3</v>
      </c>
      <c r="R55" s="44"/>
      <c r="S55" s="24">
        <f t="shared" si="13"/>
        <v>-12.143370436331256</v>
      </c>
      <c r="U55" s="8" t="e">
        <f t="shared" si="2"/>
        <v>#NUM!</v>
      </c>
      <c r="W55" s="9" t="e">
        <f t="shared" si="14"/>
        <v>#NUM!</v>
      </c>
      <c r="X55" s="9"/>
      <c r="Y55" s="9"/>
      <c r="AA55" s="30">
        <f t="shared" si="15"/>
        <v>-11.016479985399203</v>
      </c>
      <c r="AB55" s="4"/>
      <c r="AC55" s="8" t="e">
        <f t="shared" si="5"/>
        <v>#NUM!</v>
      </c>
      <c r="AD55" s="4"/>
      <c r="AE55" s="9" t="e">
        <f t="shared" si="16"/>
        <v>#NUM!</v>
      </c>
      <c r="AF55" s="9"/>
      <c r="AG55" s="9"/>
      <c r="AH55" s="4"/>
    </row>
    <row r="56" spans="1:34" s="8" customFormat="1" ht="15" customHeight="1">
      <c r="A56" s="58">
        <v>53</v>
      </c>
      <c r="C56" s="4">
        <f>'Spinel-- no zeroes'!C56</f>
        <v>0</v>
      </c>
      <c r="E56" s="8">
        <v>850</v>
      </c>
      <c r="F56" s="44">
        <f>'T calculator'!AG56</f>
        <v>914.0710456802318</v>
      </c>
      <c r="G56" s="51"/>
      <c r="H56" s="51"/>
      <c r="J56" s="8">
        <v>15</v>
      </c>
      <c r="L56" s="51"/>
      <c r="M56" s="51"/>
      <c r="O56" s="68">
        <f>Olivine!AC56</f>
        <v>0.90725136560129849</v>
      </c>
      <c r="P56" s="44"/>
      <c r="Q56" s="69">
        <f>Orthopyroxene!BI56</f>
        <v>6.8527303830343252E-3</v>
      </c>
      <c r="R56" s="44"/>
      <c r="S56" s="24">
        <f t="shared" si="13"/>
        <v>-12.143370436331256</v>
      </c>
      <c r="U56" s="8" t="e">
        <f t="shared" si="2"/>
        <v>#NUM!</v>
      </c>
      <c r="W56" s="9" t="e">
        <f t="shared" si="14"/>
        <v>#NUM!</v>
      </c>
      <c r="X56" s="9"/>
      <c r="Y56" s="9"/>
      <c r="AA56" s="30">
        <f t="shared" si="15"/>
        <v>-11.016479985399203</v>
      </c>
      <c r="AB56" s="4"/>
      <c r="AC56" s="8" t="e">
        <f t="shared" si="5"/>
        <v>#NUM!</v>
      </c>
      <c r="AD56" s="4"/>
      <c r="AE56" s="9" t="e">
        <f t="shared" si="16"/>
        <v>#NUM!</v>
      </c>
      <c r="AF56" s="9"/>
      <c r="AG56" s="9"/>
      <c r="AH56" s="4"/>
    </row>
    <row r="57" spans="1:34" s="8" customFormat="1" ht="15" customHeight="1">
      <c r="A57" s="58">
        <v>54</v>
      </c>
      <c r="C57" s="4">
        <f>'Spinel-- no zeroes'!C57</f>
        <v>0</v>
      </c>
      <c r="E57" s="8">
        <v>850</v>
      </c>
      <c r="F57" s="44">
        <f>'T calculator'!AG57</f>
        <v>914.0710456802318</v>
      </c>
      <c r="G57" s="51"/>
      <c r="H57" s="51"/>
      <c r="J57" s="8">
        <v>15</v>
      </c>
      <c r="L57" s="51"/>
      <c r="M57" s="51"/>
      <c r="O57" s="68">
        <f>Olivine!AC57</f>
        <v>0.90725136560129849</v>
      </c>
      <c r="P57" s="44"/>
      <c r="Q57" s="69">
        <f>Orthopyroxene!BI57</f>
        <v>6.8527303830343252E-3</v>
      </c>
      <c r="R57" s="44"/>
      <c r="S57" s="24">
        <f t="shared" si="13"/>
        <v>-12.143370436331256</v>
      </c>
      <c r="U57" s="8" t="e">
        <f t="shared" si="2"/>
        <v>#NUM!</v>
      </c>
      <c r="W57" s="9" t="e">
        <f t="shared" si="14"/>
        <v>#NUM!</v>
      </c>
      <c r="X57" s="9"/>
      <c r="Y57" s="9"/>
      <c r="AA57" s="30">
        <f t="shared" si="15"/>
        <v>-11.016479985399203</v>
      </c>
      <c r="AB57" s="4"/>
      <c r="AC57" s="8" t="e">
        <f t="shared" si="5"/>
        <v>#NUM!</v>
      </c>
      <c r="AD57" s="4"/>
      <c r="AE57" s="9" t="e">
        <f t="shared" si="16"/>
        <v>#NUM!</v>
      </c>
      <c r="AF57" s="9"/>
      <c r="AG57" s="9"/>
      <c r="AH57" s="4"/>
    </row>
    <row r="58" spans="1:34" s="8" customFormat="1" ht="15" customHeight="1">
      <c r="A58" s="58">
        <v>55</v>
      </c>
      <c r="C58" s="4">
        <f>'Spinel-- no zeroes'!C58</f>
        <v>0</v>
      </c>
      <c r="E58" s="8">
        <v>850</v>
      </c>
      <c r="F58" s="44">
        <f>'T calculator'!AG58</f>
        <v>914.0710456802318</v>
      </c>
      <c r="G58" s="51"/>
      <c r="H58" s="51"/>
      <c r="J58" s="8">
        <v>15</v>
      </c>
      <c r="L58" s="51"/>
      <c r="M58" s="51"/>
      <c r="O58" s="68">
        <f>Olivine!AC58</f>
        <v>0.90725136560129849</v>
      </c>
      <c r="P58" s="44"/>
      <c r="Q58" s="69">
        <f>Orthopyroxene!BI58</f>
        <v>6.8527303830343252E-3</v>
      </c>
      <c r="R58" s="44"/>
      <c r="S58" s="24">
        <f t="shared" si="13"/>
        <v>-12.143370436331256</v>
      </c>
      <c r="U58" s="8" t="e">
        <f t="shared" si="2"/>
        <v>#NUM!</v>
      </c>
      <c r="W58" s="9" t="e">
        <f t="shared" si="14"/>
        <v>#NUM!</v>
      </c>
      <c r="X58" s="9"/>
      <c r="Y58" s="9"/>
      <c r="AA58" s="30">
        <f t="shared" si="15"/>
        <v>-11.016479985399203</v>
      </c>
      <c r="AB58" s="4"/>
      <c r="AC58" s="8" t="e">
        <f t="shared" si="5"/>
        <v>#NUM!</v>
      </c>
      <c r="AD58" s="4"/>
      <c r="AE58" s="9" t="e">
        <f t="shared" si="16"/>
        <v>#NUM!</v>
      </c>
      <c r="AF58" s="9"/>
      <c r="AG58" s="9"/>
      <c r="AH58" s="4"/>
    </row>
    <row r="59" spans="1:34" s="8" customFormat="1" ht="15" customHeight="1">
      <c r="A59" s="58">
        <v>56</v>
      </c>
      <c r="C59" s="4">
        <f>'Spinel-- no zeroes'!C59</f>
        <v>0</v>
      </c>
      <c r="E59" s="8">
        <v>850</v>
      </c>
      <c r="F59" s="44">
        <f>'T calculator'!AG59</f>
        <v>894.20552411951223</v>
      </c>
      <c r="G59" s="51"/>
      <c r="H59" s="51"/>
      <c r="J59" s="8">
        <v>15</v>
      </c>
      <c r="L59" s="51"/>
      <c r="M59" s="51"/>
      <c r="O59" s="68">
        <f>Olivine!AC59</f>
        <v>0.90725136560129849</v>
      </c>
      <c r="P59" s="44"/>
      <c r="Q59" s="69">
        <f>Orthopyroxene!BI59</f>
        <v>6.8527303830343148E-3</v>
      </c>
      <c r="R59" s="44"/>
      <c r="S59" s="24">
        <f t="shared" ref="S59" si="17">-25096.3/(E59+273)+8.735+0.11*((J59*1000-1)/(E59+273))</f>
        <v>-12.143370436331256</v>
      </c>
      <c r="U59" s="8" t="e">
        <f t="shared" si="2"/>
        <v>#NUM!</v>
      </c>
      <c r="W59" s="9" t="e">
        <f t="shared" ref="W59" si="18">U59-S59</f>
        <v>#NUM!</v>
      </c>
      <c r="X59" s="9"/>
      <c r="Y59" s="9"/>
      <c r="AA59" s="30">
        <f t="shared" ref="AA59" si="19">-25096.3/(F59+273)+8.735+0.11*((J59*1000-1)/(F59+273))</f>
        <v>-11.352644819610433</v>
      </c>
      <c r="AB59" s="4"/>
      <c r="AC59" s="8" t="e">
        <f t="shared" si="5"/>
        <v>#NUM!</v>
      </c>
      <c r="AD59" s="4"/>
      <c r="AE59" s="9" t="e">
        <f t="shared" ref="AE59" si="20">AC59-AA59</f>
        <v>#NUM!</v>
      </c>
      <c r="AF59" s="9"/>
      <c r="AG59" s="9"/>
      <c r="AH59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Spinel-- no zeroes</vt:lpstr>
      <vt:lpstr>Spinel endmembers</vt:lpstr>
      <vt:lpstr>Olivine</vt:lpstr>
      <vt:lpstr>Orthopyroxene</vt:lpstr>
      <vt:lpstr>T calculator</vt:lpstr>
      <vt:lpstr>fO2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G. Lopez</dc:creator>
  <cp:lastModifiedBy>Suzanne Birner</cp:lastModifiedBy>
  <dcterms:created xsi:type="dcterms:W3CDTF">2012-07-20T06:14:13Z</dcterms:created>
  <dcterms:modified xsi:type="dcterms:W3CDTF">2017-05-04T00:43:35Z</dcterms:modified>
</cp:coreProperties>
</file>