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oatPlanDetails" sheetId="1" r:id="rId3"/>
    <sheet state="visible" name="Copy of FloatPlanDetails" sheetId="2" r:id="rId4"/>
    <sheet state="visible" name="Form Responses 2" sheetId="3" r:id="rId5"/>
    <sheet state="visible" name="Sheet3" sheetId="4" r:id="rId6"/>
    <sheet state="hidden" name="NVScriptsProperties" sheetId="5" r:id="rId7"/>
    <sheet state="hidden" name="UPGRADED_autoCrat_MergeData_DO_" sheetId="6" r:id="rId8"/>
    <sheet state="hidden" name="UPGRADED_NVScriptsProperties" sheetId="7" r:id="rId9"/>
    <sheet state="hidden" name="DO NOT DELETE - AutoCrat Job Se" sheetId="8" r:id="rId10"/>
  </sheets>
  <definedNames/>
  <calcPr/>
</workbook>
</file>

<file path=xl/sharedStrings.xml><?xml version="1.0" encoding="utf-8"?>
<sst xmlns="http://schemas.openxmlformats.org/spreadsheetml/2006/main" count="16042" uniqueCount="2741">
  <si>
    <t>Supervisor Email</t>
  </si>
  <si>
    <t>Initial for Off Water</t>
  </si>
  <si>
    <t>Actual Time off Water</t>
  </si>
  <si>
    <t>Merged Doc ID - Float Plan Merge V2</t>
  </si>
  <si>
    <t>Merged Doc URL - Float Plan Merge V2</t>
  </si>
  <si>
    <t>Link to merged Doc - Float Plan Merge V2</t>
  </si>
  <si>
    <t>Document Merge Status - Float Plan Merge V2</t>
  </si>
  <si>
    <t>KR</t>
  </si>
  <si>
    <t>x</t>
  </si>
  <si>
    <t>Kenneth.Rainer@floridadep.gov</t>
  </si>
  <si>
    <t>1-xBJcM5t4rp1kF8CtiHFHCGIYOyemNCh</t>
  </si>
  <si>
    <t>https://drive.google.com/a/gtmnerr.org/file/d/1-xBJcM5t4rp1kF8CtiHFHCGIYOyemNCh/view?usp=drivesdk</t>
  </si>
  <si>
    <t>Document successfully created; Document successfully merged; PDF created; Emails Sent: [To: Kenneth.Rainer@floridadep.gov,Nikki.Dix@floridadep.gov; CC: Kenneth.Rainer@floridadep.gov; Reply To: Kenneth.Rainer@floridadep.gov]; Manually run by kenneth.rainer@gtmnerr.org; Timestamp: Mar 7 2018 10:38 AM</t>
  </si>
  <si>
    <t/>
  </si>
  <si>
    <t>KR/ SE</t>
  </si>
  <si>
    <t>1PoGr328HmybT9p6Khc3j48PbR5wcYaea</t>
  </si>
  <si>
    <t>https://drive.google.com/a/gtmnerr.org/file/d/1PoGr328HmybT9p6Khc3j48PbR5wcYaea/view?usp=drivesdk</t>
  </si>
  <si>
    <t>Document successfully created; Document successfully merged; PDF created; Emails Sent: [To: Nikki.Dix@floridadep.gov,Jennifer.Odzinski@dep.state.fl.us,Stephanie.Windham@dep.state.fl.us,Lia.Sansom@dep.state.fl.us; CC: Pamela.Marcum@Dep.state.fl.us; Reply To: Pamela.Marcum@Dep.state.fl.us]; Manually run by kenneth.rainer@gtmnerr.org; Timestamp: Mar 16 2018 5:28 PM</t>
  </si>
  <si>
    <t>JBO</t>
  </si>
  <si>
    <t>1lZDSHrj3qsq_O52lhKl_J8Ol3Ppm2wpf</t>
  </si>
  <si>
    <t>https://drive.google.com/a/gtmnerr.org/file/d/1lZDSHrj3qsq_O52lhKl_J8Ol3Ppm2wpf/view?usp=drivesdk</t>
  </si>
  <si>
    <t>Document successfully created; Document successfully merged; PDF created; Emails Sent: [To: Nikki.Dix@floridadep.gov,Jennifer.Odzinski@dep.state.fl.us,Stephanie.Windham@dep.state.fl.us,Lia.Sansom@dep.state.fl.us; CC: Pamela.Marcum@dep.state.fl.us; Reply To: Pamela.Marcum@dep.state.fl.us]; Run via form trigger as kenneth.rainer@gtmnerr.org; Timestamp: Mar 23 2018 8:40 AM</t>
  </si>
  <si>
    <t>SFE</t>
  </si>
  <si>
    <t>1QvAZ7R1p5_SFBt5mF93Am43VNlxMzFTn</t>
  </si>
  <si>
    <t>https://drive.google.com/a/gtmnerr.org/file/d/1QvAZ7R1p5_SFBt5mF93Am43VNlxMzFTn/view?usp=drivesdk</t>
  </si>
  <si>
    <t>Document successfully created; Document successfully merged; PDF created; Emails Sent: [To: Nikki.Dix@floridadep.gov,Jennifer.Odzinski@dep.state.fl.us,Stephanie.Windham@dep.state.fl.us,Lia.Sansom@dep.state.fl.us; CC: Pamela.Marcum@Dep.state.fl.us; Reply To: Pamela.Marcum@Dep.state.fl.us]; Run via form trigger as kenneth.rainer@gtmnerr.org; Timestamp: Mar 24 2018 8:56 AM</t>
  </si>
  <si>
    <t>1YinwlBsrG6skh50eUb96HFs4ROS8w5Vd</t>
  </si>
  <si>
    <t>https://drive.google.com/a/gtmnerr.org/file/d/1YinwlBsrG6skh50eUb96HFs4ROS8w5Vd/view?usp=drivesdk</t>
  </si>
  <si>
    <t>Document successfully created; Document successfully merged; PDF created; Emails Sent: [To: Nikki.Dix@floridadep.gov,Jennifer.Odzinski@dep.state.fl.us,Stephanie.Windham@dep.state.fl.us,Lia.Sansom@dep.state.fl.us; CC: silas.tanner@floridadep.gov; Reply To: silas.tanner@floridadep.gov]; Run via form trigger as kenneth.rainer@gtmnerr.org; Timestamp: Mar 26 2018 2:03 PM</t>
  </si>
  <si>
    <t>1UDcTZ57HVMirRLXojC9fGFCmlWToZDMk</t>
  </si>
  <si>
    <t>https://drive.google.com/a/gtmnerr.org/file/d/1UDcTZ57HVMirRLXojC9fGFCmlWToZDMk/view?usp=drivesdk</t>
  </si>
  <si>
    <t>Document successfully created; Document successfully merged; PDF created; Emails Sent: [To: Nikki.Dix@floridadep.gov,Jennifer.Odzinski@dep.state.fl.us,Stephanie.Windham@dep.state.fl.us,Lia.Sansom@dep.state.fl.us; CC: silas.tanner@floridadep.gov; Reply To: silas.tanner@floridadep.gov]; Run via form trigger as kenneth.rainer@gtmnerr.org; Timestamp: Mar 26 2018 2:07 PM</t>
  </si>
  <si>
    <t>Scott.Eastman@floridadep.gov</t>
  </si>
  <si>
    <t>1jgjcWdO9z2WyqZPvktwTx42rtdLSC_0a</t>
  </si>
  <si>
    <t>https://drive.google.com/a/gtmnerr.org/file/d/1jgjcWdO9z2WyqZPvktwTx42rtdLSC_0a/view?usp=drivesdk</t>
  </si>
  <si>
    <t>Document successfully created; Document successfully merged; PDF created; Emails Sent: [To: Scott.Eastman@floridadep.gov,Jennifer.Odzinski@dep.state.fl.us,Stephanie.Windham@dep.state.fl.us,Lia.Sansom@dep.state.fl.us; CC: james.tomazinis@floridadep.gov; Reply To: james.tomazinis@floridadep.gov]; Run via form trigger as kenneth.rainer@gtmnerr.org; Timestamp: Mar 28 2018 7:37 AM</t>
  </si>
  <si>
    <t>1xdZPUxBQL3Q04nu9hZKEqU5OAwvcXjY4</t>
  </si>
  <si>
    <t>https://drive.google.com/a/gtmnerr.org/file/d/1xdZPUxBQL3Q04nu9hZKEqU5OAwvcXjY4/view?usp=drivesdk</t>
  </si>
  <si>
    <t>Document successfully created; Document successfully merged; PDF created; Emails Sent: [To: Scott.Eastman@floridadep.gov,Jennifer.Odzinski@dep.state.fl.us,Stephanie.Windham@dep.state.fl.us,Lia.Sansom@dep.state.fl.us; CC: james.tomazinis@floridadep.gov; Reply To: james.tomazinis@floridadep.gov]; Run via form trigger as kenneth.rainer@gtmnerr.org; Timestamp: Mar 29 2018 8:40 AM</t>
  </si>
  <si>
    <t>JK</t>
  </si>
  <si>
    <t>1CqRffsFMJFT8y9LOWdRzM3m5rD9ZeP2D</t>
  </si>
  <si>
    <t>https://drive.google.com/a/gtmnerr.org/file/d/1CqRffsFMJFT8y9LOWdRzM3m5rD9ZeP2D/view?usp=drivesdk</t>
  </si>
  <si>
    <t>Document successfully created; Document successfully merged; PDF created; Emails Sent: [To: Kenneth.Rainer@floridadep.gov,Jennifer.Odzinski@dep.state.fl.us,Stephanie.Windham@dep.state.fl.us,Lia.Sansom@dep.state.fl.us; CC: Kenneth.Rainer@dep.state.fl.us; Reply To: Kenneth.Rainer@dep.state.fl.us]; Run via form trigger as kenneth.rainer@gtmnerr.org; Timestamp: Mar 30 2018 11:53 AM</t>
  </si>
  <si>
    <t>ND</t>
  </si>
  <si>
    <t>1VQkdorZRbfabc3AEa7o8ja86ZuyLfsIJ</t>
  </si>
  <si>
    <t>https://drive.google.com/a/gtmnerr.org/file/d/1VQkdorZRbfabc3AEa7o8ja86ZuyLfsIJ/view?usp=drivesdk</t>
  </si>
  <si>
    <t>Document successfully created; Document successfully merged; PDF created; Emails Sent: [To: Nikki.Dix@floridadep.gov,Jennifer.Odzinski@dep.state.fl.us,Stephanie.Windham@dep.state.fl.us,Lia.Sansom@dep.state.fl.us; CC: Pamela.Marcum@dep.state.fl.us; Reply To: Pamela.Marcum@dep.state.fl.us]; Run via form trigger as kenneth.rainer@gtmnerr.org; Timestamp: Apr 3 2018 7:34 AM</t>
  </si>
  <si>
    <t>1wwbmFLgI3rXytEVbNoq8P0VpSeSlZpZt</t>
  </si>
  <si>
    <t>https://drive.google.com/a/gtmnerr.org/file/d/1wwbmFLgI3rXytEVbNoq8P0VpSeSlZpZt/view?usp=drivesdk</t>
  </si>
  <si>
    <t>Document successfully created; Document successfully merged; PDF created; Emails Sent: [To: Nikki.Dix@floridadep.gov,Jennifer.Odzinski@dep.state.fl.us,Stephanie.Windham@dep.state.fl.us,Lia.Sansom@dep.state.fl.us; CC: Pamela.Marcum@dep.state.fl.us; Reply To: Pamela.Marcum@dep.state.fl.us]; Run via form trigger as kenneth.rainer@gtmnerr.org; Timestamp: Apr 5 2018 7:49 AM</t>
  </si>
  <si>
    <t>1PS5YPza6b0J9agPHBVTnWxTfvhLIFch7</t>
  </si>
  <si>
    <t>https://drive.google.com/a/gtmnerr.org/file/d/1PS5YPza6b0J9agPHBVTnWxTfvhLIFch7/view?usp=drivesdk</t>
  </si>
  <si>
    <t>Document successfully created; Document successfully merged; PDF created; Emails Sent: [To: Nikki.Dix@floridadep.gov,Jennifer.Odzinski@dep.state.fl.us,Stephanie.Windham@dep.state.fl.us,Lia.Sansom@dep.state.fl.us; CC: mowbraybenjamin@gmail.com; Reply To: mowbraybenjamin@gmail.com]; Run via form trigger as kenneth.rainer@gtmnerr.org; Timestamp: Apr 7 2018 8:54 AM</t>
  </si>
  <si>
    <t>1xtziDCcDw8NcS5SRk_17AU3Q8TKpQ1Z4</t>
  </si>
  <si>
    <t>https://drive.google.com/a/gtmnerr.org/file/d/1xtziDCcDw8NcS5SRk_17AU3Q8TKpQ1Z4/view?usp=drivesdk</t>
  </si>
  <si>
    <t>Document successfully created; Document successfully merged; PDF created; Emails Sent: [To: Nikki.Dix@floridadep.gov,Jennifer.Odzinski@dep.state.fl.us,Stephanie.Windham@dep.state.fl.us,Lia.Sansom@dep.state.fl.us; CC: mowbraybenjamin@gmail.com; Reply To: mowbraybenjamin@gmail.com]; Run via form trigger as kenneth.rainer@gtmnerr.org; Timestamp: Apr 7 2018 8:56 AM</t>
  </si>
  <si>
    <t>cancelled</t>
  </si>
  <si>
    <t>1dZ2zFneiLNJ-LVQ0meYVs4oB71EuzBH6</t>
  </si>
  <si>
    <t>https://drive.google.com/a/gtmnerr.org/file/d/1dZ2zFneiLNJ-LVQ0meYVs4oB71EuzBH6/view?usp=drivesdk</t>
  </si>
  <si>
    <t>Document successfully created; Document successfully merged; PDF created; Emails Sent: [To: Nikki.Dix@floridadep.gov,Jennifer.Odzinski@dep.state.fl.us,Stephanie.Windham@dep.state.fl.us,Lia.Sansom@dep.state.fl.us; CC: silas.tanner@floridadep.gov; Reply To: silas.tanner@floridadep.gov]; Manually run by research@gtmnerr.org; Timestamp: Apr 12 2018 9:13 AM</t>
  </si>
  <si>
    <t>SW</t>
  </si>
  <si>
    <t>1iSoKHDcZ4JzQNG4JwzRoVeKu0BXy7IBM</t>
  </si>
  <si>
    <t>https://drive.google.com/a/gtmnerr.org/file/d/1iSoKHDcZ4JzQNG4JwzRoVeKu0BXy7IBM/view?usp=drivesdk</t>
  </si>
  <si>
    <t>Document successfully created; Document successfully merged; PDF created; Emails Sent: [To: Nikki.Dix@floridadep.gov,Jennifer.Odzinski@dep.state.fl.us,Stephanie.Windham@dep.state.fl.us,Lia.Sansom@dep.state.fl.us; CC: silas.tanner@floridadep.gov; Reply To: silas.tanner@floridadep.gov]; Run via form trigger as kenneth.rainer@gtmnerr.org; Timestamp: Apr 11 2018 9:25 AM</t>
  </si>
  <si>
    <t>1X-tbMcKrUC7VZG_2B5PruW_7lMpu_1vI</t>
  </si>
  <si>
    <t>https://drive.google.com/a/gtmnerr.org/file/d/1X-tbMcKrUC7VZG_2B5PruW_7lMpu_1vI/view?usp=drivesdk</t>
  </si>
  <si>
    <t>Document successfully created; Document successfully merged; PDF created; Emails Sent: [To: Nikki.Dix@floridadep.gov,Jennifer.Odzinski@dep.state.fl.us,Stephanie.Windham@dep.state.fl.us,Lia.Sansom@dep.state.fl.us; CC: Pamela.Marcum@floridadep.gov; Reply To: Pamela.Marcum@floridadep.gov]; Run via form trigger as kenneth.rainer@gtmnerr.org; Timestamp: Apr 12 2018 8:00 AM</t>
  </si>
  <si>
    <t>1lvnFSpiVYr6imjfOlWlxPW2ouTpS9jO0pAxu4_Njk7M</t>
  </si>
  <si>
    <t>https://docs.google.com/document/d/1lvnFSpiVYr6imjfOlWlxPW2ouTpS9jO0pAxu4_Njk7M/edit?usp=drivesdk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</si>
  <si>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Apr 16 2018 1:02 PM</t>
  </si>
  <si>
    <t>1yuciw9UAQC0hXjE6C7ODRboAy7GXEhKwmAu3V1IstVw</t>
  </si>
  <si>
    <t>https://docs.google.com/document/d/1yuciw9UAQC0hXjE6C7ODRboAy7GXEhKwmAu3V1IstVw/edit?usp=drivesdk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</si>
  <si>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Apr 16 2018 5:40 PM</t>
  </si>
  <si>
    <t>1xUIhT2sRTDOWmpUEFwaZu47fXh5-6Kw9MpWVOIypX_Y</t>
  </si>
  <si>
    <t>https://docs.google.com/document/d/1xUIhT2sRTDOWmpUEFwaZu47fXh5-6Kw9MpWVOIypX_Y/edit?usp=drivesdk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</si>
  <si>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Apr 19 2018 7:14 AM</t>
  </si>
  <si>
    <t>1JEa1CEgHyehbkiQb0UeiGakohFPxlUdscuddwbzrIxE</t>
  </si>
  <si>
    <t>https://docs.google.com/document/d/1JEa1CEgHyehbkiQb0UeiGakohFPxlUdscuddwbzrIxE/edit?usp=drivesdk</t>
  </si>
  <si>
    <t>Document successfully created; Document successfully merged; Emails Sent: [To: Nikki.Dix@floridadep.gov,Jennifer.Odzinski@dep.state.fl.us,Stephanie.Windham@dep.state.fl.us,Lia.Sansom@dep.state.fl.us; CC: silas.tanner@dep.state.fl.us; Reply To: silas.tanner@dep.state.fl.us]; Run via form trigger as kenneth.rainer@gtmnerr.org; Timestamp: Apr 20 2018 8:18 AM</t>
  </si>
  <si>
    <t>1JFryXOw2InmmGmXxxzshvZNk4sdpEONK7hn7Y_AqJRE</t>
  </si>
  <si>
    <t>https://docs.google.com/document/d/1JFryXOw2InmmGmXxxzshvZNk4sdpEONK7hn7Y_AqJRE/edit?usp=drivesdk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</si>
  <si>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Apr 23 2018 9:40 AM</t>
  </si>
  <si>
    <t>1cZgdQ9Bkry7GfAi9UtVtg27Em-ne__SFXnsOQWLIXOg</t>
  </si>
  <si>
    <t>https://docs.google.com/document/d/1cZgdQ9Bkry7GfAi9UtVtg27Em-ne__SFXnsOQWLIXOg/edit?usp=drivesdk</t>
  </si>
  <si>
    <t>Document successfully created; Document successfully merged; Emails Sent: [To: Scott.Eastman@floridadep.gov,Jennifer.Odzinski@dep.state.fl.us,Stephanie.Windham@dep.state.fl.us,Lia.Sansom@dep.state.fl.us; CC: james.tomazinis@dep.state.fl.us; Reply To: james.tomazinis@dep.state.fl.us]; Run via form trigger as kenneth.rainer@gtmnerr.org; Timestamp: Apr 23 2018 5:09 PM</t>
  </si>
  <si>
    <t>141YwKW4KI8Q1dzT2ZpYz1hJTIpHl_K-P_b2fL-FVL80</t>
  </si>
  <si>
    <t>https://docs.google.com/document/d/141YwKW4KI8Q1dzT2ZpYz1hJTIpHl_K-P_b2fL-FVL80/edit?usp=drivesdk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</si>
  <si>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Apr 24 2018 8:37 AM</t>
  </si>
  <si>
    <t>11JZf3cCy2oWzUnb0sX9zgzWgWoI2_8xAwaHHjF2yHkM</t>
  </si>
  <si>
    <t>https://docs.google.com/document/d/11JZf3cCy2oWzUnb0sX9zgzWgWoI2_8xAwaHHjF2yHkM/edit?usp=drivesdk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</si>
  <si>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Apr 25 2018 6:20 AM</t>
  </si>
  <si>
    <t>1eL5Q6SNkiPmg7jIbli2gKBq4HNhYtjpYK0Xasr2D1E4</t>
  </si>
  <si>
    <t>https://docs.google.com/document/d/1eL5Q6SNkiPmg7jIbli2gKBq4HNhYtjpYK0Xasr2D1E4/edit?usp=drivesdk</t>
  </si>
  <si>
    <t>Document successfully created; Document successfully merged; Emails Sent: [To: Nikki.Dix@floridadep.gov,Jennifer.Odzinski@dep.state.fl.us,Stephanie.Windham@dep.state.fl.us,Lia.Sansom@dep.state.fl.us; CC: silas.tanner@dep.state.fl.us; Reply To: silas.tanner@dep.state.fl.us]; Run via form trigger as kenneth.rainer@gtmnerr.org; Timestamp: Apr 26 2018 12:49 PM</t>
  </si>
  <si>
    <t>1pqxIs0u3K7GhvcOKvyC8IjsZWvGnhWY4BbRyjvR0EHs</t>
  </si>
  <si>
    <t>https://docs.google.com/document/d/1pqxIs0u3K7GhvcOKvyC8IjsZWvGnhWY4BbRyjvR0EHs/edit?usp=drivesdk</t>
  </si>
  <si>
    <t>Document successfully created; Document successfully merged; Emails Sent: [To: Nikki.Dix@floridadep.gov,Jennifer.Odzinski@dep.state.fl.us,Stephanie.Windham@dep.state.fl.us,Lia.Sansom@dep.state.fl.us; CC: Shannon.Dunnigan@dep.state.fl.us; Reply To: Shannon.Dunnigan@dep.state.fl.us]; Run via form trigger as kenneth.rainer@gtmnerr.org; Timestamp: Apr 27 2018 8:58 AM</t>
  </si>
  <si>
    <t>1o_kh_Z-U6_tGhTgiT0C3Z1YHstpG_03KK-kY2lq7ebs</t>
  </si>
  <si>
    <t>https://docs.google.com/document/d/1o_kh_Z-U6_tGhTgiT0C3Z1YHstpG_03KK-kY2lq7ebs/edit?usp=drivesdk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</si>
  <si>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Apr 27 2018 11:27 AM</t>
  </si>
  <si>
    <t>15XlgdKXD7KIdSk2IIAY4JghUF2KIMnTCytAv-cTrJKA</t>
  </si>
  <si>
    <t>https://docs.google.com/document/d/15XlgdKXD7KIdSk2IIAY4JghUF2KIMnTCytAv-cTrJKA/edit?usp=drivesdk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</si>
  <si>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Apr 30 2018 9:58 AM</t>
  </si>
  <si>
    <t>1v2wrRH98Mb6W56K8yPZheM1Zp9pKLMkjPI3HLleM2-E</t>
  </si>
  <si>
    <t>https://docs.google.com/document/d/1v2wrRH98Mb6W56K8yPZheM1Zp9pKLMkjPI3HLleM2-E/edit?usp=drivesdk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</si>
  <si>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May 1 2018 9:51 AM</t>
  </si>
  <si>
    <t>1v_EdmdvVGzhAN3sdHRshOKc3HcBBu2-dgl8Cd4de5UM</t>
  </si>
  <si>
    <t>https://docs.google.com/document/d/1v_EdmdvVGzhAN3sdHRshOKc3HcBBu2-dgl8Cd4de5UM/edit?usp=drivesdk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</si>
  <si>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May 1 2018 5:08 PM</t>
  </si>
  <si>
    <t>1aRzzSkR4_IR2TrYGXtPq9lf_h_sywa9CZFinxHZ5IvA</t>
  </si>
  <si>
    <t>https://docs.google.com/document/d/1aRzzSkR4_IR2TrYGXtPq9lf_h_sywa9CZFinxHZ5IvA/edit?usp=drivesdk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</si>
  <si>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May 3 2018 8:58 AM</t>
  </si>
  <si>
    <t>1UxSihKYLLd3ptxsJHs_8U8O3j5OHfzHKbjnt5FECBbs</t>
  </si>
  <si>
    <t>https://docs.google.com/document/d/1UxSihKYLLd3ptxsJHs_8U8O3j5OHfzHKbjnt5FECBbs/edit?usp=drivesdk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</si>
  <si>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May 4 2018 9:21 AM</t>
  </si>
  <si>
    <t>LS</t>
  </si>
  <si>
    <t>1YVH9hAY0Il0DCK6rFfBHIM-B2FMeHXQEEJUjpA6N7-U</t>
  </si>
  <si>
    <t>https://docs.google.com/document/d/1YVH9hAY0Il0DCK6rFfBHIM-B2FMeHXQEEJUjpA6N7-U/edit?usp=drivesdk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</si>
  <si>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May 8 2018 8:25 AM</t>
  </si>
  <si>
    <t>12huri7tFQSawQjEXKj8ob1-TqT9eABr2dmxojMW4czY</t>
  </si>
  <si>
    <t>https://docs.google.com/document/d/12huri7tFQSawQjEXKj8ob1-TqT9eABr2dmxojMW4czY/edit?usp=drivesdk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</si>
  <si>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May 10 2018 8:41 AM</t>
  </si>
  <si>
    <t>1NVKICve706r0YkCzp__mT8BDMJdF4QnbOgxRSabgmKc</t>
  </si>
  <si>
    <t>https://docs.google.com/document/d/1NVKICve706r0YkCzp__mT8BDMJdF4QnbOgxRSabgmKc/edit?usp=drivesdk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</si>
  <si>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May 11 2018 7:12 AM</t>
  </si>
  <si>
    <t>1As9djMbo-ypJ-TIGH9yy3dPkMxR0WI1KMjZ3T-YgY3o</t>
  </si>
  <si>
    <t>https://docs.google.com/document/d/1As9djMbo-ypJ-TIGH9yy3dPkMxR0WI1KMjZ3T-YgY3o/edit?usp=drivesdk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</si>
  <si>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May 14 2018 3:21 PM</t>
  </si>
  <si>
    <t>sw</t>
  </si>
  <si>
    <t>1ZYCXLV6gt2oXgWl9Ziwcxz8bjA1d5w_O5I7Ap6ZOB2M</t>
  </si>
  <si>
    <t>https://docs.google.com/document/d/1ZYCXLV6gt2oXgWl9Ziwcxz8bjA1d5w_O5I7Ap6ZOB2M/edit?usp=drivesdk</t>
  </si>
  <si>
    <t>Document successfully created; Document successfully merged; Emails Sent: [To: Kenneth.Rainer@floridadep.gov,Jennifer.Odzinski@dep.state.fl.us,Stephanie.Windham@dep.state.fl.us,Lia.Sansom@dep.state.fl.us; CC: Kenneth.Rainer@dep.state.fl.us; Reply To: Kenneth.Rainer@dep.state.fl.us]; Run via form trigger as kenneth.rainer@gtmnerr.org; Timestamp: May 16 2018 3:55 PM</t>
  </si>
  <si>
    <t>10nnniawQVtJWr1j6dGtxHYuaPvjUZS_oEzRZ6f249BE</t>
  </si>
  <si>
    <t>https://docs.google.com/document/d/10nnniawQVtJWr1j6dGtxHYuaPvjUZS_oEzRZ6f249BE/edit?usp=drivesdk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</si>
  <si>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May 17 2018 7:35 AM</t>
  </si>
  <si>
    <t>1_HH9Z8-j5vEDahK3SVVb5cw1dwoAO7QFzxqAWGE-CnI</t>
  </si>
  <si>
    <t>https://docs.google.com/document/d/1_HH9Z8-j5vEDahK3SVVb5cw1dwoAO7QFzxqAWGE-CnI/edit?usp=drivesdk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</si>
  <si>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May 23 2018 7:33 PM</t>
  </si>
  <si>
    <t>1xPjlL2XpuJuVs9bhlQHaVaBJvaUVRrAiSl6QpD-EBQQ</t>
  </si>
  <si>
    <t>https://docs.google.com/document/d/1xPjlL2XpuJuVs9bhlQHaVaBJvaUVRrAiSl6QpD-EBQQ/edit?usp=drivesdk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</si>
  <si>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May 24 2018 10:43 AM</t>
  </si>
  <si>
    <t>PM</t>
  </si>
  <si>
    <t>1Z8dAn-NJRpmpNLlG1zkbjukS7RuYIXNvx0IZ730X_Lk</t>
  </si>
  <si>
    <t>https://docs.google.com/document/d/1Z8dAn-NJRpmpNLlG1zkbjukS7RuYIXNvx0IZ730X_Lk/edit?usp=drivesdk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</si>
  <si>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May 28 2018 8:40 AM</t>
  </si>
  <si>
    <t>1-UbK8hMJUW_5g5Rku1FY9ewcvvUW5AHNrwKQATrchv4</t>
  </si>
  <si>
    <t>https://docs.google.com/document/d/1-UbK8hMJUW_5g5Rku1FY9ewcvvUW5AHNrwKQATrchv4/edit?usp=drivesdk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</si>
  <si>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May 29 2018 7:37 AM</t>
  </si>
  <si>
    <t>1WsrMwbtq1vkTBudK_ew-NbpNttOyEo3T3Yuj3AdKLcs</t>
  </si>
  <si>
    <t>https://docs.google.com/document/d/1WsrMwbtq1vkTBudK_ew-NbpNttOyEo3T3Yuj3AdKLcs/edit?usp=drivesdk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</si>
  <si>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May 30 2018 9:34 AM</t>
  </si>
  <si>
    <t>1QBVhj8T9wlvA9MtmpE0nIHEBCK43PFkjVDTBjO99NHM</t>
  </si>
  <si>
    <t>https://docs.google.com/document/d/1QBVhj8T9wlvA9MtmpE0nIHEBCK43PFkjVDTBjO99NHM/edit?usp=drivesdk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</si>
  <si>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May 30 2018 10:38 AM</t>
  </si>
  <si>
    <t>18xsY3dGulHPGl_CAhmxP1foemiasC677-RRywmPh4mc</t>
  </si>
  <si>
    <t>https://docs.google.com/document/d/18xsY3dGulHPGl_CAhmxP1foemiasC677-RRywmPh4mc/edit?usp=drivesdk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</si>
  <si>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May 30 2018 11:44 AM</t>
  </si>
  <si>
    <t>1GGxNyt9MBnblp9Zx3L_z8an_bzsgGlS6W15cDVnm3fk</t>
  </si>
  <si>
    <t>https://docs.google.com/document/d/1GGxNyt9MBnblp9Zx3L_z8an_bzsgGlS6W15cDVnm3fk/edit?usp=drivesdk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</si>
  <si>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May 31 2018 11:25 AM</t>
  </si>
  <si>
    <t>1Meihg5Jrur5EeX5nc6SpgFu2CqSqHvOVRaDjMu8Kzjw</t>
  </si>
  <si>
    <t>https://docs.google.com/document/d/1Meihg5Jrur5EeX5nc6SpgFu2CqSqHvOVRaDjMu8Kzjw/edit?usp=drivesdk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</si>
  <si>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Jun 1 2018 9:54 AM</t>
  </si>
  <si>
    <t>1_BU8DyN37-pP7dXayBuVa2UgN4SSVZhJ2PswBb3iWpA</t>
  </si>
  <si>
    <t>https://docs.google.com/document/d/1_BU8DyN37-pP7dXayBuVa2UgN4SSVZhJ2PswBb3iWpA/edit?usp=drivesdk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</si>
  <si>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Jun 1 2018 11:18 PM</t>
  </si>
  <si>
    <t>1_99TZLD-k-C9EsSVpSJNccEWzt4WrxyVPB59pY1zq1c</t>
  </si>
  <si>
    <t>https://docs.google.com/document/d/1_99TZLD-k-C9EsSVpSJNccEWzt4WrxyVPB59pY1zq1c/edit?usp=drivesdk</t>
  </si>
  <si>
    <t>Document successfully created; Document successfully merged; Emails Sent: [To: Kenneth.Rainer@floridadep.gov,Jennifer.Odzinski@dep.state.fl.us,Stephanie.Windham@dep.state.fl.us,Lia.Sansom@dep.state.fl.us; CC: Kenneth.Rainer@dep.state.fl.us; Reply To: Kenneth.Rainer@dep.state.fl.us]; Run via form trigger as kenneth.rainer@gtmnerr.org; Timestamp: Jun 4 2018 12:10 PM</t>
  </si>
  <si>
    <t>1OT1kes3CIgU0ZoBNEpPtzP0zZ3y229Cg9-mTm6wn5UM</t>
  </si>
  <si>
    <t>https://docs.google.com/document/d/1OT1kes3CIgU0ZoBNEpPtzP0zZ3y229Cg9-mTm6wn5UM/edit?usp=drivesdk</t>
  </si>
  <si>
    <t>Document successfully created; Document successfully merged; Emails Sent: [To: Kenneth.Rainer@floridadep.gov,Jennifer.Odzinski@dep.state.fl.us,Stephanie.Windham@dep.state.fl.us,Lia.Sansom@dep.state.fl.us; CC: james.tomazinis@floridadep.gov; Reply To: james.tomazinis@floridadep.gov]; Run via form trigger as kenneth.rainer@gtmnerr.org; Timestamp: Jun 4 2018 12:13 PM</t>
  </si>
  <si>
    <t>1f4rCTUh5g2HKvT37iHIzLi2xkFwrlxrV8ZlB-EPRd_0</t>
  </si>
  <si>
    <t>https://docs.google.com/document/d/1f4rCTUh5g2HKvT37iHIzLi2xkFwrlxrV8ZlB-EPRd_0/edit?usp=drivesdk</t>
  </si>
  <si>
    <t>Document successfully created; Document successfully merged; Emails Sent: [To: Kenneth.Rainer@floridadep.gov,Jennifer.Odzinski@dep.state.fl.us,Stephanie.Windham@dep.state.fl.us,Lia.Sansom@dep.state.fl.us; CC: Kenneth.Rainer@dep.state.fl.us; Reply To: Kenneth.Rainer@dep.state.fl.us]; Run via form trigger as kenneth.rainer@gtmnerr.org; Timestamp: Jun 4 2018 12:17 PM</t>
  </si>
  <si>
    <t>1omI7AifJyv7VBder7xWpamlAqbP_DccSbkNyJKL1wJk</t>
  </si>
  <si>
    <t>https://docs.google.com/document/d/1omI7AifJyv7VBder7xWpamlAqbP_DccSbkNyJKL1wJk/edit?usp=drivesdk</t>
  </si>
  <si>
    <t>Document successfully created; Document successfully merged; Emails Sent: [To: Kenneth.Rainer@floridadep.gov,Jennifer.Odzinski@dep.state.fl.us,Stephanie.Windham@dep.state.fl.us,Lia.Sansom@dep.state.fl.us; CC: silas.tanner@floridadep.gov; Reply To: silas.tanner@floridadep.gov]; Run via form trigger as kenneth.rainer@gtmnerr.org; Timestamp: Jun 4 2018 12:20 PM</t>
  </si>
  <si>
    <t>1nhihx7WUJyq9xrne-IuE8z6M1bOCmJPhlEGshsFWGQU</t>
  </si>
  <si>
    <t>https://docs.google.com/document/d/1nhihx7WUJyq9xrne-IuE8z6M1bOCmJPhlEGshsFWGQU/edit?usp=drivesdk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</si>
  <si>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Jun 11 2018 8:41 AM</t>
  </si>
  <si>
    <t>14xL-FgR87Xdn5S8WoYx0_em_jRQvOEXqyE9kNUhAwZs</t>
  </si>
  <si>
    <t>https://docs.google.com/document/d/14xL-FgR87Xdn5S8WoYx0_em_jRQvOEXqyE9kNUhAwZs/edit?usp=drivesdk</t>
  </si>
  <si>
    <t>Document successfully created; Document successfully merged; Emails Sent: [To: Nikki.Dix@floridadep.gov,Jennifer.Odzinski@dep.state.fl.us,Stephanie.Windham@dep.state.fl.us,Lia.Sansom@dep.state.fl.us; CC: silas.tanner@dep.state.fl.us; Reply To: silas.tanner@dep.state.fl.us]; Run via form trigger as kenneth.rainer@gtmnerr.org; Timestamp: Jun 12 2018 7:06 AM</t>
  </si>
  <si>
    <t>1Ad-FJGyHWoa6R8teeyJx_5DdPsF8CvyTVaG0dnm6hzA</t>
  </si>
  <si>
    <t>https://docs.google.com/document/d/1Ad-FJGyHWoa6R8teeyJx_5DdPsF8CvyTVaG0dnm6hzA/edit?usp=drivesdk</t>
  </si>
  <si>
    <t>Document successfully created; Document successfully merged; Emails Sent: [To: Kenneth.Rainer@floridadep.gov,Jennifer.Odzinski@dep.state.fl.us,Stephanie.Windham@dep.state.fl.us,Lia.Sansom@dep.state.fl.us; CC: Kenneth.Rainer@floridadep.gov; Reply To: Kenneth.Rainer@floridadep.gov]; Run via form trigger as kenneth.rainer@gtmnerr.org; Timestamp: Jun 12 2018 1:06 PM</t>
  </si>
  <si>
    <t>1ZVWr_QqAdt-Iz7q9i3GNK8i0lyZgwCCfyxmlR1hJwkw</t>
  </si>
  <si>
    <t>https://docs.google.com/document/d/1ZVWr_QqAdt-Iz7q9i3GNK8i0lyZgwCCfyxmlR1hJwkw/edit?usp=drivesdk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</si>
  <si>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Jun 13 2018 4:27 PM</t>
  </si>
  <si>
    <t>1segsGRdC7iRishkJwC9X3suCxEE9-PDWq8OEnJz3WW4</t>
  </si>
  <si>
    <t>https://docs.google.com/document/d/1segsGRdC7iRishkJwC9X3suCxEE9-PDWq8OEnJz3WW4/edit?usp=drivesdk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</si>
  <si>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Jun 15 2018 9:26 AM</t>
  </si>
  <si>
    <t>1YErNHz-z5auJhRmMWf7quuIOf99gflm67GG5yE4XHtw</t>
  </si>
  <si>
    <t>https://docs.google.com/document/d/1YErNHz-z5auJhRmMWf7quuIOf99gflm67GG5yE4XHtw/edit?usp=drivesdk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</si>
  <si>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Jun 15 2018 11:11 AM</t>
  </si>
  <si>
    <t>1zx2ToY0GcjujicDXZiUTnvQUpIp0-oiJuQlUByUuEXk</t>
  </si>
  <si>
    <t>https://docs.google.com/document/d/1zx2ToY0GcjujicDXZiUTnvQUpIp0-oiJuQlUByUuEXk/edit?usp=drivesdk</t>
  </si>
  <si>
    <t>Document successfully created; Document successfully merged; Emails Sent: [To: Nikki.Dix@floridadep.gov,Jennifer.Odzinski@dep.state.fl.us,Stephanie.Windham@dep.state.fl.us,Lia.Sansom@dep.state.fl.us; CC: gabriela.canas@dep.state.fl.us; Reply To: gabriela.canas@dep.state.fl.us]; Run via form trigger as kenneth.rainer@gtmnerr.org; Timestamp: Jun 16 2018 9:57 AM</t>
  </si>
  <si>
    <t>1KwWbRZ0rfVkD6cgG4sahSuTzc2waIBHIwhs9aelaYeM</t>
  </si>
  <si>
    <t>https://docs.google.com/document/d/1KwWbRZ0rfVkD6cgG4sahSuTzc2waIBHIwhs9aelaYeM/edit?usp=drivesdk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</si>
  <si>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Jun 18 2018 6:08 AM</t>
  </si>
  <si>
    <t>18sH7tpcvRVPrnvu5INSV_e-yIKj2uGcQozGVLnx_pZU</t>
  </si>
  <si>
    <t>https://docs.google.com/document/d/18sH7tpcvRVPrnvu5INSV_e-yIKj2uGcQozGVLnx_pZU/edit?usp=drivesdk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</si>
  <si>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Jun 19 2018 5:32 AM</t>
  </si>
  <si>
    <t>1v7q-IULNLh2s7jlsl-iuhE7Fi_UIkWYnjOZQaPhKCSs</t>
  </si>
  <si>
    <t>https://docs.google.com/document/d/1v7q-IULNLh2s7jlsl-iuhE7Fi_UIkWYnjOZQaPhKCSs/edit?usp=drivesdk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</si>
  <si>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Jun 21 2018 8:38 AM</t>
  </si>
  <si>
    <t>canceled</t>
  </si>
  <si>
    <t>1L0kzkzO3R_dAJCQe55pzE_QXkWNAsyj-X0rnm0gVaQY</t>
  </si>
  <si>
    <t>https://docs.google.com/document/d/1L0kzkzO3R_dAJCQe55pzE_QXkWNAsyj-X0rnm0gVaQY/edit?usp=drivesdk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</si>
  <si>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Jun 25 2018 9:02 AM</t>
  </si>
  <si>
    <t>1ntrs6YFpK78CyX3JOrufebLGk1XUDopFAGN4tHmjzSY</t>
  </si>
  <si>
    <t>https://docs.google.com/document/d/1ntrs6YFpK78CyX3JOrufebLGk1XUDopFAGN4tHmjzSY/edit?usp=drivesdk</t>
  </si>
  <si>
    <t>Document successfully created; Document successfully merged; Emails Sent: [To: Kenneth.Rainer@floridadep.gov,Jennifer.Odzinski@dep.state.fl.us,Stephanie.Windham@dep.state.fl.us,Lia.Sansom@dep.state.fl.us; CC: Kenneth.Rainer@dep.state.fl.us; Reply To: Kenneth.Rainer@dep.state.fl.us]; Run via form trigger as kenneth.rainer@gtmnerr.org; Timestamp: Jun 25 2018 10:20 AM</t>
  </si>
  <si>
    <t>1FpILXcPLEtzulcfVT6SGTL70ibQT75O0hb2ZfXmGgmI</t>
  </si>
  <si>
    <t>https://docs.google.com/document/d/1FpILXcPLEtzulcfVT6SGTL70ibQT75O0hb2ZfXmGgmI/edit?usp=drivesdk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</si>
  <si>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Jun 27 2018 7:19 AM</t>
  </si>
  <si>
    <t>Nikki.Dix@floridadep.gov</t>
  </si>
  <si>
    <t>1XauK_Lwrv1Qt95jY2ZpwtpyOvOLtQrABuSS55AExW6U</t>
  </si>
  <si>
    <t>https://docs.google.com/document/d/1XauK_Lwrv1Qt95jY2ZpwtpyOvOLtQrABuSS55AExW6U/edit?usp=drivesdk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</si>
  <si>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Jun 27 2018 9:48 AM</t>
  </si>
  <si>
    <t>1jQ1Oq7IYAKkafOHydGGQLYmkCHw1ud0uqub5wzV9okc</t>
  </si>
  <si>
    <t>https://docs.google.com/document/d/1jQ1Oq7IYAKkafOHydGGQLYmkCHw1ud0uqub5wzV9okc/edit?usp=drivesdk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</si>
  <si>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Jun 29 2018 12:59 PM</t>
  </si>
  <si>
    <t>Cancelled</t>
  </si>
  <si>
    <t>1XiMLRnysfffxhmnRhmieWEnwz45lXHcfCtEJfVr3uy4</t>
  </si>
  <si>
    <t>https://docs.google.com/document/d/1XiMLRnysfffxhmnRhmieWEnwz45lXHcfCtEJfVr3uy4/edit?usp=drivesdk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</si>
  <si>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Jul 1 2018 3:27 AM</t>
  </si>
  <si>
    <t>1qsBp188AIvYYa7bWDNtbtdNGEWYhVYQXnzAKQ6cwFU4</t>
  </si>
  <si>
    <t>https://docs.google.com/document/d/1qsBp188AIvYYa7bWDNtbtdNGEWYhVYQXnzAKQ6cwFU4/edit?usp=drivesdk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</si>
  <si>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Jul 2 2018 4:39 AM</t>
  </si>
  <si>
    <t>1StEQUgg0DdG61MF8-4mfq09rrv9NLcT7qfqHE2eQsnQ</t>
  </si>
  <si>
    <t>https://docs.google.com/document/d/1StEQUgg0DdG61MF8-4mfq09rrv9NLcT7qfqHE2eQsnQ/edit?usp=drivesdk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</si>
  <si>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Jul 2 2018 12:49 PM</t>
  </si>
  <si>
    <t>1fdR1XrqTv5cgCvbuRnVbbi9FDd6k8Mk-S0hm8LSStSE</t>
  </si>
  <si>
    <t>https://docs.google.com/document/d/1fdR1XrqTv5cgCvbuRnVbbi9FDd6k8Mk-S0hm8LSStSE/edit?usp=drivesdk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</si>
  <si>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Jul 3 2018 4:44 AM</t>
  </si>
  <si>
    <t>1B6fzv88D5-nJ8bnEEW7BlQPXBFnv4G5EWzrYGS9Jm9w</t>
  </si>
  <si>
    <t>https://docs.google.com/document/d/1B6fzv88D5-nJ8bnEEW7BlQPXBFnv4G5EWzrYGS9Jm9w/edit?usp=drivesdk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</si>
  <si>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Jul 5 2018 5:21 AM</t>
  </si>
  <si>
    <t>1g5f9yPdc6uaO_l9y9K3YLZPe5ak-o0BxRUX5eZ2dmP0</t>
  </si>
  <si>
    <t>https://docs.google.com/document/d/1g5f9yPdc6uaO_l9y9K3YLZPe5ak-o0BxRUX5eZ2dmP0/edit?usp=drivesdk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</si>
  <si>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Jul 5 2018 9:40 AM</t>
  </si>
  <si>
    <t>1FGSJu50WpKVPQMMjfQsJgZFm6YVlPd9AmbZ7l5n8PbY</t>
  </si>
  <si>
    <t>https://docs.google.com/document/d/1FGSJu50WpKVPQMMjfQsJgZFm6YVlPd9AmbZ7l5n8PbY/edit?usp=drivesdk</t>
  </si>
  <si>
    <t>Document successfully created; Document successfully merged; Emails Sent: [To: Nikki.Dix@floridadep.gov,Jennifer.Odzinski@dep.state.fl.us,Stephanie.Windham@dep.state.fl.us,Lia.Sansom@dep.state.fl.us; CC: ben.mowbray@state.dep.fl.us; Reply To: ben.mowbray@state.dep.fl.us]; Run via form trigger as kenneth.rainer@gtmnerr.org; Timestamp: Jul 6 2018 11:32 AM</t>
  </si>
  <si>
    <t>1acVIuNRHP6o9EhpjLyK7BPUBmQo2wAa7dSOlClJFeIA</t>
  </si>
  <si>
    <t>https://docs.google.com/document/d/1acVIuNRHP6o9EhpjLyK7BPUBmQo2wAa7dSOlClJFeIA/edit?usp=drivesdk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</si>
  <si>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Jul 10 2018 9:04 AM</t>
  </si>
  <si>
    <t>1wU-ztvrplHNJ3Wq6k-7vP1L8aMRqh_hvA2p-U5wWUF0</t>
  </si>
  <si>
    <t>https://docs.google.com/document/d/1wU-ztvrplHNJ3Wq6k-7vP1L8aMRqh_hvA2p-U5wWUF0/edit?usp=drivesdk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</si>
  <si>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Jul 10 2018 9:05 AM</t>
  </si>
  <si>
    <t>1cWHC30uCG8clysPvFjcXE45CuDzXqmgLp_YEJ8TY14o</t>
  </si>
  <si>
    <t>https://docs.google.com/document/d/1cWHC30uCG8clysPvFjcXE45CuDzXqmgLp_YEJ8TY14o/edit?usp=drivesdk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</si>
  <si>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Jul 10 2018 7:24 PM</t>
  </si>
  <si>
    <t>15JSaSCbxrJwu6kwkLTnDA9-lYy2XQUHFjS2JiRUKLGM</t>
  </si>
  <si>
    <t>https://docs.google.com/document/d/15JSaSCbxrJwu6kwkLTnDA9-lYy2XQUHFjS2JiRUKLGM/edit?usp=drivesdk</t>
  </si>
  <si>
    <t>Document successfully created; Document successfully merged; Emails Sent: [To: Kenneth.Rainer@floridadep.gov,Jennifer.Odzinski@dep.state.fl.us,Stephanie.Windham@dep.state.fl.us,Lia.Sansom@dep.state.fl.us; CC: Kenneth.Rainer@dep.state.fl.us; Reply To: Kenneth.Rainer@dep.state.fl.us]; Run via form trigger as kenneth.rainer@gtmnerr.org; Timestamp: Jul 11 2018 2:41 PM</t>
  </si>
  <si>
    <t>1Gyx9ROaTKWuy-76rkui4kE2dTnRUDtMTJAqKpXUVmj4</t>
  </si>
  <si>
    <t>https://docs.google.com/document/d/1Gyx9ROaTKWuy-76rkui4kE2dTnRUDtMTJAqKpXUVmj4/edit?usp=drivesdk</t>
  </si>
  <si>
    <t>Document successfully created; Document successfully merged; Emails Sent: [To: Nikki.Dix@floridadep.gov,Jennifer.Odzinski@dep.state.fl.us,Stephanie.Windham@dep.state.fl.us,Lia.Sansom@dep.state.fl.us; CC: Shannon.Dunnigan@dep.state.fl.us; Reply To: Shannon.Dunnigan@dep.state.fl.us]; Run via form trigger as kenneth.rainer@gtmnerr.org; Timestamp: Jul 12 2018 9:05 AM</t>
  </si>
  <si>
    <t>Pamela.Marcum@floridadep.gov</t>
  </si>
  <si>
    <t>1B2B_zzU6VYd5JQ-56maF2bnECN2oN8ZVlQhWEyzl5pg</t>
  </si>
  <si>
    <t>https://docs.google.com/document/d/1B2B_zzU6VYd5JQ-56maF2bnECN2oN8ZVlQhWEyzl5pg/edit?usp=drivesdk</t>
  </si>
  <si>
    <t>Document successfully created; Document successfully merged; Emails Sent: [To: Pamela.Marcum@floridadep.gov,Jennifer.Odzinski@dep.state.fl.us,Stephanie.Windham@dep.state.fl.us,Lia.Sansom@dep.state.fl.us; CC: ben.mowbray@dep.state.fl.us; Reply To: ben.mowbray@dep.state.fl.us]; Run via form trigger as kenneth.rainer@gtmnerr.org; Timestamp: Jul 17 2018 2:30 PM</t>
  </si>
  <si>
    <t>1_Jz1cLc_0eyZ6COebIUYyR_BuSj6Ej0LPmwxx-PUG2s</t>
  </si>
  <si>
    <t>https://docs.google.com/document/d/1_Jz1cLc_0eyZ6COebIUYyR_BuSj6Ej0LPmwxx-PUG2s/edit?usp=drivesdk</t>
  </si>
  <si>
    <t>Document successfully created; Document successfully merged; Emails Sent: [To: Nikki.Dix@floridadep.gov,Jennifer.Odzinski@dep.state.fl.us,Stephanie.Windham@dep.state.fl.us,Lia.Sansom@dep.state.fl.us; CC: ben.mowbray@dep.state.fl.us; Reply To: ben.mowbray@dep.state.fl.us]; Run via form trigger as kenneth.rainer@gtmnerr.org; Timestamp: Jul 19 2018 5:31 AM</t>
  </si>
  <si>
    <t>Shannon.Dunnigan@floridadep.gov</t>
  </si>
  <si>
    <t>1hYRN2pBVHw4Yusqyy9lepzKzhEppwr8z0-qaMhE2DYQ</t>
  </si>
  <si>
    <t>https://docs.google.com/document/d/1hYRN2pBVHw4Yusqyy9lepzKzhEppwr8z0-qaMhE2DYQ/edit?usp=drivesdk</t>
  </si>
  <si>
    <t>Document successfully created; Document successfully merged; !!Error Sending Emails: Invalid email: Shannon.Dunnigan@floridadep.gov",Jennifer.Odzinski@dep.state.fl.us,Stephanie.Windham@dep.state.fl.us,Lia.Sansom@dep.state.fl.us; Run via form trigger as kenneth.rainer@gtmnerr.org; Timestamp: Jul 24 2018 8:12 AM</t>
  </si>
  <si>
    <t>1Yf58Vo3igrV_L3FTGJfaglDeuNiDkG2mScsf6Af2oGg</t>
  </si>
  <si>
    <t>https://docs.google.com/document/d/1Yf58Vo3igrV_L3FTGJfaglDeuNiDkG2mScsf6Af2oGg/edit?usp=drivesdk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</si>
  <si>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Jul 25 2018 10:33 AM</t>
  </si>
  <si>
    <t>1BaYGUmqVMqP7K6yogEN7JA9Puier9G8taRo2F6LjQ64</t>
  </si>
  <si>
    <t>https://docs.google.com/document/d/1BaYGUmqVMqP7K6yogEN7JA9Puier9G8taRo2F6LjQ64/edit?usp=drivesdk</t>
  </si>
  <si>
    <t>Document successfully created; Document successfully merged; Emails Sent: [To: Shannon.Dunnigan@floridadep.gov,Jennifer.Odzinski@dep.state.fl.us,Stephanie.Windham@dep.state.fl.us,Lia.Sansom@dep.state.fl.us; CC: silas.tanner@floridadep.gov; Reply To: silas.tanner@floridadep.gov]; Manually run by kenneth.rainer@gtmnerr.org; Timestamp: Jul 26 2018 9:08 AM</t>
  </si>
  <si>
    <t>1tlC1SwEUPLpFXpij-oCM2rMilZlFExtd_0xZd7qUeZM</t>
  </si>
  <si>
    <t>https://docs.google.com/document/d/1tlC1SwEUPLpFXpij-oCM2rMilZlFExtd_0xZd7qUeZM/edit?usp=drivesdk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</si>
  <si>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Jul 26 2018 9:03 AM</t>
  </si>
  <si>
    <t>NA</t>
  </si>
  <si>
    <t>1cg_61x0Prb1H5bL7SShihaJ8nyb-k-Re1xSmZMw8yHQ</t>
  </si>
  <si>
    <t>https://docs.google.com/document/d/1cg_61x0Prb1H5bL7SShihaJ8nyb-k-Re1xSmZMw8yHQ/edit?usp=drivesdk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</si>
  <si>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Jul 26 2018 11:58 AM</t>
  </si>
  <si>
    <t>1g6-SDWzTDxEaT_6esAFl7Ag0FmdmW2RSeVn4yz_-SWI</t>
  </si>
  <si>
    <t>https://docs.google.com/document/d/1g6-SDWzTDxEaT_6esAFl7Ag0FmdmW2RSeVn4yz_-SWI/edit?usp=drivesdk</t>
  </si>
  <si>
    <t>Document successfully created; Document successfully merged; !!Error Sending Emails: Invalid email: &lt;&lt;Your Email&gt;&gt;; Manually run by kenneth.rainer@gtmnerr.org; Timestamp: Jul 31 2018 3:34 PM</t>
  </si>
  <si>
    <t>1DymsQ1HeGPgIcWUJTZNcP4_6Zo3y4_qnZSDka3MTvQk</t>
  </si>
  <si>
    <t>https://docs.google.com/document/d/1DymsQ1HeGPgIcWUJTZNcP4_6Zo3y4_qnZSDka3MTvQk/edit?usp=drivesdk</t>
  </si>
  <si>
    <t>Document successfully created; Document successfully merged; Emails Sent: [To: Kenneth.Rainer@floridadep.gov,Jennifer.Odzinski@dep.state.fl.us,Stephanie.Windham@dep.state.fl.us,Lia.Sansom@dep.state.fl.us; CC: Kenneth.Rainer@floridadep.gov; Reply To: Kenneth.Rainer@floridadep.gov]; Manually run by kenneth.rainer@gtmnerr.org; Timestamp: Jul 31 2018 3:38 PM</t>
  </si>
  <si>
    <t>1M1nSKDRh8KbBXalT-n5-pUJ-LMgc4RpRlvCNRApVBRo</t>
  </si>
  <si>
    <t>https://docs.google.com/document/d/1M1nSKDRh8KbBXalT-n5-pUJ-LMgc4RpRlvCNRApVBRo/edit?usp=drivesdk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</si>
  <si>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Aug 1 2018 9:36 AM</t>
  </si>
  <si>
    <t>18ANL2EAsbj-9X5mz0tRj4YzFgnSMdKPwDfVJotzLaHQ</t>
  </si>
  <si>
    <t>https://docs.google.com/document/d/18ANL2EAsbj-9X5mz0tRj4YzFgnSMdKPwDfVJotzLaHQ/edit?usp=drivesdk</t>
  </si>
  <si>
    <t>Document successfully created; Document successfully merged; Emails Sent: [To: Pamela.Marcum@floridadep.gov,Jennifer.Odzinski@dep.state.fl.us,Stephanie.Windham@dep.state.fl.us,Lia.Sansom@dep.state.fl.us; CC: ben.mowbray@dep.state.fl.us; Reply To: ben.mowbray@dep.state.fl.us]; Run via form trigger as kenneth.rainer@gtmnerr.org; Timestamp: Aug 2 2018 5:27 AM</t>
  </si>
  <si>
    <t>1_xpbSdAQxiV952g8DEviihzsJ9JvdoIja7XikkzE2jM</t>
  </si>
  <si>
    <t>https://docs.google.com/document/d/1_xpbSdAQxiV952g8DEviihzsJ9JvdoIja7XikkzE2jM/edit?usp=drivesdk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</si>
  <si>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Aug 2 2018 8:35 AM</t>
  </si>
  <si>
    <t>1CEf7cA2GIPp1xy65JDmnWfxQvW39taVTsOsaX1Ue6ho</t>
  </si>
  <si>
    <t>https://docs.google.com/document/d/1CEf7cA2GIPp1xy65JDmnWfxQvW39taVTsOsaX1Ue6ho/edit?usp=drivesdk</t>
  </si>
  <si>
    <t>Document successfully created; Document successfully merged; Emails Sent: [To: Pamela.Marcum@floridadep.gov,Jennifer.Odzinski@dep.state.fl.us,Stephanie.Windham@dep.state.fl.us,Lia.Sansom@dep.state.fl.us; CC: Ben.mowbray@dep.state.fl.us; Reply To: Ben.mowbray@dep.state.fl.us]; Run via form trigger as kenneth.rainer@gtmnerr.org; Timestamp: Aug 2 2018 2:29 PM</t>
  </si>
  <si>
    <t>1_f4X9tN9ILtz5QvdB_rIlrFD1AFhQW601asBRe7AfEg</t>
  </si>
  <si>
    <t>https://docs.google.com/document/d/1_f4X9tN9ILtz5QvdB_rIlrFD1AFhQW601asBRe7AfEg/edit?usp=drivesdk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</si>
  <si>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Aug 3 2018 6:44 AM</t>
  </si>
  <si>
    <t>1gFmRMe2zpH3j4wfW__4Oo9qMajLX3jmZ0kcbMSYh65A</t>
  </si>
  <si>
    <t>https://docs.google.com/document/d/1gFmRMe2zpH3j4wfW__4Oo9qMajLX3jmZ0kcbMSYh65A/edit?usp=drivesdk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</si>
  <si>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Aug 7 2018 5:51 AM</t>
  </si>
  <si>
    <t>1WiDFrx4D7wDtTG7xhG56FExYdRv-4DwwdP-wvUsnRMc</t>
  </si>
  <si>
    <t>https://docs.google.com/document/d/1WiDFrx4D7wDtTG7xhG56FExYdRv-4DwwdP-wvUsnRMc/edit?usp=drivesdk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</si>
  <si>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Aug 7 2018 5:41 PM</t>
  </si>
  <si>
    <t>1c5DkI6jJ5VBQm3EWgcA563cNGIBizGgTtaIKGIJ2dE8</t>
  </si>
  <si>
    <t>https://docs.google.com/document/d/1c5DkI6jJ5VBQm3EWgcA563cNGIBizGgTtaIKGIJ2dE8/edit?usp=drivesdk</t>
  </si>
  <si>
    <t>Document successfully created; Document successfully merged; Emails Sent: [To: Nikki.Dix@floridadep.gov,Jennifer.Odzinski@dep.state.fl.us,Stephanie.Windham@dep.state.fl.us,Lia.Sansom@dep.state.fl.us; CC: Pamela.Marcum@dep.state.fl.us; Reply To: Pamela.Marcum@dep.state.fl.us]; Run via form trigger as kenneth.rainer@gtmnerr.org; Timestamp: Aug 8 2018 8:32 AM</t>
  </si>
  <si>
    <t>17sdCynz09IpAwVH5o8CprezXdWWPeoNhVJw4691Iw8A</t>
  </si>
  <si>
    <t>https://docs.google.com/document/d/17sdCynz09IpAwVH5o8CprezXdWWPeoNhVJw4691Iw8A/edit?usp=drivesdk</t>
  </si>
  <si>
    <t>Document successfully created; Document successfully merged; Emails Sent: [To: Nikki.Dix@floridadep.gov,Jennifer.Odzinski@dep.state.fl.us,Stephanie.Windham@dep.state.fl.us,Lia.Sansom@dep.state.fl.us; CC: Silas.tanner@floridadep.gov; Reply To: Silas.tanner@floridadep.gov]; Run via form trigger as kenneth.rainer@gtmnerr.org; Timestamp: Aug 10 2018 8:30 AM</t>
  </si>
  <si>
    <t>1ewslJEYMYiLWpQVfKwKUIdB5aER5uzJ2SHLwyC5bnho</t>
  </si>
  <si>
    <t>https://docs.google.com/document/d/1ewslJEYMYiLWpQVfKwKUIdB5aER5uzJ2SHLwyC5bnho/edit?usp=drivesdk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</si>
  <si>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Aug 11 2018 12:58 PM</t>
  </si>
  <si>
    <t>1UoUokpEmpx5df0h6r4uANvSRcZZUW8I676NwUPCYPfg</t>
  </si>
  <si>
    <t>https://docs.google.com/document/d/1UoUokpEmpx5df0h6r4uANvSRcZZUW8I676NwUPCYPfg/edit?usp=drivesdk</t>
  </si>
  <si>
    <t>Document successfully created; Document successfully merged; Emails Sent: [To: Kenneth.Rainer@floridadep.gov,Jennifer.Odzinski@dep.state.fl.us,Stephanie.Windham@dep.state.fl.us,Lia.Sansom@dep.state.fl.us; CC: Kenneth.Rainer@dep.state.fl.us; Reply To: Kenneth.Rainer@dep.state.fl.us]; Run via form trigger as kenneth.rainer@gtmnerr.org; Timestamp: Aug 14 2018 10:50 AM</t>
  </si>
  <si>
    <t>1Zr-dHoYFPh8hWNtbTV1mMdu01l2o95lPBKDPC730sdw</t>
  </si>
  <si>
    <t>https://docs.google.com/document/d/1Zr-dHoYFPh8hWNtbTV1mMdu01l2o95lPBKDPC730sdw/edit?usp=drivesdk</t>
  </si>
  <si>
    <t>Document successfully created; Document successfully merged; Emails Sent: [To: Scott.Eastman@floridadep.gov,Jennifer.Odzinski@dep.state.fl.us,Stephanie.Windham@dep.state.fl.us,Lia.Sansom@dep.state.fl.us; CC: James.Tomazinis@floridadep.gov; Reply To: James.Tomazinis@floridadep.gov]; Run via form trigger as kenneth.rainer@gtmnerr.org; Timestamp: Aug 14 2018 11:59 AM</t>
  </si>
  <si>
    <t>1ERbNqlmZ7cO96gpNW3hInnDf7lFEo276aaUSKUXyTaw</t>
  </si>
  <si>
    <t>https://docs.google.com/document/d/1ERbNqlmZ7cO96gpNW3hInnDf7lFEo276aaUSKUXyTaw/edit?usp=drivesdk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</si>
  <si>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Aug 15 2018 10:52 AM</t>
  </si>
  <si>
    <t>1Xqh3FggsY2bltRwZowLuBS6_e56PQHzyI4rVU95A2Zg</t>
  </si>
  <si>
    <t>https://docs.google.com/document/d/1Xqh3FggsY2bltRwZowLuBS6_e56PQHzyI4rVU95A2Zg/edit?usp=drivesdk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</si>
  <si>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Aug 17 2018 11:27 AM</t>
  </si>
  <si>
    <t>1LabdHmssr2wUehcOV54gssrkT8MfwEnxZTasLs1gtgo</t>
  </si>
  <si>
    <t>https://docs.google.com/document/d/1LabdHmssr2wUehcOV54gssrkT8MfwEnxZTasLs1gtgo/edit?usp=drivesdk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</si>
  <si>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Aug 20 2018 8:33 AM</t>
  </si>
  <si>
    <t>1q53uSpEdchRnj-Rtxaj4hDDzRXe32da2SRUUmKfdEYs</t>
  </si>
  <si>
    <t>https://docs.google.com/document/d/1q53uSpEdchRnj-Rtxaj4hDDzRXe32da2SRUUmKfdEYs/edit?usp=drivesdk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</si>
  <si>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Aug 21 2018 8:34 AM</t>
  </si>
  <si>
    <t>1-b6Gewks7v19ieHsXcoC8h0jDEWW_u_gOcnr1iFkHVU</t>
  </si>
  <si>
    <t>https://docs.google.com/document/d/1-b6Gewks7v19ieHsXcoC8h0jDEWW_u_gOcnr1iFkHVU/edit?usp=drivesdk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</si>
  <si>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Aug 21 2018 9:08 AM</t>
  </si>
  <si>
    <t>1FbfrpXrmysodX8qvntPP4u8abx1oSvLdYgvdnAhlqV4</t>
  </si>
  <si>
    <t>https://docs.google.com/document/d/1FbfrpXrmysodX8qvntPP4u8abx1oSvLdYgvdnAhlqV4/edit?usp=drivesdk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</si>
  <si>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Aug 22 2018 9:17 AM</t>
  </si>
  <si>
    <t>1V_UjvbS_4beIAIbGI2rknHAZN_bkiraEkuj6Ua6mwWE</t>
  </si>
  <si>
    <t>https://docs.google.com/document/d/1V_UjvbS_4beIAIbGI2rknHAZN_bkiraEkuj6Ua6mwWE/edit?usp=drivesdk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</si>
  <si>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Aug 22 2018 3:43 PM</t>
  </si>
  <si>
    <t>1FoCPEaVaT4-aS9Qr0r4nW6zlRTuDNZoJ3QoyHDTqm4A</t>
  </si>
  <si>
    <t>https://docs.google.com/document/d/1FoCPEaVaT4-aS9Qr0r4nW6zlRTuDNZoJ3QoyHDTqm4A/edit?usp=drivesdk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</si>
  <si>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Aug 23 2018 9:22 AM</t>
  </si>
  <si>
    <t>1XqXDCS49mMlYjyDJhRRyb2rd--vYYMQZl9cTt1SyJXY</t>
  </si>
  <si>
    <t>https://docs.google.com/document/d/1XqXDCS49mMlYjyDJhRRyb2rd--vYYMQZl9cTt1SyJXY/edit?usp=drivesdk</t>
  </si>
  <si>
    <t>Document successfully created; Document successfully merged; Emails Sent: [To: Nikki.Dix@floridadep.gov,jennifer.odzinski@floridadep.gov,stephanie.windham@floridadep.gov,lia.sansom@floridadep.gov; CC: shannon.dunnigan@dep.state.fl.us; Reply To: shannon.dunnigan@dep.state.fl.us]; Run via form trigger as kenneth.rainer@gtmnerr.org; Timestamp: Aug 23 2018 10:08 PM</t>
  </si>
  <si>
    <t>12qKaqDTA40f8qxQAUU_wtTRdEwjpjOsa3wmJ7Cm-CR0</t>
  </si>
  <si>
    <t>https://docs.google.com/document/d/12qKaqDTA40f8qxQAUU_wtTRdEwjpjOsa3wmJ7Cm-CR0/edit?usp=drivesdk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</si>
  <si>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Aug 28 2018 4:27 PM</t>
  </si>
  <si>
    <t>1n6ckOJjtT5Kbqv-5GwvO7IK8Y_xs2-jWe9dPvarxoEo</t>
  </si>
  <si>
    <t>https://docs.google.com/document/d/1n6ckOJjtT5Kbqv-5GwvO7IK8Y_xs2-jWe9dPvarxoEo/edit?usp=drivesdk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</si>
  <si>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Aug 30 2018 9:45 AM</t>
  </si>
  <si>
    <t>1Lmr6ukcytK5A4BRLAWOczZ0_erfF7eQyrndmyQl55_4</t>
  </si>
  <si>
    <t>https://docs.google.com/document/d/1Lmr6ukcytK5A4BRLAWOczZ0_erfF7eQyrndmyQl55_4/edit?usp=drivesdk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</si>
  <si>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Sep 4 2018 8:17 AM</t>
  </si>
  <si>
    <t>1O7zNwJ7tD7cHfDAv1vY8YMgIs28bfzrPCLqAZVh0D54</t>
  </si>
  <si>
    <t>https://docs.google.com/document/d/1O7zNwJ7tD7cHfDAv1vY8YMgIs28bfzrPCLqAZVh0D54/edit?usp=drivesdk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</si>
  <si>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Sep 4 2018 3:52 PM</t>
  </si>
  <si>
    <t>1kJHcvyhgyIpKw8P9mBqauadO_E-MGaX1yx9HngVDcEU</t>
  </si>
  <si>
    <t>https://docs.google.com/document/d/1kJHcvyhgyIpKw8P9mBqauadO_E-MGaX1yx9HngVDcEU/edit?usp=drivesdk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</si>
  <si>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Sep 5 2018 7:35 AM</t>
  </si>
  <si>
    <t>1hlaZ7sS4mysE6nV8d7dJ53WrBvYx2rjjVBaLtrkEUXE</t>
  </si>
  <si>
    <t>https://docs.google.com/document/d/1hlaZ7sS4mysE6nV8d7dJ53WrBvYx2rjjVBaLtrkEUXE/edit?usp=drivesdk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</si>
  <si>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Sep 5 2018 8:07 AM</t>
  </si>
  <si>
    <t>1uWaH_X62R2Liuv1Udb-7AgjTcZgYdkQkjrG1FW0qql4</t>
  </si>
  <si>
    <t>https://docs.google.com/document/d/1uWaH_X62R2Liuv1Udb-7AgjTcZgYdkQkjrG1FW0qql4/edit?usp=drivesdk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</si>
  <si>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Sep 5 2018 2:37 PM</t>
  </si>
  <si>
    <t>1yedKFixA69V0VtSDY7-I0SVCLPtcIuBrNsPWlFA5t0Q</t>
  </si>
  <si>
    <t>https://docs.google.com/document/d/1yedKFixA69V0VtSDY7-I0SVCLPtcIuBrNsPWlFA5t0Q/edit?usp=drivesdk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</si>
  <si>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Sep 6 2018 8:05 AM</t>
  </si>
  <si>
    <t>17DVNObsevh1PglvOtUWG2_f9xR1DhwO97Kb9C_lXeyg</t>
  </si>
  <si>
    <t>https://docs.google.com/document/d/17DVNObsevh1PglvOtUWG2_f9xR1DhwO97Kb9C_lXeyg/edit?usp=drivesdk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</si>
  <si>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Sep 6 2018 9:07 AM</t>
  </si>
  <si>
    <t>1vK2OVKgBHmbnDyydJiI28-r72XA9d-1diz04IeBEKo4</t>
  </si>
  <si>
    <t>https://docs.google.com/document/d/1vK2OVKgBHmbnDyydJiI28-r72XA9d-1diz04IeBEKo4/edit?usp=drivesdk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</si>
  <si>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Sep 7 2018 8:58 AM</t>
  </si>
  <si>
    <t>1pOCINOcEnSuc-joWQ1QIg6quFm4xBtL_1Iljg7H-ldU</t>
  </si>
  <si>
    <t>https://docs.google.com/document/d/1pOCINOcEnSuc-joWQ1QIg6quFm4xBtL_1Iljg7H-ldU/edit?usp=drivesdk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</si>
  <si>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Sep 7 2018 11:38 AM</t>
  </si>
  <si>
    <t>1horU_i0hM4yRqRXVdDj8o-byRvvnkNKOrgAhhkzyH94</t>
  </si>
  <si>
    <t>https://docs.google.com/document/d/1horU_i0hM4yRqRXVdDj8o-byRvvnkNKOrgAhhkzyH94/edit?usp=drivesdk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</si>
  <si>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Sep 9 2018 10:05 AM</t>
  </si>
  <si>
    <t>1cwuPEokQaH8ROzsr7i8PtwhzKFzoCSG6aC6VvMPnr4c</t>
  </si>
  <si>
    <t>https://docs.google.com/document/d/1cwuPEokQaH8ROzsr7i8PtwhzKFzoCSG6aC6VvMPnr4c/edit?usp=drivesdk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</si>
  <si>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Sep 9 2018 12:51 PM</t>
  </si>
  <si>
    <t>18a8HUQtBa0oDSzts9fdeoJSPbEzLp3lUXgyOK0PBc3I</t>
  </si>
  <si>
    <t>https://docs.google.com/document/d/18a8HUQtBa0oDSzts9fdeoJSPbEzLp3lUXgyOK0PBc3I/edit?usp=drivesdk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</si>
  <si>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Sep 10 2018 11:15 AM</t>
  </si>
  <si>
    <t>1o5u6URG4eEL0bZO7Pcc_tA0H2uas6Y_qmD-HJgPbqg4</t>
  </si>
  <si>
    <t>https://docs.google.com/document/d/1o5u6URG4eEL0bZO7Pcc_tA0H2uas6Y_qmD-HJgPbqg4/edit?usp=drivesdk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</si>
  <si>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Sep 10 2018 1:12 PM</t>
  </si>
  <si>
    <t>13cBA5zcD8QJszQ_sgnLYt3r_hQFmNxCM9ctlDrF2yaI</t>
  </si>
  <si>
    <t>https://docs.google.com/document/d/13cBA5zcD8QJszQ_sgnLYt3r_hQFmNxCM9ctlDrF2yaI/edit?usp=drivesdk</t>
  </si>
  <si>
    <t>Document successfully created; Document successfully merged; Emails Sent: [To: Nikki.Dix@floridadep.gov,jennifer.odzinski@floridadep.gov,stephanie.windham@floridadep.gov,lia.sansom@floridadep.gov; CC: Pamela.Marcum@de.state.fl.us; Reply To: Pamela.Marcum@de.state.fl.us]; Run via form trigger as kenneth.rainer@gtmnerr.org; Timestamp: Sep 11 2018 6:29 AM</t>
  </si>
  <si>
    <t>1LQqlIwHGCF52aRRtJim0ILCgeeS8U4NH2xgD9iHPfTc</t>
  </si>
  <si>
    <t>https://docs.google.com/document/d/1LQqlIwHGCF52aRRtJim0ILCgeeS8U4NH2xgD9iHPfTc/edit?usp=drivesdk</t>
  </si>
  <si>
    <t>Document successfully created; Document successfully merged; Emails Sent: [To: Nikki.Dix@floridadep.gov,jennifer.odzinski@floridadep.gov,stephanie.windham@floridadep.gov,lia.sansom@floridadep.gov; CC: shannon.dunnigan@floridadep.gov; Reply To: shannon.dunnigan@floridadep.gov]; Run via form trigger as kenneth.rainer@gtmnerr.org; Timestamp: Sep 11 2018 11:03 AM</t>
  </si>
  <si>
    <t>19gtAry6vLFmaQvsDWVMoI53O_6Z53p6xfjK01wQTQ_Y</t>
  </si>
  <si>
    <t>https://docs.google.com/document/d/19gtAry6vLFmaQvsDWVMoI53O_6Z53p6xfjK01wQTQ_Y/edit?usp=drivesdk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</si>
  <si>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Sep 11 2018 11:53 AM</t>
  </si>
  <si>
    <t>1cwjqEBUaX4TZ2uiNweLlEFnrIqkIxDij-KCrl3jgdSs</t>
  </si>
  <si>
    <t>https://docs.google.com/document/d/1cwjqEBUaX4TZ2uiNweLlEFnrIqkIxDij-KCrl3jgdSs/edit?usp=drivesdk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</si>
  <si>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Sep 11 2018 12:05 PM</t>
  </si>
  <si>
    <t>1dbUQc-0YRcUCWv4ZLuAiuh-szs2P71qMm4cR0NVclQw</t>
  </si>
  <si>
    <t>https://docs.google.com/document/d/1dbUQc-0YRcUCWv4ZLuAiuh-szs2P71qMm4cR0NVclQw/edit?usp=drivesdk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</si>
  <si>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Sep 12 2018 8:13 AM</t>
  </si>
  <si>
    <t>1vSRqTWP7CmpWxXBMw2pni-Z1VXWQUibiRPAhtbpU00M</t>
  </si>
  <si>
    <t>https://docs.google.com/document/d/1vSRqTWP7CmpWxXBMw2pni-Z1VXWQUibiRPAhtbpU00M/edit?usp=drivesdk</t>
  </si>
  <si>
    <t>Document successfully created; Document successfully merged; Emails Sent: [To: Scott.Eastman@floridadep.gov,jennifer.odzinski@floridadep.gov,stephanie.windham@floridadep.gov,lia.sansom@floridadep.gov; CC: james.tomazinis@dep.state.fl.us; Reply To: james.tomazinis@dep.state.fl.us]; Run via form trigger as kenneth.rainer@gtmnerr.org; Timestamp: Sep 13 2018 4:50 PM</t>
  </si>
  <si>
    <t>1L1Qa-gJZob4LNqDWn65q46mBvDTDwlLwU3zjXy1ncsw</t>
  </si>
  <si>
    <t>https://docs.google.com/document/d/1L1Qa-gJZob4LNqDWn65q46mBvDTDwlLwU3zjXy1ncsw/edit?usp=drivesdk</t>
  </si>
  <si>
    <t>Document successfully created; Document successfully merged; Emails Sent: [To: Nikki.Dix@floridadep.gov,jennifer.odzinski@floridadep.gov,stephanie.windham@floridadep.gov,lia.sansom@floridadep.gov; CC: gabriela.canas@dep.state.fl.us; Reply To: gabriela.canas@dep.state.fl.us]; Run via form trigger as kenneth.rainer@gtmnerr.org; Timestamp: Sep 17 2018 11:57 AM</t>
  </si>
  <si>
    <t>1BEemg3yUgKS4kZmHueWdHy0Eq3TwI6BuvwXCR9oCHpE</t>
  </si>
  <si>
    <t>https://docs.google.com/document/d/1BEemg3yUgKS4kZmHueWdHy0Eq3TwI6BuvwXCR9oCHpE/edit?usp=drivesdk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</si>
  <si>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Sep 19 2018 7:25 AM</t>
  </si>
  <si>
    <t>13L1BLRxELDJtkWSeTmCGPwxwpJo_bGihEn16D1Ndh94</t>
  </si>
  <si>
    <t>https://docs.google.com/document/d/13L1BLRxELDJtkWSeTmCGPwxwpJo_bGihEn16D1Ndh94/edit?usp=drivesdk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</si>
  <si>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Sep 19 2018 9:24 AM</t>
  </si>
  <si>
    <t>1XgPHyLVaetsiT9yAxWjsIn05pUXXzoUT6oXrjFlL0YY</t>
  </si>
  <si>
    <t>https://docs.google.com/document/d/1XgPHyLVaetsiT9yAxWjsIn05pUXXzoUT6oXrjFlL0YY/edit?usp=drivesdk</t>
  </si>
  <si>
    <t>Document successfully created; Document successfully merged; Emails Sent: [To: Nikki.Dix@floridadep.gov,jennifer.odzinski@floridadep.gov,stephanie.windham@floridadep.gov,lia.sansom@floridadep.gov; CC: shannon.dunnigan@floridadep.gov; Reply To: shannon.dunnigan@floridadep.gov]; Run via form trigger as kenneth.rainer@gtmnerr.org; Timestamp: Sep 19 2018 8:36 PM</t>
  </si>
  <si>
    <t>19y2xBdaEYRCaUdOVOFVL8R13UVTXTgDmuMIsfnSUrpc</t>
  </si>
  <si>
    <t>https://docs.google.com/document/d/19y2xBdaEYRCaUdOVOFVL8R13UVTXTgDmuMIsfnSUrpc/edit?usp=drivesdk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</si>
  <si>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Sep 23 2018 5:50 PM</t>
  </si>
  <si>
    <t>1cZCSPnwhRfGhAyk0zgxcNQFgvBFuINflyXPMCG46zK4</t>
  </si>
  <si>
    <t>https://docs.google.com/document/d/1cZCSPnwhRfGhAyk0zgxcNQFgvBFuINflyXPMCG46zK4/edit?usp=drivesdk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</si>
  <si>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Sep 24 2018 3:12 PM</t>
  </si>
  <si>
    <t>10rU4XDlqfzQWaY9r_oxgwKKaIF7s4-1zNcxL46nYc7c</t>
  </si>
  <si>
    <t>https://docs.google.com/document/d/10rU4XDlqfzQWaY9r_oxgwKKaIF7s4-1zNcxL46nYc7c/edit?usp=drivesdk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</si>
  <si>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Sep 24 2018 3:16 PM</t>
  </si>
  <si>
    <t>1KDK2Lyv_0BANy_IEzxkUFIoBnnXj9uvp7TxHIpYvUyk</t>
  </si>
  <si>
    <t>https://docs.google.com/document/d/1KDK2Lyv_0BANy_IEzxkUFIoBnnXj9uvp7TxHIpYvUyk/edit?usp=drivesdk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</si>
  <si>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Sep 25 2018 7:13 AM</t>
  </si>
  <si>
    <t>1YbcgZerdP1LVsxnkBb1fZoOvlgu2Id6KK0LNMU632hw</t>
  </si>
  <si>
    <t>https://docs.google.com/document/d/1YbcgZerdP1LVsxnkBb1fZoOvlgu2Id6KK0LNMU632hw/edit?usp=drivesdk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</si>
  <si>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Sep 26 2018 9:11 AM</t>
  </si>
  <si>
    <t>10B-Y9mtzPJLK-Vl1R2A-xzT2AB0jOcgS4S3pnj8j_Ks</t>
  </si>
  <si>
    <t>https://docs.google.com/document/d/10B-Y9mtzPJLK-Vl1R2A-xzT2AB0jOcgS4S3pnj8j_Ks/edit?usp=drivesdk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</si>
  <si>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Oct 1 2018 7:31 AM</t>
  </si>
  <si>
    <t xml:space="preserve">JBO </t>
  </si>
  <si>
    <t>1JqTnJCbGjhbLNmpNm8MVKYBsWfwqFc2Spby_NHY6YBU</t>
  </si>
  <si>
    <t>https://docs.google.com/document/d/1JqTnJCbGjhbLNmpNm8MVKYBsWfwqFc2Spby_NHY6YBU/edit?usp=drivesdk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</si>
  <si>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Oct 2 2018 5:35 AM</t>
  </si>
  <si>
    <t>1OeQTHLSFGSAT31agDkq7pmB0XfjKbGB3H-0rpdiqzEk</t>
  </si>
  <si>
    <t>https://docs.google.com/document/d/1OeQTHLSFGSAT31agDkq7pmB0XfjKbGB3H-0rpdiqzEk/edit?usp=drivesdk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</si>
  <si>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Oct 2 2018 7:53 AM</t>
  </si>
  <si>
    <t>1h91QH6PngBZUaCNZ-MO08urM96IecrjSB_niSTukIOo</t>
  </si>
  <si>
    <t>https://docs.google.com/document/d/1h91QH6PngBZUaCNZ-MO08urM96IecrjSB_niSTukIOo/edit?usp=drivesdk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</si>
  <si>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Oct 3 2018 6:14 AM</t>
  </si>
  <si>
    <t>1JRlYA77vV_VIb-S6I2VOgzFmlAaoJSMri79y4krYTeg</t>
  </si>
  <si>
    <t>https://docs.google.com/document/d/1JRlYA77vV_VIb-S6I2VOgzFmlAaoJSMri79y4krYTeg/edit?usp=drivesdk</t>
  </si>
  <si>
    <t>Document successfully created; Document successfully merged; Emails Sent: [To: Pamela.Marcum@floridadep.gov,jennifer.odzinski@floridadep.gov,stephanie.windham@floridadep.gov,lia.sansom@floridadep.gov; CC: ben.mowbray@dep.state.fl; Reply To: ben.mowbray@dep.state.fl]; Run via form trigger as kenneth.rainer@gtmnerr.org; Timestamp: Oct 3 2018 7:12 AM</t>
  </si>
  <si>
    <t>1jLef7WH1ZWvUDuCPO5cYBeyKUgeRQ04zAG93ZEtwINk</t>
  </si>
  <si>
    <t>https://docs.google.com/document/d/1jLef7WH1ZWvUDuCPO5cYBeyKUgeRQ04zAG93ZEtwINk/edit?usp=drivesdk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</si>
  <si>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Oct 4 2018 7:06 AM</t>
  </si>
  <si>
    <t>1LuCtXJrW5W_uDwtAy3HfcI7oOa4lD8iG7UzSamPCoDk</t>
  </si>
  <si>
    <t>https://docs.google.com/document/d/1LuCtXJrW5W_uDwtAy3HfcI7oOa4lD8iG7UzSamPCoDk/edit?usp=drivesdk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</si>
  <si>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Oct 4 2018 7:31 AM</t>
  </si>
  <si>
    <t>165OlHMSD7QQspuLihMnA4iOz0DUxDdUqPxfmQ1cBeNs</t>
  </si>
  <si>
    <t>https://docs.google.com/document/d/165OlHMSD7QQspuLihMnA4iOz0DUxDdUqPxfmQ1cBeNs/edit?usp=drivesdk</t>
  </si>
  <si>
    <t>Document successfully created; Document successfully merged; Emails Sent: [To: Nikki.Dix@floridadep.gov,jennifer.odzinski@floridadep.gov,stephanie.windham@floridadep.gov,lia.sansom@floridadep.gov; CC: shannon.dunnigan@floridadep.gov; Reply To: shannon.dunnigan@floridadep.gov]; Run via form trigger as kenneth.rainer@gtmnerr.org; Timestamp: Oct 4 2018 8:07 AM</t>
  </si>
  <si>
    <t>1L1XIyzHuHRQHoWUjLZVh96I0pkX6GW-koS18WeV4S5A</t>
  </si>
  <si>
    <t>https://docs.google.com/document/d/1L1XIyzHuHRQHoWUjLZVh96I0pkX6GW-koS18WeV4S5A/edit?usp=drivesdk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</si>
  <si>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Oct 9 2018 2:28 PM</t>
  </si>
  <si>
    <t>1FPp7Ct0JiV_kWgKtlmLlCmGzPELIhER6zZ_PuQTEZXQ</t>
  </si>
  <si>
    <t>https://docs.google.com/document/d/1FPp7Ct0JiV_kWgKtlmLlCmGzPELIhER6zZ_PuQTEZXQ/edit?usp=drivesdk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</si>
  <si>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Oct 12 2018 10:01 AM</t>
  </si>
  <si>
    <t>1JGMIP5SQ2ZMKd8eDucsvIls3aSK9Tt3z-nF29BgavLw</t>
  </si>
  <si>
    <t>https://docs.google.com/document/d/1JGMIP5SQ2ZMKd8eDucsvIls3aSK9Tt3z-nF29BgavLw/edit?usp=drivesdk</t>
  </si>
  <si>
    <t>Document successfully created; Document successfully merged; Emails Sent: [To: Nikki.Dix@floridadep.gov,jennifer.odzinski@floridadep.gov,stephanie.windham@floridadep.gov,lia.sansom@floridadep.gov; CC: Pamela.Marcum@hotmail.com; Reply To: Pamela.Marcum@hotmail.com]; Run via form trigger as kenneth.rainer@gtmnerr.org; Timestamp: Oct 16 2018 6:48 AM</t>
  </si>
  <si>
    <t>1RDmcLZdwMIRHDuujQWjczrbdq11SFvJ7BvyZZWaLJ_M</t>
  </si>
  <si>
    <t>https://docs.google.com/document/d/1RDmcLZdwMIRHDuujQWjczrbdq11SFvJ7BvyZZWaLJ_M/edit?usp=drivesdk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</si>
  <si>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Oct 18 2018 2:06 PM</t>
  </si>
  <si>
    <t>1vhbaWsznObDXbxBjYZJm-c5mH0w0JZvCBOp-BzfpDKI</t>
  </si>
  <si>
    <t>https://docs.google.com/document/d/1vhbaWsznObDXbxBjYZJm-c5mH0w0JZvCBOp-BzfpDKI/edit?usp=drivesdk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</si>
  <si>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Oct 22 2018 8:00 AM</t>
  </si>
  <si>
    <t>1ZNjLR5XjuWTsIS-2tFfq5tQYsgGh-MACWxn2ZoDEOuU</t>
  </si>
  <si>
    <t>https://docs.google.com/document/d/1ZNjLR5XjuWTsIS-2tFfq5tQYsgGh-MACWxn2ZoDEOuU/edit?usp=drivesdk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</si>
  <si>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Oct 22 2018 1:29 PM</t>
  </si>
  <si>
    <t>1KDW4JIx-TDLtUs2oIxpu-004J3DLKclKRdUK1ysIZ4w</t>
  </si>
  <si>
    <t>https://docs.google.com/document/d/1KDW4JIx-TDLtUs2oIxpu-004J3DLKclKRdUK1ysIZ4w/edit?usp=drivesdk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</si>
  <si>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Oct 29 2018 6:27 AM</t>
  </si>
  <si>
    <t>1Qu9mmZmTv01KNWghm6u4OGUV88UmBjkTWh1ifHFSkZg</t>
  </si>
  <si>
    <t>https://docs.google.com/document/d/1Qu9mmZmTv01KNWghm6u4OGUV88UmBjkTWh1ifHFSkZg/edit?usp=drivesdk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</si>
  <si>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Oct 30 2018 6:23 AM</t>
  </si>
  <si>
    <t>1Piq9pUUSz179ys6kT1N1gc9p86TbMAxgV-Uv5HnwE5E</t>
  </si>
  <si>
    <t>https://docs.google.com/document/d/1Piq9pUUSz179ys6kT1N1gc9p86TbMAxgV-Uv5HnwE5E/edit?usp=drivesdk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</si>
  <si>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Oct 31 2018 6:48 AM</t>
  </si>
  <si>
    <t>1yRmCu21DibXxTmzuabRnKsTEkg4ImN6YDeiFUo9b1mQ</t>
  </si>
  <si>
    <t>https://docs.google.com/document/d/1yRmCu21DibXxTmzuabRnKsTEkg4ImN6YDeiFUo9b1mQ/edit?usp=drivesdk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</si>
  <si>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Oct 31 2018 6:50 AM</t>
  </si>
  <si>
    <t>1RX_gUfr2Cwzo06Md2uxfQ1lOEGgjQtJf8J9lleJZCOQ</t>
  </si>
  <si>
    <t>https://docs.google.com/document/d/1RX_gUfr2Cwzo06Md2uxfQ1lOEGgjQtJf8J9lleJZCOQ/edit?usp=drivesdk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</si>
  <si>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Oct 31 2018 11:41 AM</t>
  </si>
  <si>
    <t>email</t>
  </si>
  <si>
    <t>1s3JiwQ-KWulWysULpBhqbwpxDkxCnkakIu_ciCP-aHE</t>
  </si>
  <si>
    <t>https://docs.google.com/document/d/1s3JiwQ-KWulWysULpBhqbwpxDkxCnkakIu_ciCP-aHE/edit?usp=drivesdk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</si>
  <si>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Nov 1 2018 6:39 AM</t>
  </si>
  <si>
    <t>BE</t>
  </si>
  <si>
    <t>1wHN4Cbsn47rCWCLLPwvhvv0RSpz-ejSy8O1YNICpliM</t>
  </si>
  <si>
    <t>https://docs.google.com/document/d/1wHN4Cbsn47rCWCLLPwvhvv0RSpz-ejSy8O1YNICpliM/edit?usp=drivesdk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</si>
  <si>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Nov 1 2018 7:49 AM</t>
  </si>
  <si>
    <t>SKD</t>
  </si>
  <si>
    <t>1Rrrw9hXvd2dswIm7DTQzp7Bj3bZQddXoz6ZiVQaAymE</t>
  </si>
  <si>
    <t>https://docs.google.com/document/d/1Rrrw9hXvd2dswIm7DTQzp7Bj3bZQddXoz6ZiVQaAymE/edit?usp=drivesdk</t>
  </si>
  <si>
    <t>Document successfully created; Document successfully merged; Emails Sent: [To: Nikki.Dix@floridadep.gov,jennifer.odzinski@floridadep.gov,stephanie.windham@floridadep.gov,lia.sansom@floridadep.gov; CC: Silas.Tanner@dep.state.fl.us; Reply To: Silas.Tanner@dep.state.fl.us]; Run via form trigger as kenneth.rainer@gtmnerr.org; Timestamp: Nov 1 2018 8:20 AM</t>
  </si>
  <si>
    <t>1HISdHTEExN4zHmyd24EnNJE9re7ldowomCTkQ-w64zU</t>
  </si>
  <si>
    <t>https://docs.google.com/document/d/1HISdHTEExN4zHmyd24EnNJE9re7ldowomCTkQ-w64zU/edit?usp=drivesdk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</si>
  <si>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Nov 2 2018 7:51 AM</t>
  </si>
  <si>
    <t>1Gx8Cm5JStNGnczb9BENMG9AfAMxlxOh8pLjeAEIKSJ8</t>
  </si>
  <si>
    <t>https://docs.google.com/document/d/1Gx8Cm5JStNGnczb9BENMG9AfAMxlxOh8pLjeAEIKSJ8/edit?usp=drivesdk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</si>
  <si>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Nov 2 2018 9:10 AM</t>
  </si>
  <si>
    <t>17M5r-E0k9v_FKlTFq_QQgPbH7eVdZ0U53IGJR24U6D0</t>
  </si>
  <si>
    <t>https://docs.google.com/document/d/17M5r-E0k9v_FKlTFq_QQgPbH7eVdZ0U53IGJR24U6D0/edit?usp=drivesdk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</si>
  <si>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Nov 5 2018 7:24 AM</t>
  </si>
  <si>
    <t>1Hfjuh-87HyMgDwCqQ1yxd7fH8nLij__YzoKp6Zt-A88</t>
  </si>
  <si>
    <t>https://docs.google.com/document/d/1Hfjuh-87HyMgDwCqQ1yxd7fH8nLij__YzoKp6Zt-A88/edit?usp=drivesdk</t>
  </si>
  <si>
    <t>Document successfully created; Document successfully merged; Emails Sent: [To: Pamela.Marcum@floridadep.gov,jennifer.odzinski@floridadep.gov,stephanie.windham@floridadep.gov,lia.sansom@floridadep.gov; CC: emma.hanson@dep.state.fl.us; Reply To: emma.hanson@dep.state.fl.us]; Run via form trigger as kenneth.rainer@gtmnerr.org; Timestamp: Nov 5 2018 12:24 PM</t>
  </si>
  <si>
    <t>1OdROVKVnWNppbGnZBe8XQx4EcpL1Z_wheLxqjEAAvaY</t>
  </si>
  <si>
    <t>https://docs.google.com/document/d/1OdROVKVnWNppbGnZBe8XQx4EcpL1Z_wheLxqjEAAvaY/edit?usp=drivesdk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</si>
  <si>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Nov 6 2018 12:26 PM</t>
  </si>
  <si>
    <t>19Pl4hL-nT5KCVnZ4JEMGc1icTwYZpi4m7pzITqh2Uto</t>
  </si>
  <si>
    <t>https://docs.google.com/document/d/19Pl4hL-nT5KCVnZ4JEMGc1icTwYZpi4m7pzITqh2Uto/edit?usp=drivesdk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</si>
  <si>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Nov 7 2018 7:55 AM</t>
  </si>
  <si>
    <t>1i7gzGMRtKsIfqsAqJWP2driUwJ2sHFfr9kkmwR3CAzc</t>
  </si>
  <si>
    <t>https://docs.google.com/document/d/1i7gzGMRtKsIfqsAqJWP2driUwJ2sHFfr9kkmwR3CAzc/edit?usp=drivesdk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</si>
  <si>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Nov 8 2018 5:17 PM</t>
  </si>
  <si>
    <t>1633f9rTaCMPyS4IZy7tFzPfoCMpeoOCM4AqFBr6ZdaU</t>
  </si>
  <si>
    <t>https://docs.google.com/document/d/1633f9rTaCMPyS4IZy7tFzPfoCMpeoOCM4AqFBr6ZdaU/edit?usp=drivesdk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</si>
  <si>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Nov 10 2018 8:12 AM</t>
  </si>
  <si>
    <t>1PL271tW_lqAUNom36USh5xQ5-3Fx9KBM5GmY4JnYfd4</t>
  </si>
  <si>
    <t>https://docs.google.com/document/d/1PL271tW_lqAUNom36USh5xQ5-3Fx9KBM5GmY4JnYfd4/edit?usp=drivesdk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</si>
  <si>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Nov 13 2018 1:24 PM</t>
  </si>
  <si>
    <t>1kbvT1CsqWVSgIaGJKDYhYIm_4ojgiC2OS4qGLdNc4tI</t>
  </si>
  <si>
    <t>https://docs.google.com/document/d/1kbvT1CsqWVSgIaGJKDYhYIm_4ojgiC2OS4qGLdNc4tI/edit?usp=drivesdk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</si>
  <si>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Nov 13 2018 3:08 PM</t>
  </si>
  <si>
    <t>1Ro8NJhnFBHEkHT8r9UkoHcGushyxmf7T7UxF2d3EPTo</t>
  </si>
  <si>
    <t>https://docs.google.com/document/d/1Ro8NJhnFBHEkHT8r9UkoHcGushyxmf7T7UxF2d3EPTo/edit?usp=drivesdk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</si>
  <si>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Nov 15 2018 10:28 AM</t>
  </si>
  <si>
    <t>1oCIbNyJwXRwNMINWHnLOK0AHi7aUYV5hxePSeCyfP2Q</t>
  </si>
  <si>
    <t>https://docs.google.com/document/d/1oCIbNyJwXRwNMINWHnLOK0AHi7aUYV5hxePSeCyfP2Q/edit?usp=drivesdk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</si>
  <si>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Nov 26 2018 2:46 PM</t>
  </si>
  <si>
    <t>1UytU1qoyfwDOxvXCNFzuyxYJSlOMrr0F6BOQspPMTz0</t>
  </si>
  <si>
    <t>https://docs.google.com/document/d/1UytU1qoyfwDOxvXCNFzuyxYJSlOMrr0F6BOQspPMTz0/edit?usp=drivesdk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</si>
  <si>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Nov 27 2018 6:13 PM</t>
  </si>
  <si>
    <t>1WPXaA7dO7Ju4PLovG3d8P_hfoKL3mzHt2dO7NERh5Nc</t>
  </si>
  <si>
    <t>https://docs.google.com/document/d/1WPXaA7dO7Ju4PLovG3d8P_hfoKL3mzHt2dO7NERh5Nc/edit?usp=drivesdk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</si>
  <si>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Nov 29 2018 6:59 AM</t>
  </si>
  <si>
    <t>1-6d6hvJWvO6BYtbO2WWaqb1in49kdbEkIdMZcbPaJuo</t>
  </si>
  <si>
    <t>https://docs.google.com/document/d/1-6d6hvJWvO6BYtbO2WWaqb1in49kdbEkIdMZcbPaJuo/edit?usp=drivesdk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</si>
  <si>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Nov 30 2018 6:54 AM</t>
  </si>
  <si>
    <t>ls</t>
  </si>
  <si>
    <t>1GVAYZH_XWuygN1DJkmLahy2vWDXRXeAZcQd7hsb812o</t>
  </si>
  <si>
    <t>https://docs.google.com/document/d/1GVAYZH_XWuygN1DJkmLahy2vWDXRXeAZcQd7hsb812o/edit?usp=drivesdk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</si>
  <si>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Nov 30 2018 7:07 AM</t>
  </si>
  <si>
    <t>1A8RL1csPx-oiXdee1EdEvumxx2HabklDEO-iwGQ4XE4</t>
  </si>
  <si>
    <t>https://docs.google.com/document/d/1A8RL1csPx-oiXdee1EdEvumxx2HabklDEO-iwGQ4XE4/edit?usp=drivesdk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</si>
  <si>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Dec 4 2018 8:51 AM</t>
  </si>
  <si>
    <t>1oTcfsWZOgZYgI5Fy-XeM-Rzu-vTXU288StIZED4uEX8</t>
  </si>
  <si>
    <t>https://docs.google.com/document/d/1oTcfsWZOgZYgI5Fy-XeM-Rzu-vTXU288StIZED4uEX8/edit?usp=drivesdk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</si>
  <si>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Dec 4 2018 10:17 AM</t>
  </si>
  <si>
    <t>1hauw2vE5xdSX1EdBY3STcNLUeeUqh_H2hN1zo1cocKU</t>
  </si>
  <si>
    <t>https://docs.google.com/document/d/1hauw2vE5xdSX1EdBY3STcNLUeeUqh_H2hN1zo1cocKU/edit?usp=drivesdk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</si>
  <si>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Dec 4 2018 2:43 PM</t>
  </si>
  <si>
    <t>1uWbC2LTTPyzZ9D7G8dbN75G0kC0n3ExQXQUhFHsruTY</t>
  </si>
  <si>
    <t>https://docs.google.com/document/d/1uWbC2LTTPyzZ9D7G8dbN75G0kC0n3ExQXQUhFHsruTY/edit?usp=drivesdk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</si>
  <si>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Dec 5 2018 9:06 AM</t>
  </si>
  <si>
    <t>1MdfvTIYnceoqzhRGfam7t0apLcYPKCV83LbdbuAQAkg</t>
  </si>
  <si>
    <t>https://docs.google.com/document/d/1MdfvTIYnceoqzhRGfam7t0apLcYPKCV83LbdbuAQAkg/edit?usp=drivesdk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</si>
  <si>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Dec 10 2018 8:12 AM</t>
  </si>
  <si>
    <t>1h0R2PZU0rvgtqbs53JDBEKKuDogTM-nMHYHY7C7YB0Q</t>
  </si>
  <si>
    <t>https://docs.google.com/document/d/1h0R2PZU0rvgtqbs53JDBEKKuDogTM-nMHYHY7C7YB0Q/edit?usp=drivesdk</t>
  </si>
  <si>
    <t>Document successfully created; Document successfully merged; Emails Sent: [To: Scott.Eastman@floridadep.gov,jennifer.odzinski@floridadep.gov,stephanie.windham@floridadep.gov,lia.sansom@floridadep.gov; CC: Pamela.Marcum@dep.state.fl.us; Reply To: Pamela.Marcum@dep.state.fl.us]; Run via form trigger as kenneth.rainer@gtmnerr.org; Timestamp: Dec 11 2018 8:23 AM</t>
  </si>
  <si>
    <t>1zstXvM6CwDhboX8ljkxSJeWbw2aJlIOMC9rK3xtsd2U</t>
  </si>
  <si>
    <t>https://docs.google.com/document/d/1zstXvM6CwDhboX8ljkxSJeWbw2aJlIOMC9rK3xtsd2U/edit?usp=drivesdk</t>
  </si>
  <si>
    <t>Document successfully created; Document successfully merged; Emails Sent: [To: Scott.Eastman@floridadep.gov,jennifer.odzinski@floridadep.gov,stephanie.windham@floridadep.gov,lia.sansom@floridadep.gov; CC: Pamela.Marcum@dep.state.fl.us; Reply To: Pamela.Marcum@dep.state.fl.us]; Run via form trigger as kenneth.rainer@gtmnerr.org; Timestamp: Dec 13 2018 8:47 AM</t>
  </si>
  <si>
    <t>1YjoS9sKmNES22k8xi23oxX83WayzKLWesHbnmpWte98</t>
  </si>
  <si>
    <t>https://docs.google.com/document/d/1YjoS9sKmNES22k8xi23oxX83WayzKLWesHbnmpWte98/edit?usp=drivesdk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</si>
  <si>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Dec 17 2018 8:08 AM</t>
  </si>
  <si>
    <t>1YiWcFq3l08V3qBUS4JCJ18wDAAtAadOsJGTbNWJ7y0o</t>
  </si>
  <si>
    <t>https://docs.google.com/document/d/1YiWcFq3l08V3qBUS4JCJ18wDAAtAadOsJGTbNWJ7y0o/edit?usp=drivesdk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</si>
  <si>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Dec 19 2018 6:46 AM</t>
  </si>
  <si>
    <t>1urGKS6Hhgz61wxKnJxIwXPH6FT9q0n0PP04qBW5_huw</t>
  </si>
  <si>
    <t>https://docs.google.com/document/d/1urGKS6Hhgz61wxKnJxIwXPH6FT9q0n0PP04qBW5_huw/edit?usp=drivesdk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</si>
  <si>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kenneth.rainer@gtmnerr.org; Timestamp: Dec 26 2018 9:48 AM</t>
  </si>
  <si>
    <t>1Uul-M4yHrQoQPnrQFZYN9DfqLTVHhiUvwWZpw-wNmWI</t>
  </si>
  <si>
    <t>https://docs.google.com/document/d/1Uul-M4yHrQoQPnrQFZYN9DfqLTVHhiUvwWZpw-wNmWI/edit?usp=drivesdk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</si>
  <si>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Jan 2 2019 9:15 AM</t>
  </si>
  <si>
    <t>11wDe1iSta-uPiSj3aBwpM_PUcVB86619YC5CLL_mQ-I</t>
  </si>
  <si>
    <t>https://docs.google.com/document/d/11wDe1iSta-uPiSj3aBwpM_PUcVB86619YC5CLL_mQ-I/edit?usp=drivesdk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</si>
  <si>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Jan 2 2019 9:38 AM</t>
  </si>
  <si>
    <t>16OYOj5TIsxB7aLpe8-WmMHmeLPl3WJceZcqhaNcR8ug</t>
  </si>
  <si>
    <t>https://docs.google.com/document/d/16OYOj5TIsxB7aLpe8-WmMHmeLPl3WJceZcqhaNcR8ug/edit?usp=drivesdk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</si>
  <si>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Jan 2 2019 6:52 PM</t>
  </si>
  <si>
    <t>16SdYODC-uCZ2zFLn33qfp7Qjty_GYbog-ssGQaMREx8</t>
  </si>
  <si>
    <t>https://docs.google.com/document/d/16SdYODC-uCZ2zFLn33qfp7Qjty_GYbog-ssGQaMREx8/edit?usp=drivesdk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</si>
  <si>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Jan 4 2019 8:16 AM</t>
  </si>
  <si>
    <t>1p7s5sR34YXc9wg1z-_VVivHlRGZkuTUZxMHhBUHtCco</t>
  </si>
  <si>
    <t>https://docs.google.com/document/d/1p7s5sR34YXc9wg1z-_VVivHlRGZkuTUZxMHhBUHtCco/edit?usp=drivesdk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</si>
  <si>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kenneth.rainer@gtmnerr.org; Timestamp: Jan 4 2019 9:57 AM</t>
  </si>
  <si>
    <t>1w5yvrJDRg-YgyWDyeVMe6dpoKT5A2GMePvS1bvcmC00</t>
  </si>
  <si>
    <t>https://docs.google.com/document/d/1w5yvrJDRg-YgyWDyeVMe6dpoKT5A2GMePvS1bvcmC00/edit?usp=drivesdk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</si>
  <si>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Jan 7 2019 3:50 PM</t>
  </si>
  <si>
    <t>1UTMHhAq_kXygMb9yCTHtxEDXQXCiJxKdNDQMS38t11M</t>
  </si>
  <si>
    <t>https://docs.google.com/document/d/1UTMHhAq_kXygMb9yCTHtxEDXQXCiJxKdNDQMS38t11M/edit?usp=drivesdk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</si>
  <si>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Jan 9 2019 8:15 AM</t>
  </si>
  <si>
    <t>1SXZqdzN-q45bqHiSwks60gp_1yChmg6o0A3CtR_bRFY</t>
  </si>
  <si>
    <t>https://docs.google.com/document/d/1SXZqdzN-q45bqHiSwks60gp_1yChmg6o0A3CtR_bRFY/edit?usp=drivesdk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</si>
  <si>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kenneth.rainer@gtmnerr.org; Timestamp: Jan 10 2019 8:41 AM</t>
  </si>
  <si>
    <t>1gVI_jfcOWjzZEQMF4gbfgFQynt0Z5DO6MONlYJj8nUU</t>
  </si>
  <si>
    <t>https://docs.google.com/document/d/1gVI_jfcOWjzZEQMF4gbfgFQynt0Z5DO6MONlYJj8nUU/edit?usp=drivesdk</t>
  </si>
  <si>
    <t>Document successfully created; Document successfully merged; Emails Sent: [To: Nikki.Dix@floridadep.gov,jennifer.odzinski@floridadep.gov,stephanie.windham@floridadep.gov,lia.sansom@floridadep.gov; CC: ben.mowbray@dep.state.fl.us; Reply To: ben.mowbray@dep.state.fl.us]; Run via form trigger as kenneth.rainer@gtmnerr.org; Timestamp: Jan 10 2019 8:44 AM</t>
  </si>
  <si>
    <t>1IaxkgNOqPzkSPHLaQxOsCa-xiQoIeRtfPOqC3I0c1oI</t>
  </si>
  <si>
    <t>https://docs.google.com/document/d/1IaxkgNOqPzkSPHLaQxOsCa-xiQoIeRtfPOqC3I0c1oI/edit?usp=drivesdk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</si>
  <si>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kenneth.rainer@gtmnerr.org; Timestamp: Jan 11 2019 2:05 PM</t>
  </si>
  <si>
    <t>sd</t>
  </si>
  <si>
    <t>17RQ4Ys5vhUgH_js1ld3jCjcGkUV1G8rZmkNP458_zYM</t>
  </si>
  <si>
    <t>https://docs.google.com/document/d/17RQ4Ys5vhUgH_js1ld3jCjcGkUV1G8rZmkNP458_zYM/edit?usp=drivesdk</t>
  </si>
  <si>
    <t>Document successfully created; Document successfully merged; Emails Sent: [To: Shannon.Dunnigan@floridadep.gov,jennifer.odzinski@floridadep.gov,stephanie.windham@floridadep.gov,lia.sansom@floridadep.gov; CC: ben.mowbray@dep.state.fl.us; Reply To: ben.mowbray@dep.state.fl.us]; Run via form trigger as education@gtmnerr.org; Timestamp: Jan 18 2019 12:17 PM</t>
  </si>
  <si>
    <t>1sp3x5m3NjyONG81qm62pZZCQIhwJORfCMNu2kAoMkJc</t>
  </si>
  <si>
    <t>https://docs.google.com/document/d/1sp3x5m3NjyONG81qm62pZZCQIhwJORfCMNu2kAoMkJc/edit?usp=drivesdk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</si>
  <si>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Jan 18 2019 12:18 PM</t>
  </si>
  <si>
    <t>1-LNoiYtth3TFidddGkp-DIB0m_Gtbagw1nKdq4vBdXE</t>
  </si>
  <si>
    <t>https://docs.google.com/document/d/1-LNoiYtth3TFidddGkp-DIB0m_Gtbagw1nKdq4vBdXE/edit?usp=drivesdk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</si>
  <si>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Jan 18 2019 12:19 PM</t>
  </si>
  <si>
    <t>1BlhUooj52_5Yvz462SxTIX6_-Pjdb3OHBRmrvl_Ls6A</t>
  </si>
  <si>
    <t>https://docs.google.com/document/d/1BlhUooj52_5Yvz462SxTIX6_-Pjdb3OHBRmrvl_Ls6A/edit?usp=drivesdk</t>
  </si>
  <si>
    <t>Document successfully created; Document successfully merged; Emails Sent: [To: Nikki.Dix@floridadep.gov,jennifer.odzinski@floridadep.gov,stephanie.windham@floridadep.gov,lia.sansom@floridadep.gov; CC: silas.tanner@dep.state.fl.us; Reply To: silas.tanner@dep.state.fl.us]; Run via form trigger as education@gtmnerr.org; Timestamp: Jan 18 2019 12:20 PM</t>
  </si>
  <si>
    <t>1wCwibueR_wcJviqe1JCJpLlTRhJP87kkXm9YSbcKdXU</t>
  </si>
  <si>
    <t>https://docs.google.com/document/d/1wCwibueR_wcJviqe1JCJpLlTRhJP87kkXm9YSbcKdXU/edit?usp=drivesdk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</si>
  <si>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Jan 18 2019 12:21 PM</t>
  </si>
  <si>
    <t>1ashMolhPpUl0A5fQ5JeXWD9xog1UFTWMtXS3rIJnr9I</t>
  </si>
  <si>
    <t>https://docs.google.com/document/d/1ashMolhPpUl0A5fQ5JeXWD9xog1UFTWMtXS3rIJnr9I/edit?usp=drivesdk</t>
  </si>
  <si>
    <t>Document successfully created; Document successfully merged; Emails Sent: [To: Nikki.Dix@floridadep.gov,jennifer.odzinski@floridadep.gov,stephanie.windham@floridadep.gov,lia.sansom@floridadep.gov; CC: pamela.marcum@dep.state.fl.us; Reply To: pamela.marcum@dep.state.fl.us]; Manually run by education@gtmnerr.org; Timestamp: Jan 18 2019 12:26 PM</t>
  </si>
  <si>
    <t>SD</t>
  </si>
  <si>
    <t>1ySIzZqkUgYZOnUT2s6MMktH4mDF9DGVF0uvVl5xf4BM</t>
  </si>
  <si>
    <t>https://docs.google.com/document/d/1ySIzZqkUgYZOnUT2s6MMktH4mDF9DGVF0uvVl5xf4BM/edit?usp=drivesdk</t>
  </si>
  <si>
    <t>Document successfully created; Document successfully merged; Emails Sent: [To: Shannon.Dunnigan@floridadep.gov,jennifer.odzinski@floridadep.gov,stephanie.windham@floridadep.gov,lia.sansom@floridadep.gov; CC: pamela.marcum@dep.state.fl.us; Reply To: pamela.marcum@dep.state.fl.us]; Manually run by education@gtmnerr.org; Timestamp: Jan 18 2019 12:27 PM</t>
  </si>
  <si>
    <t>1BNVX05cr1434PSG7V5_vi5xdcMP9K4I0Om0n38jVaK0</t>
  </si>
  <si>
    <t>https://docs.google.com/document/d/1BNVX05cr1434PSG7V5_vi5xdcMP9K4I0Om0n38jVaK0/edit?usp=drivesdk</t>
  </si>
  <si>
    <t>Document successfully created; Document successfully merged; Emails Sent: [To: Nikki.Dix@floridadep.gov,jennifer.odzinski@floridadep.gov,stephanie.windham@floridadep.gov,lia.sansom@floridadep.gov; CC: Pamela.Marcum@dep.state.fl.us; Reply To: Pamela.Marcum@dep.state.fl.us]; Manually run by education@gtmnerr.org; Timestamp: Jan 18 2019 12:28 PM</t>
  </si>
  <si>
    <t>1y2UDORHMpvgGxnWKusUow10nn0yr4r-KxQFkrbWVVDg</t>
  </si>
  <si>
    <t>https://docs.google.com/document/d/1y2UDORHMpvgGxnWKusUow10nn0yr4r-KxQFkrbWVVDg/edit?usp=drivesdk</t>
  </si>
  <si>
    <t>Document successfully created; Document successfully merged; Emails Sent: [To: Nikki.Dix@floridadep.gov,jennifer.odzinski@floridadep.gov,stephanie.windham@floridadep.gov,lia.sansom@floridadep.gov; CC: shannon.dunnigan@floridadep.gov; Reply To: shannon.dunnigan@floridadep.gov]; Manually run by education@gtmnerr.org; Timestamp: Jan 18 2019 12:28 PM</t>
  </si>
  <si>
    <t>14yTxW_f-O_a2XG44MuzS7iWl79ZZNjt9kb-KH_PVWqg</t>
  </si>
  <si>
    <t>https://docs.google.com/document/d/14yTxW_f-O_a2XG44MuzS7iWl79ZZNjt9kb-KH_PVWqg/edit?usp=drivesdk</t>
  </si>
  <si>
    <t>Document successfully created; Document successfully merged; Emails Sent: [To: Nikki.Dix@floridadep.gov,jennifer.odzinski@floridadep.gov,stephanie.windham@floridadep.gov,lia.sansom@floridadep.gov; CC: shannon.dunnigan@floridadep.gov; Reply To: shannon.dunnigan@floridadep.gov]; Manually run by education@gtmnerr.org; Timestamp: Jan 18 2019 12:29 PM</t>
  </si>
  <si>
    <t>1Sid9zj_P_dXtirRpSMOa44APDNbBmBxfUhLaW12NacM</t>
  </si>
  <si>
    <t>https://docs.google.com/document/d/1Sid9zj_P_dXtirRpSMOa44APDNbBmBxfUhLaW12NacM/edit?usp=drivesdk</t>
  </si>
  <si>
    <t>Document successfully created; Document successfully merged; Emails Sent: [To: Nikki.Dix@floridadep.gov,jennifer.odzinski@floridadep.gov,stephanie.windham@floridadep.gov,lia.sansom@floridadep.gov; CC: kennethcrainer@gmail.com; Reply To: kennethcrainer@gmail.com]; Manually run by education@gtmnerr.org; Timestamp: Jan 18 2019 12:29 PM</t>
  </si>
  <si>
    <t>1XZEg-gWWPTOj9opQYdpz_9DxyzyU6y5Gp45RZpWYD4Q</t>
  </si>
  <si>
    <t>https://docs.google.com/document/d/1XZEg-gWWPTOj9opQYdpz_9DxyzyU6y5Gp45RZpWYD4Q/edit?usp=drivesdk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</si>
  <si>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Jan 21 2019 3:24 PM</t>
  </si>
  <si>
    <t>14k-y4LM7_8qVmY3d7q2kykDV05hX-vJ64NitEnXnQnc</t>
  </si>
  <si>
    <t>https://docs.google.com/document/d/14k-y4LM7_8qVmY3d7q2kykDV05hX-vJ64NitEnXnQnc/edit?usp=drivesdk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</si>
  <si>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Jan 22 2019 7:57 AM</t>
  </si>
  <si>
    <t>1VxyoSgDSUY1xZ5RK1eus2n0CN5AUTnIlYoMgzyp0JHQ</t>
  </si>
  <si>
    <t>https://docs.google.com/document/d/1VxyoSgDSUY1xZ5RK1eus2n0CN5AUTnIlYoMgzyp0JHQ/edit?usp=drivesdk</t>
  </si>
  <si>
    <t>Document successfully created; Document successfully merged; Emails Sent: [To: Scott.Eastman@floridadep.gov,jennifer.odzinski@floridadep.gov,stephanie.windham@floridadep.gov,lia.sansom@floridadep.gov; CC: james.tomazinis@dep.state.fl.us; Reply To: james.tomazinis@dep.state.fl.us]; Run via form trigger as education@gtmnerr.org; Timestamp: Jan 23 2019 8:41 AM</t>
  </si>
  <si>
    <t>Lia.Sansom@floridadep.gov</t>
  </si>
  <si>
    <t>1ySdWIilTOg-yyMQjktbgZWwdRIY5MumEp3vG29GzdsE</t>
  </si>
  <si>
    <t>https://docs.google.com/document/d/1ySdWIilTOg-yyMQjktbgZWwdRIY5MumEp3vG29GzdsE/edit?usp=drivesdk</t>
  </si>
  <si>
    <t>Document successfully created; Document successfully merged; Emails Sent: [To: Lia.Sansom@floridadep.gov,jennifer.odzinski@floridadep.gov,stephanie.windham@floridadep.gov,lia.sansom@floridadep.gov; CC: pamela.marcum@dep.state.fl.us; Reply To: pamela.marcum@dep.state.fl.us]; Run via form trigger as education@gtmnerr.org; Timestamp: Jan 24 2019 9:59 AM</t>
  </si>
  <si>
    <t>1CUCpLehHRWB0zqBa_QILwFpQoJRVitx2XHWrEXyFSLw</t>
  </si>
  <si>
    <t>https://docs.google.com/document/d/1CUCpLehHRWB0zqBa_QILwFpQoJRVitx2XHWrEXyFSLw/edit?usp=drivesdk</t>
  </si>
  <si>
    <t>Document successfully created; Document successfully merged; Emails Sent: [To: Shannon.Dunnigan@floridadep.gov,jennifer.odzinski@floridadep.gov,stephanie.windham@floridadep.gov,lia.sansom@floridadep.gov; CC: ben.mowbray@dep.state.fl.us; Reply To: ben.mowbray@dep.state.fl.us]; Run via form trigger as education@gtmnerr.org; Timestamp: Jan 31 2019 7:02 AM</t>
  </si>
  <si>
    <t>1GOBsFESX6f9qZ6TPdcc-u6UgUVmptfCcKPpgKqBe1ww</t>
  </si>
  <si>
    <t>https://docs.google.com/document/d/1GOBsFESX6f9qZ6TPdcc-u6UgUVmptfCcKPpgKqBe1ww/edit?usp=drivesdk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</si>
  <si>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Jan 31 2019 8:13 AM</t>
  </si>
  <si>
    <t>1cLJrO_7vYjsC5Las3DO7HiNkHwUoPLtkT1XEBLKwk2I</t>
  </si>
  <si>
    <t>https://docs.google.com/document/d/1cLJrO_7vYjsC5Las3DO7HiNkHwUoPLtkT1XEBLKwk2I/edit?usp=drivesdk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</si>
  <si>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Feb 4 2019 7:57 AM</t>
  </si>
  <si>
    <t>1fSs9eCOq3hWlcEUsnZCYxYLdt3MBFViSiMNmwpFrbqo</t>
  </si>
  <si>
    <t>https://docs.google.com/document/d/1fSs9eCOq3hWlcEUsnZCYxYLdt3MBFViSiMNmwpFrbqo/edit?usp=drivesdk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</si>
  <si>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Feb 5 2019 7:48 AM</t>
  </si>
  <si>
    <t>14VlWjsETlFQ2d5qk_szZ5WONt_dxnNxiUZBzsMiNW10</t>
  </si>
  <si>
    <t>https://docs.google.com/document/d/14VlWjsETlFQ2d5qk_szZ5WONt_dxnNxiUZBzsMiNW10/edit?usp=drivesdk</t>
  </si>
  <si>
    <t>Document successfully created; Document successfully merged; Emails Sent: [To: Pamela.Marcum@floridadep.gov,jennifer.odzinski@floridadep.gov,stephanie.windham@floridadep.gov,lia.sansom@floridadep.gov; CC: silas.tanner@floridadep.gov; Reply To: silas.tanner@floridadep.gov]; Run via form trigger as education@gtmnerr.org; Timestamp: Feb 11 2019 9:13 AM</t>
  </si>
  <si>
    <t>1Vt0pUicYELfU8R8zAnYq1oBkEo08TQq0YR1IqW-z6do</t>
  </si>
  <si>
    <t>https://docs.google.com/document/d/1Vt0pUicYELfU8R8zAnYq1oBkEo08TQq0YR1IqW-z6do/edit?usp=drivesdk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</si>
  <si>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Feb 11 2019 12:04 PM</t>
  </si>
  <si>
    <t>1R42heGi2q08QFfpu_TBe529dTzIeq4zdK5DrHcNnHbY</t>
  </si>
  <si>
    <t>https://docs.google.com/document/d/1R42heGi2q08QFfpu_TBe529dTzIeq4zdK5DrHcNnHbY/edit?usp=drivesdk</t>
  </si>
  <si>
    <t>Document successfully created; Document successfully merged; Emails Sent: [To: Nikki.Dix@floridadep.gov,jennifer.odzinski@floridadep.gov,stephanie.windham@floridadep.gov,lia.sansom@floridadep.gov; CC: Pamela.Marcum@floridadep.gov; Reply To: Pamela.Marcum@floridadep.gov]; Run via form trigger as education@gtmnerr.org; Timestamp: Feb 11 2019 2:59 PM</t>
  </si>
  <si>
    <t>1itUqLCg4quoRnKKQPLsV-rj3IX1_eBmEhbjlCHZeqlc</t>
  </si>
  <si>
    <t>https://docs.google.com/document/d/1itUqLCg4quoRnKKQPLsV-rj3IX1_eBmEhbjlCHZeqlc/edit?usp=drivesdk</t>
  </si>
  <si>
    <t>Document successfully created; Document successfully merged; Emails Sent: [To: Pamela.Marcum@floridadep.gov,jennifer.odzinski@floridadep.gov,stephanie.windham@floridadep.gov,lia.sansom@floridadep.gov; CC: ben.mowbray@dep.state.fl.us; Reply To: ben.mowbray@dep.state.fl.us]; Run via form trigger as education@gtmnerr.org; Timestamp: Feb 12 2019 7:20 AM</t>
  </si>
  <si>
    <t>1bAeE-YdJ3DaWyl_d93o31dCFP2fpmOBW8VVlRCpTtr8</t>
  </si>
  <si>
    <t>https://docs.google.com/document/d/1bAeE-YdJ3DaWyl_d93o31dCFP2fpmOBW8VVlRCpTtr8/edit?usp=drivesdk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</si>
  <si>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Feb 13 2019 8:49 AM</t>
  </si>
  <si>
    <t>1f2_RdO7f651I6OZS4bfi5p2XdGlREoePCDX_MNDvHz0</t>
  </si>
  <si>
    <t>https://docs.google.com/document/d/1f2_RdO7f651I6OZS4bfi5p2XdGlREoePCDX_MNDvHz0/edit?usp=drivesdk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</si>
  <si>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Feb 14 2019 8:52 AM</t>
  </si>
  <si>
    <t>1vjgkI4Lfj1nbvK_7qvSxeRdAub1lhBKrshH59fnzSM4</t>
  </si>
  <si>
    <t>https://docs.google.com/document/d/1vjgkI4Lfj1nbvK_7qvSxeRdAub1lhBKrshH59fnzSM4/edit?usp=drivesdk</t>
  </si>
  <si>
    <t>Document successfully created; Document successfully merged; Emails Sent: [To: Shannon.Dunnigan@floridadep.gov,jennifer.odzinski@floridadep.gov,stephanie.windham@floridadep.gov,lia.sansom@floridadep.gov; CC: silas.tanner@floridadep.gov; Reply To: silas.tanner@floridadep.gov]; Run via form trigger as education@gtmnerr.org; Timestamp: Feb 15 2019 10:19 AM</t>
  </si>
  <si>
    <t>1Yt2HD3iejFIbR5_nzxBX4oSXL467Y0dEFPeCK--9RKY</t>
  </si>
  <si>
    <t>https://docs.google.com/document/d/1Yt2HD3iejFIbR5_nzxBX4oSXL467Y0dEFPeCK--9RKY/edit?usp=drivesdk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</si>
  <si>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Feb 18 2019 10:16 AM</t>
  </si>
  <si>
    <t>1eml75LLBrnwv1nCwBu_-OJNxHvJ3ubC1U_W3NBu9nRM</t>
  </si>
  <si>
    <t>https://docs.google.com/document/d/1eml75LLBrnwv1nCwBu_-OJNxHvJ3ubC1U_W3NBu9nRM/edit?usp=drivesdk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</si>
  <si>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Feb 20 2019 9:38 AM</t>
  </si>
  <si>
    <t>1vmmHbbEKOlfRp-_iKH2vKvCl0CVCLNAqtyyG8zrDGGo</t>
  </si>
  <si>
    <t>https://docs.google.com/document/d/1vmmHbbEKOlfRp-_iKH2vKvCl0CVCLNAqtyyG8zrDGGo/edit?usp=drivesdk</t>
  </si>
  <si>
    <t>Document successfully created; Document successfully merged; Emails Sent: [To: Nikki.Dix@floridadep.gov,jennifer.odzinski@floridadep.gov,stephanie.windham@floridadep.gov,lia.sansom@floridadep.gov; CC: pamela.marcum@floridadep.gov; Reply To: pamela.marcum@floridadep.gov]; Run via form trigger as education@gtmnerr.org; Timestamp: Feb 20 2019 12:56 PM</t>
  </si>
  <si>
    <t>JBO/SFE</t>
  </si>
  <si>
    <t>14pAUYwsaSmzX3501xXPXCLv9Bc9CBsp_aTg69Fj2q_c</t>
  </si>
  <si>
    <t>https://docs.google.com/document/d/14pAUYwsaSmzX3501xXPXCLv9Bc9CBsp_aTg69Fj2q_c/edit?usp=drivesdk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</si>
  <si>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Feb 20 2019 1:52 PM</t>
  </si>
  <si>
    <t>1Wg9Zp0UHwlUm4go4IGLILI0V5u0WvC2wzcoeNBDzINg</t>
  </si>
  <si>
    <t>https://docs.google.com/document/d/1Wg9Zp0UHwlUm4go4IGLILI0V5u0WvC2wzcoeNBDzINg/edit?usp=drivesdk</t>
  </si>
  <si>
    <t>Document successfully created; Document successfully merged; Emails Sent: [To: Nikki.Dix@floridadep.gov,jennifer.odzinski@floridadep.gov,stephanie.windham@floridadep.gov,lia.sansom@floridadep.gov; CC: Pamela.Marcum@floridadep.gov; Reply To: Pamela.Marcum@floridadep.gov]; Run via form trigger as education@gtmnerr.org; Timestamp: Feb 22 2019 12:30 PM</t>
  </si>
  <si>
    <t>1sDmDyYMJ_Z6YauBF7BJ7lbIu9r7ZI3aH4vnfTBeQ-Is</t>
  </si>
  <si>
    <t>https://docs.google.com/document/d/1sDmDyYMJ_Z6YauBF7BJ7lbIu9r7ZI3aH4vnfTBeQ-Is/edit?usp=drivesdk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</si>
  <si>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Feb 27 2019 7:13 AM</t>
  </si>
  <si>
    <t>1MF4XTFcMuFaeeAGZvcZGTrRDTufu4yqULGm4wOzvNHk</t>
  </si>
  <si>
    <t>https://docs.google.com/document/d/1MF4XTFcMuFaeeAGZvcZGTrRDTufu4yqULGm4wOzvNHk/edit?usp=drivesdk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</si>
  <si>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Feb 27 2019 3:58 PM</t>
  </si>
  <si>
    <t>1SSjQWnl-mwCpqOXHeWdGBalJD7IGHDPVfgJa0kDIzdE</t>
  </si>
  <si>
    <t>https://docs.google.com/document/d/1SSjQWnl-mwCpqOXHeWdGBalJD7IGHDPVfgJa0kDIzdE/edit?usp=drivesdk</t>
  </si>
  <si>
    <t>Document successfully created; Document successfully merged; Emails Sent: [To: Nikki.Dix@floridadep.gov,jennifer.odzinski@floridadep.gov,stephanie.windham@floridadep.gov,lia.sansom@floridadep.gov; CC: Pamela.Marcum@floridadep.gov; Reply To: Pamela.Marcum@floridadep.gov]; Run via form trigger as education@gtmnerr.org; Timestamp: Feb 28 2019 8:40 AM</t>
  </si>
  <si>
    <t>13swHtX7gKJbnmI4FTAIM1Ytz2fAZaljKFxQgPpMXl7w</t>
  </si>
  <si>
    <t>https://docs.google.com/document/d/13swHtX7gKJbnmI4FTAIM1Ytz2fAZaljKFxQgPpMXl7w/edit?usp=drivesdk</t>
  </si>
  <si>
    <t>Document successfully created; Document successfully merged; Emails Sent: [To: Nikki.Dix@floridadep.gov,jennifer.odzinski@floridadep.gov,stephanie.windham@floridadep.gov,lia.sansom@floridadep.gov; CC: Pamela.Marcum@floridadep.gov; Reply To: Pamela.Marcum@floridadep.gov]; Run via form trigger as education@gtmnerr.org; Timestamp: Mar 1 2019 8:27 AM</t>
  </si>
  <si>
    <t>1iJsN9moJpH-rG7n8WmHd_EvVphFOsQgH3l5bndDInzo</t>
  </si>
  <si>
    <t>https://docs.google.com/document/d/1iJsN9moJpH-rG7n8WmHd_EvVphFOsQgH3l5bndDInzo/edit?usp=drivesdk</t>
  </si>
  <si>
    <t>Document successfully created; Document successfully merged; Emails Sent: [To: Nikki.Dix@floridadep.gov,jennifer.odzinski@floridadep.gov,stephanie.windham@floridadep.gov,lia.sansom@floridadep.gov; CC: Pamela.Marcum@floridadep.gov; Reply To: Pamela.Marcum@floridadep.gov]; Run via form trigger as education@gtmnerr.org; Timestamp: Mar 1 2019 2:26 PM</t>
  </si>
  <si>
    <t>1THJY9npUUObsa_EIxEJih_JhyMtxohl0xQnwoTdyRVE</t>
  </si>
  <si>
    <t>https://docs.google.com/document/d/1THJY9npUUObsa_EIxEJih_JhyMtxohl0xQnwoTdyRVE/edit?usp=drivesdk</t>
  </si>
  <si>
    <t>Document successfully created; Document successfully merged; Emails Sent: [To: Scott.Eastman@floridadep.gov,jennifer.odzinski@floridadep.gov,stephanie.windham@floridadep.gov,lia.sansom@floridadep.gov; CC: james.tomazinis@dep.state.fl.us; Reply To: james.tomazinis@dep.state.fl.us]; Run via form trigger as education@gtmnerr.org; Timestamp: Mar 4 2019 7:46 AM</t>
  </si>
  <si>
    <t>1TJtSa6lbULLrc9i4aU81PsSx6hsWL8HJ2uszk5W7kv8</t>
  </si>
  <si>
    <t>https://docs.google.com/document/d/1TJtSa6lbULLrc9i4aU81PsSx6hsWL8HJ2uszk5W7kv8/edit?usp=drivesdk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</si>
  <si>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Mar 4 2019 3:50 PM</t>
  </si>
  <si>
    <t>16vjClCoqC7m3akVttcJyh9s3Hbn-CzZ-MyVW-Lji67g</t>
  </si>
  <si>
    <t>https://docs.google.com/document/d/16vjClCoqC7m3akVttcJyh9s3Hbn-CzZ-MyVW-Lji67g/edit?usp=drivesdk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</si>
  <si>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Mar 11 2019 10:36 AM</t>
  </si>
  <si>
    <t>1odhTpTLuy9rmKb4m7VExrlFUjNvK50mcGTUs0hW18L8</t>
  </si>
  <si>
    <t>https://docs.google.com/document/d/1odhTpTLuy9rmKb4m7VExrlFUjNvK50mcGTUs0hW18L8/edit?usp=drivesdk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</si>
  <si>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Mar 12 2019 5:07 PM</t>
  </si>
  <si>
    <t>1CE7RpdJaTh2JD6fLOPYtoqWGdMGQ2c8KX9dL8l5pYSk</t>
  </si>
  <si>
    <t>https://docs.google.com/document/d/1CE7RpdJaTh2JD6fLOPYtoqWGdMGQ2c8KX9dL8l5pYSk/edit?usp=drivesdk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</si>
  <si>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Mar 13 2019 5:49 PM</t>
  </si>
  <si>
    <t>1jnJsXS29HDOhrHeQq8n7gliU6CgrEEMc5ofm0gMZrKk</t>
  </si>
  <si>
    <t>https://docs.google.com/document/d/1jnJsXS29HDOhrHeQq8n7gliU6CgrEEMc5ofm0gMZrKk/edit?usp=drivesdk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</si>
  <si>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Mar 15 2019 7:57 AM</t>
  </si>
  <si>
    <t>1VtQ18zcO7flR4xUlRI4xlQwk7HLbxifr5GREZNqxXeE</t>
  </si>
  <si>
    <t>https://docs.google.com/document/d/1VtQ18zcO7flR4xUlRI4xlQwk7HLbxifr5GREZNqxXeE/edit?usp=drivesdk</t>
  </si>
  <si>
    <t>Document successfully created; Document successfully merged; Emails Sent: [To: Shannon.Dunnigan@floridadep.gov,jennifer.odzinski@floridadep.gov,stephanie.windham@floridadep.gov,lia.sansom@floridadep.gov; CC: silas.tanner@floridadep.gov; Reply To: silas.tanner@floridadep.gov]; Run via form trigger as education@gtmnerr.org; Timestamp: Mar 19 2019 7:25 AM</t>
  </si>
  <si>
    <t>1L1BhSBkasbBc33FaIlGEUy1QJoKlaM_Jtc_EQeyB6rE</t>
  </si>
  <si>
    <t>https://docs.google.com/document/d/1L1BhSBkasbBc33FaIlGEUy1QJoKlaM_Jtc_EQeyB6rE/edit?usp=drivesdk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</si>
  <si>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Mar 29 2019 9:01 AM</t>
  </si>
  <si>
    <t>1Dzim86Y4YGT_YVul2rHTGacthfweWnqj2ROmmM8TFk0</t>
  </si>
  <si>
    <t>https://docs.google.com/document/d/1Dzim86Y4YGT_YVul2rHTGacthfweWnqj2ROmmM8TFk0/edit?usp=drivesdk</t>
  </si>
  <si>
    <t>Document successfully created; Document successfully merged; Emails Sent: [To: Nikki.Dix@floridadep.gov,jennifer.odzinski@floridadep.gov,stephanie.windham@floridadep.gov,lia.sansom@floridadep.gov; CC: Pamela.Marcum@floridadep.gov; Reply To: Pamela.Marcum@floridadep.gov]; Run via form trigger as education@gtmnerr.org; Timestamp: Mar 31 2019 10:18 AM</t>
  </si>
  <si>
    <t>1mBCEfKk4M0GnmEfttHkg7DYLU8NC9VAAZ_0zCFxBuws</t>
  </si>
  <si>
    <t>https://docs.google.com/document/d/1mBCEfKk4M0GnmEfttHkg7DYLU8NC9VAAZ_0zCFxBuws/edit?usp=drivesdk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</si>
  <si>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Apr 1 2019 9:52 AM</t>
  </si>
  <si>
    <t>1hBWPvOMDWDX1__sfEInbaoUfl4W3yrdgE2duMe0b6N8</t>
  </si>
  <si>
    <t>https://docs.google.com/document/d/1hBWPvOMDWDX1__sfEInbaoUfl4W3yrdgE2duMe0b6N8/edit?usp=drivesdk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</si>
  <si>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Apr 1 2019 5:56 PM</t>
  </si>
  <si>
    <t>1dGjXr-f0fBAgpju4CycNigpwZYO7y6akkSw-DyY80Hg</t>
  </si>
  <si>
    <t>https://docs.google.com/document/d/1dGjXr-f0fBAgpju4CycNigpwZYO7y6akkSw-DyY80Hg/edit?usp=drivesdk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</si>
  <si>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Apr 3 2019 7:19 AM</t>
  </si>
  <si>
    <t>1zpiiQnRk_ny2eghst2yO43NK7mtn9wSbSuVWKqfFa1w</t>
  </si>
  <si>
    <t>https://docs.google.com/document/d/1zpiiQnRk_ny2eghst2yO43NK7mtn9wSbSuVWKqfFa1w/edit?usp=drivesdk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</si>
  <si>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Apr 8 2019 6:39 AM</t>
  </si>
  <si>
    <t xml:space="preserve">Cancelled </t>
  </si>
  <si>
    <t>1AfS58goBppKK1dhcQ15scXNHmkmINsEIlKN629Yv3FA</t>
  </si>
  <si>
    <t>https://docs.google.com/document/d/1AfS58goBppKK1dhcQ15scXNHmkmINsEIlKN629Yv3FA/edit?usp=drivesdk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</si>
  <si>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Apr 8 2019 4:18 PM</t>
  </si>
  <si>
    <t>1I5BcUrGICWQ1wd-pOkEzau0SJ4sOIRHp-C2jzuUxtbg</t>
  </si>
  <si>
    <t>https://docs.google.com/document/d/1I5BcUrGICWQ1wd-pOkEzau0SJ4sOIRHp-C2jzuUxtbg/edit?usp=drivesdk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</si>
  <si>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Apr 9 2019 8:44 AM</t>
  </si>
  <si>
    <t>1Sn9bVL2GIklcZRZgPcVrs4YIzFCqYYDAXCMJVl9B1R0</t>
  </si>
  <si>
    <t>https://docs.google.com/document/d/1Sn9bVL2GIklcZRZgPcVrs4YIzFCqYYDAXCMJVl9B1R0/edit?usp=drivesdk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</si>
  <si>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Apr 9 2019 4:02 PM</t>
  </si>
  <si>
    <t>1hzl70eQJdCH-lpArjQbSGfHA1SGjOSraKKhyqg58B68</t>
  </si>
  <si>
    <t>https://docs.google.com/document/d/1hzl70eQJdCH-lpArjQbSGfHA1SGjOSraKKhyqg58B68/edit?usp=drivesdk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</si>
  <si>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Apr 10 2019 7:21 AM</t>
  </si>
  <si>
    <t>1uCFtG0-wU4D5kQQg_2QZmZQcdgRoCiQDn3rZkEBvv04</t>
  </si>
  <si>
    <t>https://docs.google.com/document/d/1uCFtG0-wU4D5kQQg_2QZmZQcdgRoCiQDn3rZkEBvv04/edit?usp=drivesdk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</si>
  <si>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Apr 10 2019 5:18 PM</t>
  </si>
  <si>
    <t>1vdwGK0Z5I5-j4ULO9LCgVjXiYeUTqd_O3ikT0-SRIwA</t>
  </si>
  <si>
    <t>https://docs.google.com/document/d/1vdwGK0Z5I5-j4ULO9LCgVjXiYeUTqd_O3ikT0-SRIwA/edit?usp=drivesdk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</si>
  <si>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Apr 10 2019 5:31 PM</t>
  </si>
  <si>
    <t>1ukzotZXuW2ove_jHqRm504KzOsplPkmvul8G0QbKoMY</t>
  </si>
  <si>
    <t>https://docs.google.com/document/d/1ukzotZXuW2ove_jHqRm504KzOsplPkmvul8G0QbKoMY/edit?usp=drivesdk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</si>
  <si>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Apr 11 2019 7:13 AM</t>
  </si>
  <si>
    <t>1oHYrfxnlmihGFpWtZ-1v641ONBZilcpq2UIDfKsPFDs</t>
  </si>
  <si>
    <t>https://docs.google.com/document/d/1oHYrfxnlmihGFpWtZ-1v641ONBZilcpq2UIDfKsPFDs/edit?usp=drivesdk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</si>
  <si>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Apr 11 2019 7:35 AM</t>
  </si>
  <si>
    <t>1j4CjBxVsEV7eiXaAaDkQ54i3LKlo5QbAlHvFo8FQYLI</t>
  </si>
  <si>
    <t>https://docs.google.com/document/d/1j4CjBxVsEV7eiXaAaDkQ54i3LKlo5QbAlHvFo8FQYLI/edit?usp=drivesdk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</si>
  <si>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Apr 12 2019 6:48 AM</t>
  </si>
  <si>
    <t>1TyLRb51S5K0bKOXgD50rIy_6EfG9cLwNzFQtV53qkSg</t>
  </si>
  <si>
    <t>https://docs.google.com/document/d/1TyLRb51S5K0bKOXgD50rIy_6EfG9cLwNzFQtV53qkSg/edit?usp=drivesdk</t>
  </si>
  <si>
    <t>Document successfully created; Document successfully merged; Emails Sent: [To: Pamela.Marcum@floridadep.gov,jennifer.odzinski@floridadep.gov,stephanie.windham@floridadep.gov,lia.sansom@floridadep.gov; CC: silas.tanner@floridadep.gov; Reply To: silas.tanner@floridadep.gov]; Run via form trigger as education@gtmnerr.org; Timestamp: Apr 15 2019 8:01 AM</t>
  </si>
  <si>
    <t>1Jwwqnazwww9YKvWyHVkc7djKCR6FkjdvBevqEEgTxgc</t>
  </si>
  <si>
    <t>https://docs.google.com/document/d/1Jwwqnazwww9YKvWyHVkc7djKCR6FkjdvBevqEEgTxgc/edit?usp=drivesdk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</si>
  <si>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Apr 17 2019 2:33 PM</t>
  </si>
  <si>
    <t>1u7s5sF6N4c08VUpD9QaNfb9XH2JWFuYc9n9uv0nmrXs</t>
  </si>
  <si>
    <t>https://docs.google.com/document/d/1u7s5sF6N4c08VUpD9QaNfb9XH2JWFuYc9n9uv0nmrXs/edit?usp=drivesdk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</si>
  <si>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Apr 26 2019 1:11 PM</t>
  </si>
  <si>
    <t>1yVYWUcznor89rZKLN7JNHkOJi-hKAXwvKPawozANPrs</t>
  </si>
  <si>
    <t>https://docs.google.com/document/d/1yVYWUcznor89rZKLN7JNHkOJi-hKAXwvKPawozANPrs/edit?usp=drivesdk</t>
  </si>
  <si>
    <t>Document successfully created; Document successfully merged; Emails Sent: [To: Nikki.Dix@floridadep.gov,jennifer.odzinski@floridadep.gov,stephanie.windham@floridadep.gov,lia.sansom@floridadep.gov]; Run via form trigger as education@gtmnerr.org; Timestamp: Apr 30 2019 8:57 AM</t>
  </si>
  <si>
    <t>1eXlcmMIv9zUf7k-HL1ZFahKVKf9u1qFeaJAyflX6R20</t>
  </si>
  <si>
    <t>https://docs.google.com/document/d/1eXlcmMIv9zUf7k-HL1ZFahKVKf9u1qFeaJAyflX6R20/edit?usp=drivesdk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</si>
  <si>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1 2019 8:49 AM</t>
  </si>
  <si>
    <t>1Si4U5YmHvfX7oP5-r6Jt3hFsP-8Kn9NMVMWY0BZp7kU</t>
  </si>
  <si>
    <t>https://docs.google.com/document/d/1Si4U5YmHvfX7oP5-r6Jt3hFsP-8Kn9NMVMWY0BZp7kU/edit?usp=drivesdk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</si>
  <si>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May 1 2019 4:18 PM</t>
  </si>
  <si>
    <t>1Q9ML7tL-eCbAh36Z_OcvQHcpvugY7Asf2P4_F6COnTE</t>
  </si>
  <si>
    <t>https://docs.google.com/document/d/1Q9ML7tL-eCbAh36Z_OcvQHcpvugY7Asf2P4_F6COnTE/edit?usp=drivesdk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</si>
  <si>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2 2019 9:35 AM</t>
  </si>
  <si>
    <t>1T405mthEps_AdPOWw3Iy-nbrUnZ7A60jSwUoncMXVKg</t>
  </si>
  <si>
    <t>https://docs.google.com/document/d/1T405mthEps_AdPOWw3Iy-nbrUnZ7A60jSwUoncMXVKg/edit?usp=drivesdk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</si>
  <si>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6 2019 2:21 PM</t>
  </si>
  <si>
    <t>1g4e1jL6_o4Bnaqlw071EP28KdZfsft1fTcxM7y5K3hY</t>
  </si>
  <si>
    <t>https://docs.google.com/document/d/1g4e1jL6_o4Bnaqlw071EP28KdZfsft1fTcxM7y5K3hY/edit?usp=drivesdk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</si>
  <si>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7 2019 6:18 AM</t>
  </si>
  <si>
    <t>1vkQaUeNfFpD_o02fHgg_xTiGVFe9jSGR2yTxiIOVFIE</t>
  </si>
  <si>
    <t>https://docs.google.com/document/d/1vkQaUeNfFpD_o02fHgg_xTiGVFe9jSGR2yTxiIOVFIE/edit?usp=drivesdk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</si>
  <si>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May 7 2019 7:56 AM</t>
  </si>
  <si>
    <t>1gYNhicIovTf1c9Zf3C3aODQwJQQizjlNU7MM4uM7Cq8</t>
  </si>
  <si>
    <t>https://docs.google.com/document/d/1gYNhicIovTf1c9Zf3C3aODQwJQQizjlNU7MM4uM7Cq8/edit?usp=drivesdk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</si>
  <si>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7 2019 2:40 PM</t>
  </si>
  <si>
    <t>1zlJ_Fo8-K64oCgIGfP5Aj5buqM1dyZx_BJk8QFySHVc</t>
  </si>
  <si>
    <t>https://docs.google.com/document/d/1zlJ_Fo8-K64oCgIGfP5Aj5buqM1dyZx_BJk8QFySHVc/edit?usp=drivesdk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</si>
  <si>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8 2019 6:07 AM</t>
  </si>
  <si>
    <t>190TNo4ZUiEWHJnPN5QI9eTlWaIaeW3i_-JNB6ri0AA4</t>
  </si>
  <si>
    <t>https://docs.google.com/document/d/190TNo4ZUiEWHJnPN5QI9eTlWaIaeW3i_-JNB6ri0AA4/edit?usp=drivesdk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</si>
  <si>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9 2019 6:24 AM</t>
  </si>
  <si>
    <t>1_V2iYWUNuyPpcY9McAiWWBOBaQ-9nnGnLE3AXu3Ways</t>
  </si>
  <si>
    <t>https://docs.google.com/document/d/1_V2iYWUNuyPpcY9McAiWWBOBaQ-9nnGnLE3AXu3Ways/edit?usp=drivesdk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</si>
  <si>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10 2019 6:22 AM</t>
  </si>
  <si>
    <t>1LBsjMCrOKskybnaVJZ8DrnF0haojvF7rUr38aeeaaBQ</t>
  </si>
  <si>
    <t>https://docs.google.com/document/d/1LBsjMCrOKskybnaVJZ8DrnF0haojvF7rUr38aeeaaBQ/edit?usp=drivesdk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</si>
  <si>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May 14 2019 8:14 AM</t>
  </si>
  <si>
    <t>1UEl-2dca8hhWbxoBq3pZJzZcixkeZmJLnspPZQ9oT-Q</t>
  </si>
  <si>
    <t>https://docs.google.com/document/d/1UEl-2dca8hhWbxoBq3pZJzZcixkeZmJLnspPZQ9oT-Q/edit?usp=drivesdk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</si>
  <si>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14 2019 10:17 AM</t>
  </si>
  <si>
    <t>SE</t>
  </si>
  <si>
    <t>1tRygHe_g-Mb2L8SiXS2htKn66bxuHvsx3mLZX6RrvRw</t>
  </si>
  <si>
    <t>https://docs.google.com/document/d/1tRygHe_g-Mb2L8SiXS2htKn66bxuHvsx3mLZX6RrvRw/edit?usp=drivesdk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</si>
  <si>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May 15 2019 8:36 AM</t>
  </si>
  <si>
    <t>1pqnHvRBe93jYVA63NlfI2hkZWWO8LEXrZ0jP21_TsIw</t>
  </si>
  <si>
    <t>https://docs.google.com/document/d/1pqnHvRBe93jYVA63NlfI2hkZWWO8LEXrZ0jP21_TsIw/edit?usp=drivesdk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</si>
  <si>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May 15 2019 11:58 AM</t>
  </si>
  <si>
    <t>1hNWRIRHrwQ2y_KjvuP6GF3lI-qpLwHP1zU8ba6Th2A8</t>
  </si>
  <si>
    <t>https://docs.google.com/document/d/1hNWRIRHrwQ2y_KjvuP6GF3lI-qpLwHP1zU8ba6Th2A8/edit?usp=drivesdk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</si>
  <si>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May 15 2019 5:29 PM</t>
  </si>
  <si>
    <t>1jQmJ2nmws9NbG4unV8L7tknjhGikOp5Wp60WoX0r9SU</t>
  </si>
  <si>
    <t>https://docs.google.com/document/d/1jQmJ2nmws9NbG4unV8L7tknjhGikOp5Wp60WoX0r9SU/edit?usp=drivesdk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</si>
  <si>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16 2019 1:09 PM</t>
  </si>
  <si>
    <t>1nwRxq9QzMWOE6F4rVgHmRuocKZ9SkDOahsobebfl3uQ</t>
  </si>
  <si>
    <t>https://docs.google.com/document/d/1nwRxq9QzMWOE6F4rVgHmRuocKZ9SkDOahsobebfl3uQ/edit?usp=drivesdk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</si>
  <si>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17 2019 2:08 PM</t>
  </si>
  <si>
    <t>1QBSxmJEW8haI9t5gOvOxhfJQdjnU8UExtzvNGSdRJeU</t>
  </si>
  <si>
    <t>https://docs.google.com/document/d/1QBSxmJEW8haI9t5gOvOxhfJQdjnU8UExtzvNGSdRJeU/edit?usp=drivesdk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</si>
  <si>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May 17 2019 4:55 PM</t>
  </si>
  <si>
    <t>1QxaRdHvDAJbUR2d5Aif51DAoEGlkAzlCnhkf3ioW5X8</t>
  </si>
  <si>
    <t>https://docs.google.com/document/d/1QxaRdHvDAJbUR2d5Aif51DAoEGlkAzlCnhkf3ioW5X8/edit?usp=drivesdk</t>
  </si>
  <si>
    <t>Document successfully created; Document successfully merged; Emails Sent: [To: Nikki.Dix@floridadep.gov,jennifer.odzinski@floridadep.gov,stephanie.windham@floridadep.gov,lia.sansom@floridadep.gov; CC: silas.tanner@dep.state.fl; Reply To: silas.tanner@dep.state.fl]; Run via form trigger as education@gtmnerr.org; Timestamp: May 20 2019 7:51 AM</t>
  </si>
  <si>
    <t>10yd_QWoX4-uGTi1hSALQIVk7-NQdFiPnAMvkiRZydsQ</t>
  </si>
  <si>
    <t>https://docs.google.com/document/d/10yd_QWoX4-uGTi1hSALQIVk7-NQdFiPnAMvkiRZydsQ/edit?usp=drivesdk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</si>
  <si>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May 20 2019 8:41 AM</t>
  </si>
  <si>
    <t>1oALdN25ww9lJ48fXJMH1m20lIQx2AKySaSRbjgF26Cc</t>
  </si>
  <si>
    <t>https://docs.google.com/document/d/1oALdN25ww9lJ48fXJMH1m20lIQx2AKySaSRbjgF26Cc/edit?usp=drivesdk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</si>
  <si>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21 2019 8:16 AM</t>
  </si>
  <si>
    <t>1TGJKwqK7tl-baAbH_IHsAK1BxN4w_NGJpCrIFFEFTWI</t>
  </si>
  <si>
    <t>https://docs.google.com/document/d/1TGJKwqK7tl-baAbH_IHsAK1BxN4w_NGJpCrIFFEFTWI/edit?usp=drivesdk</t>
  </si>
  <si>
    <t>Document successfully created; Document successfully merged; Emails Sent: [To: Nikki.Dix@floridadep.gov,jennifer.odzinski@floridadep.gov,stephanie.windham@floridadep.gov,lia.sansom@floridadep.gov; CC: Gabby.Canas@dep.state.fl.us; Reply To: Gabby.Canas@dep.state.fl.us]; Run via form trigger as education@gtmnerr.org; Timestamp: May 21 2019 8:21 AM</t>
  </si>
  <si>
    <t>1AE-X1g5JwYwKIewk8HKwamVWj8F3gqOdlwE6ACEbgo8</t>
  </si>
  <si>
    <t>https://docs.google.com/document/d/1AE-X1g5JwYwKIewk8HKwamVWj8F3gqOdlwE6ACEbgo8/edit?usp=drivesdk</t>
  </si>
  <si>
    <t>Document successfully created; Document successfully merged; Emails Sent: [To: Nikki.Dix@floridadep.gov,jennifer.odzinski@floridadep.gov,stephanie.windham@floridadep.gov,lia.sansom@floridadep.gov; CC: gabriela.canas@dep.state.fl.us; Reply To: gabriela.canas@dep.state.fl.us]; Run via form trigger as education@gtmnerr.org; Timestamp: May 23 2019 7:13 AM</t>
  </si>
  <si>
    <t>1dCEu2hsgN4CNpOXcvJv99aq_Gid7YoqeBDIpSpkQ4nU</t>
  </si>
  <si>
    <t>https://docs.google.com/document/d/1dCEu2hsgN4CNpOXcvJv99aq_Gid7YoqeBDIpSpkQ4nU/edit?usp=drivesdk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</si>
  <si>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May 30 2019 4:44 PM</t>
  </si>
  <si>
    <t>1Nk9n5eyGbsbIoXNmGFa0tJ56gRlGDnbkMU66Pzi_7zQ</t>
  </si>
  <si>
    <t>https://docs.google.com/document/d/1Nk9n5eyGbsbIoXNmGFa0tJ56gRlGDnbkMU66Pzi_7zQ/edit?usp=drivesdk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</si>
  <si>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31 2019 9:04 AM</t>
  </si>
  <si>
    <t>1pj9crTN-CZHYzkL4JhT9dLlzLTPl3Fqv8RKEmTo6R1g</t>
  </si>
  <si>
    <t>https://docs.google.com/document/d/1pj9crTN-CZHYzkL4JhT9dLlzLTPl3Fqv8RKEmTo6R1g/edit?usp=drivesdk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</si>
  <si>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May 31 2019 9:06 AM</t>
  </si>
  <si>
    <t>14h26rC8fooKg2LUPrRqgDafgqZqTt7bXcBEoYTV6AwQ</t>
  </si>
  <si>
    <t>https://docs.google.com/document/d/14h26rC8fooKg2LUPrRqgDafgqZqTt7bXcBEoYTV6AwQ/edit?usp=drivesdk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</si>
  <si>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Jun 3 2019 9:05 AM</t>
  </si>
  <si>
    <t>1vYPfTu_pYzTS1kX81IUb2Yn5ePGYoFRClmcO458xK2w</t>
  </si>
  <si>
    <t>https://docs.google.com/document/d/1vYPfTu_pYzTS1kX81IUb2Yn5ePGYoFRClmcO458xK2w/edit?usp=drivesdk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</si>
  <si>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Jun 4 2019 8:59 AM</t>
  </si>
  <si>
    <t>1qA0BXQylOFUw2Hvi7IhmXc7q1Hw-adob7CuuwLH6Z1g</t>
  </si>
  <si>
    <t>https://docs.google.com/document/d/1qA0BXQylOFUw2Hvi7IhmXc7q1Hw-adob7CuuwLH6Z1g/edit?usp=drivesdk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</si>
  <si>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Jun 5 2019 2:30 PM</t>
  </si>
  <si>
    <t>15x4EVSZ10MXuaxM4ij4M29WzWjxQAM3oj70GOLrnxF0</t>
  </si>
  <si>
    <t>https://docs.google.com/document/d/15x4EVSZ10MXuaxM4ij4M29WzWjxQAM3oj70GOLrnxF0/edit?usp=drivesdk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</si>
  <si>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Jun 10 2019 6:42 AM</t>
  </si>
  <si>
    <t>1EYWgKjtFQfT6Aj2PtcKOQtTPMo2fy52Im86yup5t7eA</t>
  </si>
  <si>
    <t>https://docs.google.com/document/d/1EYWgKjtFQfT6Aj2PtcKOQtTPMo2fy52Im86yup5t7eA/edit?usp=drivesdk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</si>
  <si>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Jun 11 2019 6:48 AM</t>
  </si>
  <si>
    <t>1nBWzBiDSsyiR3ju6LhrlU1ZVjn_PV5JBs4--S8E4a3Q</t>
  </si>
  <si>
    <t>https://docs.google.com/document/d/1nBWzBiDSsyiR3ju6LhrlU1ZVjn_PV5JBs4--S8E4a3Q/edit?usp=drivesdk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</si>
  <si>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Jun 12 2019 8:28 AM</t>
  </si>
  <si>
    <t>164X_Qm-57KZWpDwSlzujouQd4VaB5hOiv035HofNRW4</t>
  </si>
  <si>
    <t>https://docs.google.com/document/d/164X_Qm-57KZWpDwSlzujouQd4VaB5hOiv035HofNRW4/edit?usp=drivesdk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</si>
  <si>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Jun 13 2019 9:59 AM</t>
  </si>
  <si>
    <t>1vh9SYwexF7o-MJsnwZb4b3TupfyrNa39KjhqGok5m9c</t>
  </si>
  <si>
    <t>https://docs.google.com/document/d/1vh9SYwexF7o-MJsnwZb4b3TupfyrNa39KjhqGok5m9c/edit?usp=drivesdk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</si>
  <si>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Jun 14 2019 8:37 AM</t>
  </si>
  <si>
    <t>1qfUcmR9cqqC24YrVwYMSNWmDE13w6gaXtQiKLuEI16A</t>
  </si>
  <si>
    <t>https://docs.google.com/document/d/1qfUcmR9cqqC24YrVwYMSNWmDE13w6gaXtQiKLuEI16A/edit?usp=drivesdk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</si>
  <si>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Jun 17 2019 5:30 PM</t>
  </si>
  <si>
    <t>1YLWiNhI8NozGXmYo5gZ2IVUl2kOr9Ek5uLEd8Mb9Y4s</t>
  </si>
  <si>
    <t>https://docs.google.com/document/d/1YLWiNhI8NozGXmYo5gZ2IVUl2kOr9Ek5uLEd8Mb9Y4s/edit?usp=drivesdk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</si>
  <si>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Jun 18 2019 8:48 AM</t>
  </si>
  <si>
    <t>1VJnXPJs-V6D3x8ovy_Zxak_KhMiACK6sxW9bc_Tpvk4</t>
  </si>
  <si>
    <t>https://docs.google.com/document/d/1VJnXPJs-V6D3x8ovy_Zxak_KhMiACK6sxW9bc_Tpvk4/edit?usp=drivesdk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</si>
  <si>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Jun 18 2019 4:26 PM</t>
  </si>
  <si>
    <t>1LBlWKL2pKmxOCG6VVr5KzjV_Qs6EWYJnMRPZXBuCHyY</t>
  </si>
  <si>
    <t>https://docs.google.com/document/d/1LBlWKL2pKmxOCG6VVr5KzjV_Qs6EWYJnMRPZXBuCHyY/edit?usp=drivesdk</t>
  </si>
  <si>
    <t>Document successfully created; Document successfully merged; Emails Sent: [To: Scott.Eastman@floridadep.gov,jennifer.odzinski@floridadep.gov,stephanie.windham@floridadep.gov,lia.sansom@floridadep.gov; CC: james.tomazinis@floridadep.gov; Reply To: james.tomazinis@floridadep.gov]; Run via form trigger as education@gtmnerr.org; Timestamp: Jun 19 2019 5:34 PM</t>
  </si>
  <si>
    <t>1oFfq4LU7d1zTf_pe0yQ81_jHV2i5KQRSdELtjM6PJvU</t>
  </si>
  <si>
    <t>https://docs.google.com/document/d/1oFfq4LU7d1zTf_pe0yQ81_jHV2i5KQRSdELtjM6PJvU/edit?usp=drivesdk</t>
  </si>
  <si>
    <t>Document successfully created; Document successfully merged; Emails Sent: [To: Nikki.Dix@floridadep.gov,jennifer.odzinski@floridadep.gov,stephanie.windham@floridadep.gov,lia.sansom@floridadep.gov; CC: silas.tanner@floridadep.gov; Reply To: silas.tanner@floridadep.gov]; Run via form trigger as education@gtmnerr.org; Timestamp: Jun 26 2019 8:31 AM</t>
  </si>
  <si>
    <t>1KgtsJJKzhgVyGWsX20RlzbAQfyhax9XMYyQYU7_jT3Q</t>
  </si>
  <si>
    <t>https://docs.google.com/document/d/1KgtsJJKzhgVyGWsX20RlzbAQfyhax9XMYyQYU7_jT3Q/edit?usp=drivesdk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</si>
  <si>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Jun 28 2019 9:31 AM</t>
  </si>
  <si>
    <t>1d2XWI0EjkYtmDxCVNlEHb93pARhb9WKgiaWv_9QPQ1I</t>
  </si>
  <si>
    <t>https://docs.google.com/document/d/1d2XWI0EjkYtmDxCVNlEHb93pARhb9WKgiaWv_9QPQ1I/edit?usp=drivesdk</t>
  </si>
  <si>
    <t>Document successfully created; Document successfully merged; Emails Sent: [To: Nikki.Dix@floridadep.gov,jennifer.odzinski@floridadep.gov,stephanie.windham@floridadep.gov,lia.sansom@floridadep.gov; CC: Pamela.Marcum@dep.state.fl.us; Reply To: Pamela.Marcum@dep.state.fl.us]; Run via form trigger as education@gtmnerr.org; Timestamp: Jul 1 2019 12:22 PM</t>
  </si>
  <si>
    <t>1O2axMQA5xDTQpskdWm80p09JuUPVL5tfWcrGdGzBO5k</t>
  </si>
  <si>
    <t>https://docs.google.com/document/d/1O2axMQA5xDTQpskdWm80p09JuUPVL5tfWcrGdGzBO5k/edit?usp=drivesdk</t>
  </si>
  <si>
    <t>Document successfully created; Document successfully merged; Emails Sent: [To: Shannon.Dunnigan@floridadep.gov,jennifer.odzinski@floridadep.gov,stephanie.windham@floridadep.gov,lia.sansom@floridadep.gov; CC: silas.tanner@floridadep.gov; Reply To: silas.tanner@floridadep.gov]; Run via form trigger as education@gtmnerr.org; Timestamp: Jul 1 2019 3:59 PM</t>
  </si>
  <si>
    <t>1Lj3Corcrdfv8NhADDnB5MnFLc80Lp1cbT2jtyOaAzZg</t>
  </si>
  <si>
    <t>https://docs.google.com/document/d/1Lj3Corcrdfv8NhADDnB5MnFLc80Lp1cbT2jtyOaAzZg/edit?usp=drivesdk</t>
  </si>
  <si>
    <t>Document successfully created; Document successfully merged; Emails Sent: [To: Pamela.Marcum@floridadep.gov,jennifer.odzinski@floridadep.gov,stephanie.windham@floridadep.gov,lia.sansom@floridadep.gov; CC: Rubeall57@gmail.com; Reply To: Rubeall57@gmail.com]; Run via form trigger as education@gtmnerr.org; Timestamp: Jul 2 2019 4:25 PM</t>
  </si>
  <si>
    <t>1qXtK3oH7DmcQDkV7PcKHYbDz7zDrjKI0qG6ostGLO4o</t>
  </si>
  <si>
    <t>https://docs.google.com/document/d/1qXtK3oH7DmcQDkV7PcKHYbDz7zDrjKI0qG6ostGLO4o/edit?usp=drivesdk</t>
  </si>
  <si>
    <t>Document successfully created; Document successfully merged; Emails Sent: [To: Kenneth.Rainer@floridadep.gov,blythe.odzinski@floridadep.gov,stephanie.windham@floridadep.gov,lia.sansom@floridadep.gov; CC: josephine.spearman@FloridaDEP.org; Reply To: josephine.spearman@FloridaDEP.org]; Run via form trigger as education@gtmnerr.org; Timestamp: Jul 3 2019 2:19 PM</t>
  </si>
  <si>
    <t>1Obn3valZ5ZFWEdYba74PwGZ9qtkhWraIPZUu6aHGrnU</t>
  </si>
  <si>
    <t>https://docs.google.com/document/d/1Obn3valZ5ZFWEdYba74PwGZ9qtkhWraIPZUu6aHGrnU/edit?usp=drivesdk</t>
  </si>
  <si>
    <t>Document successfully created; Document successfully merged; Emails Sent: [To: Nikki.Dix@floridadep.gov,blythe.odzinski@floridadep.gov,stephanie.windham@floridadep.gov,lia.sansom@floridadep.gov; CC: silas.tanner@dep.state.fl; Reply To: silas.tanner@dep.state.fl]; Run via form trigger as education@gtmnerr.org; Timestamp: Jul 8 2019 6:50 AM</t>
  </si>
  <si>
    <t>1uTQ3cRptrbH2rU6bifYJQOp03goG-mR9xEJElr8rAvw</t>
  </si>
  <si>
    <t>https://docs.google.com/document/d/1uTQ3cRptrbH2rU6bifYJQOp03goG-mR9xEJElr8rAvw/edit?usp=drivesdk</t>
  </si>
  <si>
    <t>Document successfully created; Document successfully merged; Emails Sent: [To: Nikki.Dix@floridadep.gov,blythe.odzinski@floridadep.gov,stephanie.windham@floridadep.gov,lia.sansom@floridadep.gov; CC: silas.tanner@dep.state.fl; Reply To: silas.tanner@dep.state.fl]; Run via form trigger as education@gtmnerr.org; Timestamp: Jul 9 2019 11:04 AM</t>
  </si>
  <si>
    <t>1aBGvsEHCirIyyRknTERtRhpAFTNHS0JnXUlFaT1v4cE</t>
  </si>
  <si>
    <t>https://docs.google.com/document/d/1aBGvsEHCirIyyRknTERtRhpAFTNHS0JnXUlFaT1v4cE/edit?usp=drivesdk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</si>
  <si>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Jul 11 2019 8:19 AM</t>
  </si>
  <si>
    <t>1i930KaeCQlWUDAixF0akElGqD6KN0UM1R3AMA3CzBgU</t>
  </si>
  <si>
    <t>https://docs.google.com/document/d/1i930KaeCQlWUDAixF0akElGqD6KN0UM1R3AMA3CzBgU/edit?usp=drivesdk</t>
  </si>
  <si>
    <t>Document successfully created; Document successfully merged; Emails Sent: [To: Nikki.Dix@floridadep.gov,blythe.odzinski@floridadep.gov,stephanie.windham@floridadep.gov,lia.sansom@floridadep.gov; CC: Pamela.Marcum@dep.state.fl.us; Reply To: Pamela.Marcum@dep.state.fl.us]; Run via form trigger as education@gtmnerr.org; Timestamp: Jul 11 2019 10:03 AM</t>
  </si>
  <si>
    <t>1fsp2VE6J3eq1qlBaOs9_c3VwCKjWu0Kv5nHjHXrgkIw</t>
  </si>
  <si>
    <t>https://docs.google.com/document/d/1fsp2VE6J3eq1qlBaOs9_c3VwCKjWu0Kv5nHjHXrgkIw/edit?usp=drivesdk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</si>
  <si>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Jul 12 2019 10:04 AM</t>
  </si>
  <si>
    <t>1qfBh_O_GEYX9iCz3WJwlITP89zxKCd3VjFTCB8EEAZE</t>
  </si>
  <si>
    <t>https://docs.google.com/document/d/1qfBh_O_GEYX9iCz3WJwlITP89zxKCd3VjFTCB8EEAZE/edit?usp=drivesdk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</si>
  <si>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Jul 15 2019 7:27 AM</t>
  </si>
  <si>
    <t>1ZCXGxgcM0SMf47GDz2P2nEKQwWPen_IopWAdo9gZUe8</t>
  </si>
  <si>
    <t>https://docs.google.com/document/d/1ZCXGxgcM0SMf47GDz2P2nEKQwWPen_IopWAdo9gZUe8/edit?usp=drivesdk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</si>
  <si>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Jul 16 2019 2:42 PM</t>
  </si>
  <si>
    <t>1fe-2hVqu4qRXiK7uZpdjNWbt09bbNO2CMjpLNLRqic4</t>
  </si>
  <si>
    <t>https://docs.google.com/document/d/1fe-2hVqu4qRXiK7uZpdjNWbt09bbNO2CMjpLNLRqic4/edit?usp=drivesdk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</si>
  <si>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Jul 16 2019 2:50 PM</t>
  </si>
  <si>
    <t>1MyR0KwbVK6DLOQXHSWopn30pPwPKufzUXd-DVwHJfoc</t>
  </si>
  <si>
    <t>https://docs.google.com/document/d/1MyR0KwbVK6DLOQXHSWopn30pPwPKufzUXd-DVwHJfoc/edit?usp=drivesdk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</si>
  <si>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Jul 22 2019 5:36 PM</t>
  </si>
  <si>
    <t>1DEEZagV5EBkLzROR_9oxeIWIQiNWeE6h9eGZvDKJGBc</t>
  </si>
  <si>
    <t>https://docs.google.com/document/d/1DEEZagV5EBkLzROR_9oxeIWIQiNWeE6h9eGZvDKJGBc/edit?usp=drivesdk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</si>
  <si>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Jul 24 2019 6:47 AM</t>
  </si>
  <si>
    <t>1iIShRcHBMX9s2p9ixcmfD63N4BNpzZOhUMopEgZXVXU</t>
  </si>
  <si>
    <t>https://docs.google.com/document/d/1iIShRcHBMX9s2p9ixcmfD63N4BNpzZOhUMopEgZXVXU/edit?usp=drivesdk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</si>
  <si>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Jul 25 2019 7:41 AM</t>
  </si>
  <si>
    <t>Boat Breakdown</t>
  </si>
  <si>
    <t>19iCCJZ_O23GPhy55Pb4Tax0fp71UZC6HAdOjd8p_lds</t>
  </si>
  <si>
    <t>https://docs.google.com/document/d/19iCCJZ_O23GPhy55Pb4Tax0fp71UZC6HAdOjd8p_lds/edit?usp=drivesdk</t>
  </si>
  <si>
    <t>Document successfully created; Document successfully merged; Emails Sent: [To: Nikki.Dix@floridadep.gov,blythe.odzinski@floridadep.gov,stephanie.windham@floridadep.gov,lia.sansom@floridadep.gov; CC: gabriela.canas@dwp.state.fl.us; Reply To: gabriela.canas@dwp.state.fl.us]; Run via form trigger as education@gtmnerr.org; Timestamp: Jul 26 2019 10:30 AM</t>
  </si>
  <si>
    <t>1i6f7kHhOK6gs1CovzkHGRW2qcF_O4PSMw6GEfKJFoiI</t>
  </si>
  <si>
    <t>https://docs.google.com/document/d/1i6f7kHhOK6gs1CovzkHGRW2qcF_O4PSMw6GEfKJFoiI/edit?usp=drivesdk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</si>
  <si>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Jul 29 2019 5:25 PM</t>
  </si>
  <si>
    <t>1Id6Jld1KzxQlELFCsAZGsrQF5n3rtGtVgl9NJOHfP_4</t>
  </si>
  <si>
    <t>https://docs.google.com/document/d/1Id6Jld1KzxQlELFCsAZGsrQF5n3rtGtVgl9NJOHfP_4/edit?usp=drivesdk</t>
  </si>
  <si>
    <t>Document successfully created; Document successfully merged; Emails Sent: [To: Lia.Sansom@floridadep.gov,blythe.odzinski@floridadep.gov,stephanie.windham@floridadep.gov,lia.sansom@floridadep.gov; CC: pamela.marcum@floridadep.gov; Reply To: pamela.marcum@floridadep.gov]; Run via form trigger as education@gtmnerr.org; Timestamp: Jul 30 2019 11:05 AM</t>
  </si>
  <si>
    <t>1dcxw6xlXtPDlo4G3zVliHM7eYEMWU9U5ZU03DGzm4Y4</t>
  </si>
  <si>
    <t>https://docs.google.com/document/d/1dcxw6xlXtPDlo4G3zVliHM7eYEMWU9U5ZU03DGzm4Y4/edit?usp=drivesdk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</si>
  <si>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Jul 31 2019 8:29 AM</t>
  </si>
  <si>
    <t>1jxJbOyJ-efuz4tHXDy8L3GTN2d42synPAf0a9KwhPj4</t>
  </si>
  <si>
    <t>https://docs.google.com/document/d/1jxJbOyJ-efuz4tHXDy8L3GTN2d42synPAf0a9KwhPj4/edit?usp=drivesdk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</si>
  <si>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1 2019 2:22 PM</t>
  </si>
  <si>
    <t>1E9aNIH6mCOOIwAQV51kZmcxa6B48JuJxjrm7UDpXd2w</t>
  </si>
  <si>
    <t>https://docs.google.com/document/d/1E9aNIH6mCOOIwAQV51kZmcxa6B48JuJxjrm7UDpXd2w/edit?usp=drivesdk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</si>
  <si>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Aug 5 2019 2:16 PM</t>
  </si>
  <si>
    <t>1UHxq4c6sGkIXHA_Cj_Kx_dd2yABgFStnfCZ4va8AwCQ</t>
  </si>
  <si>
    <t>https://docs.google.com/document/d/1UHxq4c6sGkIXHA_Cj_Kx_dd2yABgFStnfCZ4va8AwCQ/edit?usp=drivesdk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</si>
  <si>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6 2019 6:51 AM</t>
  </si>
  <si>
    <t>1nsjrzaiK-XGxSSZHB42jsZNNYxbyV3RJtQXB9v-oEB4</t>
  </si>
  <si>
    <t>https://docs.google.com/document/d/1nsjrzaiK-XGxSSZHB42jsZNNYxbyV3RJtQXB9v-oEB4/edit?usp=drivesdk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</si>
  <si>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Aug 6 2019 4:51 PM</t>
  </si>
  <si>
    <t>1tLgUiv4bcn2V_cgRKNu_zZ5FGT2YBAuPzKuqiAXm0co</t>
  </si>
  <si>
    <t>https://docs.google.com/document/d/1tLgUiv4bcn2V_cgRKNu_zZ5FGT2YBAuPzKuqiAXm0co/edit?usp=drivesdk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</si>
  <si>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Aug 7 2019 4:33 PM</t>
  </si>
  <si>
    <t>1l4E_ZfLzH_eFlbh_M4aNR8syJtRhBDp7zPqitvKaIG0</t>
  </si>
  <si>
    <t>https://docs.google.com/document/d/1l4E_ZfLzH_eFlbh_M4aNR8syJtRhBDp7zPqitvKaIG0/edit?usp=drivesdk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</si>
  <si>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8 2019 7:00 AM</t>
  </si>
  <si>
    <t>1YMJWkZrunPkqcijQlnoJEDDw7X8P59lFxv9qbVzbaSY</t>
  </si>
  <si>
    <t>https://docs.google.com/document/d/1YMJWkZrunPkqcijQlnoJEDDw7X8P59lFxv9qbVzbaSY/edit?usp=drivesdk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</si>
  <si>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9 2019 11:06 AM</t>
  </si>
  <si>
    <t>1mAuPt1x3SC6PF8ujlRcp2_FSebhAGV02h612BkmlcNs</t>
  </si>
  <si>
    <t>https://docs.google.com/document/d/1mAuPt1x3SC6PF8ujlRcp2_FSebhAGV02h612BkmlcNs/edit?usp=drivesdk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</si>
  <si>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Aug 12 2019 7:55 AM</t>
  </si>
  <si>
    <t>11Q1zngHv0-P5AsO1ZgZYteXWIjY4Pp94rg3HG76Vfhk</t>
  </si>
  <si>
    <t>https://docs.google.com/a/gtmnerr.org/document/d/11Q1zngHv0-P5AsO1ZgZYteXWIjY4Pp94rg3HG76Vfhk/edit?usp=drivesdk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</si>
  <si>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Aug 12 2019 4:44 PM</t>
  </si>
  <si>
    <t>1PSs6PJxfHNvQL0Gdx2FpaTy-9EKgmxmmCEUvK9qcJiU</t>
  </si>
  <si>
    <t>https://docs.google.com/document/d/1PSs6PJxfHNvQL0Gdx2FpaTy-9EKgmxmmCEUvK9qcJiU/edit?usp=drivesdk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</si>
  <si>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Aug 12 2019 5:57 PM</t>
  </si>
  <si>
    <t>1RWIKtoOaMeyPaIs4hJT3bwRUK1PkwCCzdMFo1k4GAxk</t>
  </si>
  <si>
    <t>https://docs.google.com/document/d/1RWIKtoOaMeyPaIs4hJT3bwRUK1PkwCCzdMFo1k4GAxk/edit?usp=drivesdk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</si>
  <si>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20 2019 6:36 AM</t>
  </si>
  <si>
    <t>1KcgaayyBJ7F6uQm0nvdHRmo9_83OCOz8oj2qRca9CDM</t>
  </si>
  <si>
    <t>https://docs.google.com/document/d/1KcgaayyBJ7F6uQm0nvdHRmo9_83OCOz8oj2qRca9CDM/edit?usp=drivesdk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</si>
  <si>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20 2019 3:04 PM</t>
  </si>
  <si>
    <t>117UlOtSgj_kq7O1HZU85eiTPSysmyUGc-U29QvcaS3M</t>
  </si>
  <si>
    <t>https://docs.google.com/document/d/117UlOtSgj_kq7O1HZU85eiTPSysmyUGc-U29QvcaS3M/edit?usp=drivesdk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</si>
  <si>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22 2019 5:54 AM</t>
  </si>
  <si>
    <t>1sG4FS2pAmky1WC9QNvN3opCN2KZ3liAWKRz-jnsPPrY</t>
  </si>
  <si>
    <t>https://docs.google.com/document/d/1sG4FS2pAmky1WC9QNvN3opCN2KZ3liAWKRz-jnsPPrY/edit?usp=drivesdk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</si>
  <si>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23 2019 7:48 AM</t>
  </si>
  <si>
    <t>17k__OhYheTr3nYbx5FarCqsKPH8rt5B5IyLMdHihyxo</t>
  </si>
  <si>
    <t>https://docs.google.com/document/d/17k__OhYheTr3nYbx5FarCqsKPH8rt5B5IyLMdHihyxo/edit?usp=drivesdk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</si>
  <si>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Aug 27 2019 8:38 AM</t>
  </si>
  <si>
    <t>18J_oMGg9KxP1sUZubTUlVkgQbIimvibwL5Y_dskUwx4</t>
  </si>
  <si>
    <t>https://docs.google.com/document/d/18J_oMGg9KxP1sUZubTUlVkgQbIimvibwL5Y_dskUwx4/edit?usp=drivesdk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</si>
  <si>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Aug 28 2019 6:30 AM</t>
  </si>
  <si>
    <t>157atlnV4PfNUXltB_9nowSR6oPh6zVU7PPouDkoFvdw</t>
  </si>
  <si>
    <t>https://docs.google.com/document/d/157atlnV4PfNUXltB_9nowSR6oPh6zVU7PPouDkoFvdw/edit?usp=drivesdk</t>
  </si>
  <si>
    <t>Document successfully created; Document successfully merged; Emails Sent: [To: Pamela.Marcum@floridadep.gov,blythe.odzinski@floridadep.gov,stephanie.windham@floridadep.gov,lia.sansom@floridadep.gov; CC: alee.knoell@floridadep.gov; Reply To: alee.knoell@floridadep.gov]; Run via form trigger as education@gtmnerr.org; Timestamp: Aug 28 2019 11:12 AM</t>
  </si>
  <si>
    <t>15hEqU8nv3aRpQI8ho-4D11gMDcOtqzF6M5xm45xB7GM</t>
  </si>
  <si>
    <t>https://docs.google.com/document/d/15hEqU8nv3aRpQI8ho-4D11gMDcOtqzF6M5xm45xB7GM/edit?usp=drivesdk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</si>
  <si>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Sep 9 2019 5:01 PM</t>
  </si>
  <si>
    <t>14fkCLW9hj_7t4_UA1zwCoY5Xee29jCtOYN7O8CObxMM</t>
  </si>
  <si>
    <t>https://docs.google.com/document/d/14fkCLW9hj_7t4_UA1zwCoY5Xee29jCtOYN7O8CObxMM/edit?usp=drivesdk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</si>
  <si>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Sep 10 2019 5:30 PM</t>
  </si>
  <si>
    <t>1PicdNXXQZ-9U5WxAltsBvLegzKfGcnA5Rh_W_l0A7Ss</t>
  </si>
  <si>
    <t>https://docs.google.com/document/d/1PicdNXXQZ-9U5WxAltsBvLegzKfGcnA5Rh_W_l0A7Ss/edit?usp=drivesdk</t>
  </si>
  <si>
    <t>Document successfully created; Document successfully merged; Emails Sent: [To: Nikki.Dix@floridadep.gov,blythe.odzinski@floridadep.gov,stephanie.windham@floridadep.gov,lia.sansom@floridadep.gov; CC: silas.tanner@flordiadep.gov; Reply To: silas.tanner@flordiadep.gov]; Run via form trigger as education@gtmnerr.org; Timestamp: Sep 11 2019 6:42 AM</t>
  </si>
  <si>
    <t>113DLTrCCyaw_Y3on57xBfNQ45zZm907eJeve6z6J0rk</t>
  </si>
  <si>
    <t>https://docs.google.com/document/d/113DLTrCCyaw_Y3on57xBfNQ45zZm907eJeve6z6J0rk/edit?usp=drivesdk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</si>
  <si>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Sep 16 2019 6:26 AM</t>
  </si>
  <si>
    <t>1llt-6l9NzJX6gjQSBbMbdkVYI69LprJx27c3azv2kbo</t>
  </si>
  <si>
    <t>https://docs.google.com/document/d/1llt-6l9NzJX6gjQSBbMbdkVYI69LprJx27c3azv2kbo/edit?usp=drivesdk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</si>
  <si>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Sep 16 2019 4:30 PM</t>
  </si>
  <si>
    <t>1CvkBjFbxX2vq9UR6Nu2rTcNsfr1a8UDMyRu0D7wuXhg</t>
  </si>
  <si>
    <t>https://docs.google.com/document/d/1CvkBjFbxX2vq9UR6Nu2rTcNsfr1a8UDMyRu0D7wuXhg/edit?usp=drivesdk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</si>
  <si>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Sep 17 2019 7:27 AM</t>
  </si>
  <si>
    <t>11x0CkR3ktEFIujcLW_1aRWhBz7-fh-ehKWEqiRQ6-Bs</t>
  </si>
  <si>
    <t>https://docs.google.com/document/d/11x0CkR3ktEFIujcLW_1aRWhBz7-fh-ehKWEqiRQ6-Bs/edit?usp=drivesdk</t>
  </si>
  <si>
    <t>Document successfully created; Document successfully merged; Emails Sent: [To: Nikki.Dix@floridadep.gov,blythe.odzinski@floridadep.gov,stephanie.windham@floridadep.gov,lia.sansom@floridadep.gov; CC: shannon.dunnigan@dep.state.fl.us; Reply To: shannon.dunnigan@dep.state.fl.us]; Run via form trigger as education@gtmnerr.org; Timestamp: Sep 17 2019 9:58 AM</t>
  </si>
  <si>
    <t>1waXJaaxuMbyg-WQ34-bf7iNATV2Cu-MmkLtMWtKzsvc</t>
  </si>
  <si>
    <t>https://docs.google.com/document/d/1waXJaaxuMbyg-WQ34-bf7iNATV2Cu-MmkLtMWtKzsvc/edit?usp=drivesdk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</si>
  <si>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Sep 18 2019 6:26 AM</t>
  </si>
  <si>
    <t>1VFwoXvxUp9esJMS9AjQJUjDLucKnSGwDdiqVmF5mxvQ</t>
  </si>
  <si>
    <t>https://docs.google.com/document/d/1VFwoXvxUp9esJMS9AjQJUjDLucKnSGwDdiqVmF5mxvQ/edit?usp=drivesdk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</si>
  <si>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Sep 18 2019 9:00 AM</t>
  </si>
  <si>
    <t>17-ejbLkrYmuOCBKs8rnXdpzSNQId2GnwAk45L75Y62U</t>
  </si>
  <si>
    <t>https://docs.google.com/document/d/17-ejbLkrYmuOCBKs8rnXdpzSNQId2GnwAk45L75Y62U/edit?usp=drivesdk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</si>
  <si>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Sep 19 2019 8:01 AM</t>
  </si>
  <si>
    <t>1_ixFUqqY3pBFYyko_LJxme1mlZsxKkUiApejiVxk4Vk</t>
  </si>
  <si>
    <t>https://docs.google.com/document/d/1_ixFUqqY3pBFYyko_LJxme1mlZsxKkUiApejiVxk4Vk/edit?usp=drivesdk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</si>
  <si>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Sep 19 2019 8:23 AM</t>
  </si>
  <si>
    <t>1XcVFZzDY85Qnprn6bdjN8xHXM896AB5RZfyIW2kUNRc</t>
  </si>
  <si>
    <t>https://docs.google.com/document/d/1XcVFZzDY85Qnprn6bdjN8xHXM896AB5RZfyIW2kUNRc/edit?usp=drivesdk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</si>
  <si>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Sep 19 2019 9:49 AM</t>
  </si>
  <si>
    <t>17A4uRgXYnvF9AqyKS1BltihQdj9B2XvMFNMWZqS165M</t>
  </si>
  <si>
    <t>https://docs.google.com/document/d/17A4uRgXYnvF9AqyKS1BltihQdj9B2XvMFNMWZqS165M/edit?usp=drivesdk</t>
  </si>
  <si>
    <t>Document successfully created; Document successfully merged; Emails Sent: [To: Nikki.Dix@floridadep.gov,blythe.odzinski@floridadep.gov,stephanie.windham@floridadep.gov,lia.sansom@floridadep.gov; CC: alee.knoell@floridadep.gov; Reply To: alee.knoell@floridadep.gov]; Run via form trigger as education@gtmnerr.org; Timestamp: Sep 20 2019 7:25 AM</t>
  </si>
  <si>
    <t>1A0N0MGKq44r4WVGGlz3AGJmeioeR0rtdAgdYTyR479E</t>
  </si>
  <si>
    <t>https://docs.google.com/document/d/1A0N0MGKq44r4WVGGlz3AGJmeioeR0rtdAgdYTyR479E/edit?usp=drivesdk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</si>
  <si>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Sep 23 2019 8:46 AM</t>
  </si>
  <si>
    <t>1yjBfH6H6zIFAi5tn-uHL0_Gz62OBYgYXcoJvx0NpG70</t>
  </si>
  <si>
    <t>https://docs.google.com/document/d/1yjBfH6H6zIFAi5tn-uHL0_Gz62OBYgYXcoJvx0NpG70/edit?usp=drivesdk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</si>
  <si>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Sep 26 2019 7:49 AM</t>
  </si>
  <si>
    <t>1bJrBzE-p53jYgZXJ7d09hgLAWsK4ad1EDQSCTIFLbx8</t>
  </si>
  <si>
    <t>https://docs.google.com/document/d/1bJrBzE-p53jYgZXJ7d09hgLAWsK4ad1EDQSCTIFLbx8/edit?usp=drivesdk</t>
  </si>
  <si>
    <t>Document successfully created; Document successfully merged; Emails Sent: [To: Nikki.Dix@floridadep.gov,blythe.odzinski@floridadep.gov,stephanie.windham@floridadep.gov,lia.sansom@floridadep.gov; CC: n00836133@unf.edu; Reply To: n00836133@unf.edu]; Run via form trigger as education@gtmnerr.org; Timestamp: Sep 26 2019 10:56 AM</t>
  </si>
  <si>
    <t>1DbejGbhJM7OWl5fFkV9jQyRGb9Sziytoa1OTAioADpQ</t>
  </si>
  <si>
    <t>https://docs.google.com/document/d/1DbejGbhJM7OWl5fFkV9jQyRGb9Sziytoa1OTAioADpQ/edit?usp=drivesdk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</si>
  <si>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Sep 30 2019 3:07 PM</t>
  </si>
  <si>
    <t>1qIaFzaKCnPb1lZek9agDPwVAvyZMEizaSV_xR-V6yDE</t>
  </si>
  <si>
    <t>https://docs.google.com/document/d/1qIaFzaKCnPb1lZek9agDPwVAvyZMEizaSV_xR-V6yDE/edit?usp=drivesdk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</si>
  <si>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Oct 1 2019 12:49 PM</t>
  </si>
  <si>
    <t>1Z3xYCrnpat_lvHHxFDMS8j1Zd0EyO6PwPk4_SrgvZEg</t>
  </si>
  <si>
    <t>https://docs.google.com/document/d/1Z3xYCrnpat_lvHHxFDMS8j1Zd0EyO6PwPk4_SrgvZEg/edit?usp=drivesdk</t>
  </si>
  <si>
    <t>Document successfully created; Document successfully merged; Emails Sent: [To: Pamela.Marcum@floridadep.gov,blythe.odzinski@floridadep.gov,stephanie.windham@floridadep.gov,lia.sansom@floridadep.gov; CC: alee.knoell@floridadep.gov; Reply To: alee.knoell@floridadep.gov]; Run via form trigger as education@gtmnerr.org; Timestamp: Oct 1 2019 1:01 PM</t>
  </si>
  <si>
    <t>1c3oIBDOSh2u6pFvXb4E_3APsR9Lem7S_3eSczmJQrGg</t>
  </si>
  <si>
    <t>https://docs.google.com/document/d/1c3oIBDOSh2u6pFvXb4E_3APsR9Lem7S_3eSczmJQrGg/edit?usp=drivesdk</t>
  </si>
  <si>
    <t>Document successfully created; Document successfully merged; Emails Sent: [To: Nikki.Dix@floridadep.gov,blythe.odzinski@floridadep.gov,stephanie.windham@floridadep.gov,lia.sansom@floridadep.gov; CC: shannon.dunnigan@floridadep.gov; Reply To: shannon.dunnigan@floridadep.gov]; Run via form trigger as education@gtmnerr.org; Timestamp: Oct 2 2019 7:30 AM</t>
  </si>
  <si>
    <t>1xJ9T5reUjpXl3feP0fqVH6FQi3ovB4PsTEfdY2ZNAcA</t>
  </si>
  <si>
    <t>https://docs.google.com/document/d/1xJ9T5reUjpXl3feP0fqVH6FQi3ovB4PsTEfdY2ZNAcA/edit?usp=drivesdk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</si>
  <si>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Oct 2 2019 8:10 AM</t>
  </si>
  <si>
    <t>1gzBZ5HfQJnnJWXvG5NS6oS9z2fy4WrO3XnzB6x8mkYc</t>
  </si>
  <si>
    <t>https://docs.google.com/document/d/1gzBZ5HfQJnnJWXvG5NS6oS9z2fy4WrO3XnzB6x8mkYc/edit?usp=drivesdk</t>
  </si>
  <si>
    <t>Document successfully created; Document successfully merged; !!Error Sending Emails: Invalid email: &lt;&lt;YOUR EMAIL&gt;&gt;; Run via form trigger as education@gtmnerr.org; Timestamp: Oct 3 2019 7:07 AM</t>
  </si>
  <si>
    <t>1BAinsbnizosXnxABViaWb-GWFCx3cHjCFySCLmnYpts</t>
  </si>
  <si>
    <t>https://docs.google.com/document/d/1BAinsbnizosXnxABViaWb-GWFCx3cHjCFySCLmnYpts/edit?usp=drivesdk</t>
  </si>
  <si>
    <t>Document successfully created; Document successfully merged; !!Error Sending Emails: Invalid email: &lt;&lt;YOUR EMAIL&gt;&gt;; Run via form trigger as education@gtmnerr.org; Timestamp: Oct 3 2019 8:40 AM</t>
  </si>
  <si>
    <t>EMAIL</t>
  </si>
  <si>
    <t>1LTJH8ulRvbXzhhYPuyDroEp7Q2546Kpw3GyUZ3Rj3OQ</t>
  </si>
  <si>
    <t>https://docs.google.com/document/d/1LTJH8ulRvbXzhhYPuyDroEp7Q2546Kpw3GyUZ3Rj3OQ/edit?usp=drivesdk</t>
  </si>
  <si>
    <t>Document successfully created; Document successfully merged; !!Error Sending Emails: Invalid email: &lt;&lt;YOUR EMAIL&gt;&gt;; Run via form trigger as education@gtmnerr.org; Timestamp: Oct 3 2019 10:40 AM</t>
  </si>
  <si>
    <t>1CnmyIB1CMEK3y8oTsG8VVvIk28_ZM3rcS_hbz0BaXpM</t>
  </si>
  <si>
    <t>https://docs.google.com/document/d/1CnmyIB1CMEK3y8oTsG8VVvIk28_ZM3rcS_hbz0BaXpM/edit?usp=drivesdk</t>
  </si>
  <si>
    <t>Document successfully created; Document successfully merged; !!Error Sending Emails: Invalid email: &lt;&lt;YOUR EMAIL&gt;&gt;; Run via form trigger as education@gtmnerr.org; Timestamp: Oct 3 2019 11:09 AM</t>
  </si>
  <si>
    <t>1qxj8kHphmaIWg1tKrIOUvKkGlR3JL7DkmWriw0FlSr0</t>
  </si>
  <si>
    <t>https://docs.google.com/document/d/1qxj8kHphmaIWg1tKrIOUvKkGlR3JL7DkmWriw0FlSr0/edit?usp=drivesdk</t>
  </si>
  <si>
    <t>Document successfully created; Document successfully merged; !!Error Sending Emails: Invalid email: &lt;&lt;YOUR EMAIL&gt;&gt;; Run via form trigger as education@gtmnerr.org; Timestamp: Oct 3 2019 11:39 AM</t>
  </si>
  <si>
    <t>1a_HZ0U1E4XkOCKRPrQgoKZZY19dqXs-pCBV4X0YTWX8</t>
  </si>
  <si>
    <t>https://docs.google.com/document/d/1a_HZ0U1E4XkOCKRPrQgoKZZY19dqXs-pCBV4X0YTWX8/edit?usp=drivesdk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</si>
  <si>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Oct 3 2019 5:07 PM</t>
  </si>
  <si>
    <t>1JowoqJjlGGOkTTrpZAL3e8PWLUS-yZZHWCQCIh7zT0w</t>
  </si>
  <si>
    <t>https://docs.google.com/document/d/1JowoqJjlGGOkTTrpZAL3e8PWLUS-yZZHWCQCIh7zT0w/edit?usp=drivesdk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</si>
  <si>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Oct 4 2019 6:25 AM</t>
  </si>
  <si>
    <t>1Weo71KyE42pJv6eQho_VuZl_I_N1oT_tQDYaPUWJgXg</t>
  </si>
  <si>
    <t>https://docs.google.com/document/d/1Weo71KyE42pJv6eQho_VuZl_I_N1oT_tQDYaPUWJgXg/edit?usp=drivesdk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</si>
  <si>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Oct 8 2019 8:49 AM</t>
  </si>
  <si>
    <t>1Nkj7T_FeDiyVW9nQImrjvRaLtq2W7lwf3wsxD_brvdg</t>
  </si>
  <si>
    <t>https://docs.google.com/document/d/1Nkj7T_FeDiyVW9nQImrjvRaLtq2W7lwf3wsxD_brvdg/edit?usp=drivesdk</t>
  </si>
  <si>
    <t>Document successfully created; Document successfully merged; Emails Sent: [To: Nikki.Dix@floridadep.gov,blythe.odzinski@floridadep.gov,stephanie.windham@floridadep.gov,lia.sansom@floridadep.gov; CC: shannon.dunnigan@floridadep.gov; Reply To: shannon.dunnigan@floridadep.gov]; Run via form trigger as education@gtmnerr.org; Timestamp: Oct 9 2019 10:05 AM</t>
  </si>
  <si>
    <t>1R67aWa6YbeD9LJQCyYhLFFgo-n7BFuc4yGofXLj2i4s</t>
  </si>
  <si>
    <t>https://docs.google.com/document/d/1R67aWa6YbeD9LJQCyYhLFFgo-n7BFuc4yGofXLj2i4s/edit?usp=drivesdk</t>
  </si>
  <si>
    <t>Document successfully created; Document successfully merged; Emails Sent: [To: Nikki.Dix@floridadep.gov,blythe.odzinski@floridadep.gov,stephanie.windham@floridadep.gov,lia.sansom@floridadep.gov; CC: Pamela.Marcum@dep.state.fl.us; Reply To: Pamela.Marcum@dep.state.fl.us]; Run via form trigger as education@gtmnerr.org; Timestamp: Oct 10 2019 6:55 AM</t>
  </si>
  <si>
    <t>1i0dCUy4yeQ9EZHTLMk-Eqs7L_Kd-gV0olElUP-cbPpQ</t>
  </si>
  <si>
    <t>https://docs.google.com/document/d/1i0dCUy4yeQ9EZHTLMk-Eqs7L_Kd-gV0olElUP-cbPpQ/edit?usp=drivesdk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</si>
  <si>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Oct 10 2019 3:20 PM</t>
  </si>
  <si>
    <t>1_OnavftpgaDV9tNWiIoIvKJWpdcg19g3rscONyVRkDo</t>
  </si>
  <si>
    <t>https://docs.google.com/document/d/1_OnavftpgaDV9tNWiIoIvKJWpdcg19g3rscONyVRkDo/edit?usp=drivesdk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</si>
  <si>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Oct 14 2019 9:00 AM</t>
  </si>
  <si>
    <t>1T1xgt2ahMRDccE_WEFm_45PLgPC27Ub_s2m5i78_c2Q</t>
  </si>
  <si>
    <t>https://docs.google.com/document/d/1T1xgt2ahMRDccE_WEFm_45PLgPC27Ub_s2m5i78_c2Q/edit?usp=drivesdk</t>
  </si>
  <si>
    <t>Document successfully created; Document successfully merged; Emails Sent: [To: Scott.Eastman@floridadep.gov,blythe.odzinski@floridadep.gov,stephanie.windham@floridadep.gov,lia.sansom@floridadep.gov; CC: scott.eastman@floridadep.gov; Reply To: scott.eastman@floridadep.gov]; Run via form trigger as education@gtmnerr.org; Timestamp: Oct 14 2019 9:02 AM</t>
  </si>
  <si>
    <t>13H-CpRkpjg-LceS1ZdSkL48440YBkAfc0YrhA4v9dnk</t>
  </si>
  <si>
    <t>https://docs.google.com/document/d/13H-CpRkpjg-LceS1ZdSkL48440YBkAfc0YrhA4v9dnk/edit?usp=drivesdk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</si>
  <si>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Oct 15 2019 8:47 AM</t>
  </si>
  <si>
    <t>1QYU0K6Bg_b60Qb0JUgvwx83i12Fa5B9QcOUKDlg8KR4</t>
  </si>
  <si>
    <t>https://docs.google.com/document/d/1QYU0K6Bg_b60Qb0JUgvwx83i12Fa5B9QcOUKDlg8KR4/edit?usp=drivesdk</t>
  </si>
  <si>
    <t>Document successfully created; Document successfully merged; Emails Sent: [To: Shannon.Dunnigan@floridadep.gov,blythe.odzinski@floridadep.gov,stephanie.windham@floridadep.gov,lia.sansom@floridadep.gov; CC: jessica.lee@dep.state.fl.us; Reply To: jessica.lee@dep.state.fl.us]; Run via form trigger as education@gtmnerr.org; Timestamp: Oct 15 2019 1:49 PM</t>
  </si>
  <si>
    <t>1al6pBTAEsUyBSpAntmTSWLZzNIag_kw43aas-BmHQso</t>
  </si>
  <si>
    <t>https://docs.google.com/document/d/1al6pBTAEsUyBSpAntmTSWLZzNIag_kw43aas-BmHQso/edit?usp=drivesdk</t>
  </si>
  <si>
    <t>Document successfully created; Document successfully merged; Emails Sent: [To: Nikki.Dix@floridadep.gov,blythe.odzinski@floridadep.gov,stephanie.windham@floridadep.gov,lia.sansom@floridadep.gov; CC: Pamela.Marcum@dep.state.fl.us; Reply To: Pamela.Marcum@dep.state.fl.us]; Run via form trigger as education@gtmnerr.org; Timestamp: Oct 17 2019 6:51 AM</t>
  </si>
  <si>
    <t>1n-LG2HTy2qCWVs8L1YdkpPeRR8p2QgvCem4gUFsY-ls</t>
  </si>
  <si>
    <t>https://docs.google.com/document/d/1n-LG2HTy2qCWVs8L1YdkpPeRR8p2QgvCem4gUFsY-ls/edit?usp=drivesdk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</si>
  <si>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Oct 21 2019 8:16 AM</t>
  </si>
  <si>
    <t>1Y7vwOzLhn0eXI5u7d9d732R4pzu7_c-q0K5-TwlcbW0</t>
  </si>
  <si>
    <t>https://docs.google.com/document/d/1Y7vwOzLhn0eXI5u7d9d732R4pzu7_c-q0K5-TwlcbW0/edit?usp=drivesdk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</si>
  <si>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Oct 22 2019 9:44 AM</t>
  </si>
  <si>
    <t>1yjeYvgPYir5ZjPhpr6dgyr3QLWQtzniq9SwDgTcD6K4</t>
  </si>
  <si>
    <t>https://docs.google.com/document/d/1yjeYvgPYir5ZjPhpr6dgyr3QLWQtzniq9SwDgTcD6K4/edit?usp=drivesdk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</si>
  <si>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Oct 23 2019 12:16 PM</t>
  </si>
  <si>
    <t>1_FZkLDX6cpRq0sc7kubw9q1L4r-RNeHr1SqbZ9kcYEw</t>
  </si>
  <si>
    <t>https://docs.google.com/document/d/1_FZkLDX6cpRq0sc7kubw9q1L4r-RNeHr1SqbZ9kcYEw/edit?usp=drivesdk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</si>
  <si>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Oct 24 2019 8:46 AM</t>
  </si>
  <si>
    <t>1tSD6e648rzgMuzDP9hhqwOSc2wFY4LzC4gX0xMLr3mM</t>
  </si>
  <si>
    <t>https://docs.google.com/document/d/1tSD6e648rzgMuzDP9hhqwOSc2wFY4LzC4gX0xMLr3mM/edit?usp=drivesdk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</si>
  <si>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Oct 24 2019 3:01 PM</t>
  </si>
  <si>
    <t>1W0MUnKo0pddoDkyInqukilZfM2lV6gT-z8ANRIvhfzc</t>
  </si>
  <si>
    <t>https://docs.google.com/document/d/1W0MUnKo0pddoDkyInqukilZfM2lV6gT-z8ANRIvhfzc/edit?usp=drivesdk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</si>
  <si>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Oct 29 2019 7:49 AM</t>
  </si>
  <si>
    <t>1lEUCZ8jzWthvDEXI6Yb01Db7gioIfBmZbkRci61BKvw</t>
  </si>
  <si>
    <t>https://docs.google.com/document/d/1lEUCZ8jzWthvDEXI6Yb01Db7gioIfBmZbkRci61BKvw/edit?usp=drivesdk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</si>
  <si>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Oct 29 2019 8:08 AM</t>
  </si>
  <si>
    <t>1h83vbiy0qIUMEJu9na-S6xILq_JKNVe8nRk6se4XBmI</t>
  </si>
  <si>
    <t>https://docs.google.com/document/d/1h83vbiy0qIUMEJu9na-S6xILq_JKNVe8nRk6se4XBmI/edit?usp=drivesdk</t>
  </si>
  <si>
    <t>Document successfully created; Document successfully merged; Emails Sent: [To: Nikki.Dix@floridadep.gov,blythe.odzinski@floridadep.gov,stephanie.windham@floridadep.gov,lia.sansom@floridadep.gov; CC: alee.knoell@floridadep.gov; Reply To: alee.knoell@floridadep.gov]; Run via form trigger as education@gtmnerr.org; Timestamp: Oct 30 2019 8:16 AM</t>
  </si>
  <si>
    <t>15j64OI3l-9JOaYM-CSUcSma3Xa3KxC0IETHE3a7jyMY</t>
  </si>
  <si>
    <t>https://docs.google.com/document/d/15j64OI3l-9JOaYM-CSUcSma3Xa3KxC0IETHE3a7jyMY/edit?usp=drivesdk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</si>
  <si>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Oct 30 2019 8:59 AM</t>
  </si>
  <si>
    <t>1BjOP-8VPoeoJ2NRkI-tiC7P49H282nx17wHC2CG2JIc</t>
  </si>
  <si>
    <t>https://docs.google.com/document/d/1BjOP-8VPoeoJ2NRkI-tiC7P49H282nx17wHC2CG2JIc/edit?usp=drivesdk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</si>
  <si>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Oct 30 2019 4:41 PM</t>
  </si>
  <si>
    <t>1_d5fECny22GGiNZdf1tqjhG5JV1OTtPAjBfXMp_UcRA</t>
  </si>
  <si>
    <t>https://docs.google.com/document/d/1_d5fECny22GGiNZdf1tqjhG5JV1OTtPAjBfXMp_UcRA/edit?usp=drivesdk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</si>
  <si>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Oct 31 2019 9:39 AM</t>
  </si>
  <si>
    <t>1prWMueONgldddFzfRPQ9ygSaRH4jgTMVx9qL2sHIQOE</t>
  </si>
  <si>
    <t>https://docs.google.com/document/d/1prWMueONgldddFzfRPQ9ygSaRH4jgTMVx9qL2sHIQOE/edit?usp=drivesdk</t>
  </si>
  <si>
    <t>Document successfully created; Document successfully merged; Emails Sent: [To: Nikki.Dix@floridadep.gov,blythe.odzinski@floridadep.gov,stephanie.windham@floridadep.gov,lia.sansom@floridadep.gov; CC: n00836133@unf.edu; Reply To: n00836133@unf.edu]; Run via form trigger as education@gtmnerr.org; Timestamp: Nov 1 2019 8:35 AM</t>
  </si>
  <si>
    <t>15IRTJxlG3VjfsXhPDtxtYTDiALUXkRoyVsHI6xd9aOE</t>
  </si>
  <si>
    <t>https://docs.google.com/document/d/15IRTJxlG3VjfsXhPDtxtYTDiALUXkRoyVsHI6xd9aOE/edit?usp=drivesdk</t>
  </si>
  <si>
    <t>Document successfully created; Document successfully merged; Emails Sent: [To: Lia.Sansom@floridadep.gov,blythe.odzinski@floridadep.gov,stephanie.windham@floridadep.gov,lia.sansom@floridadep.gov; CC: rubeall57@gmail.com; Reply To: rubeall57@gmail.com]; Run via form trigger as education@gtmnerr.org; Timestamp: Nov 3 2019 7:04 AM</t>
  </si>
  <si>
    <t>1M7xpibvSmVbgcBf-KshDdhZJdbWlKw_O9smFLdfK_xY</t>
  </si>
  <si>
    <t>https://docs.google.com/document/d/1M7xpibvSmVbgcBf-KshDdhZJdbWlKw_O9smFLdfK_xY/edit?usp=drivesdk</t>
  </si>
  <si>
    <t>Document successfully created; Document successfully merged; Emails Sent: [To: Lia.Sansom@floridadep.gov,blythe.odzinski@floridadep.gov,stephanie.windham@floridadep.gov,lia.sansom@floridadep.gov; CC: pamela.marcum@floridadep.gov; Reply To: pamela.marcum@floridadep.gov]; Run via form trigger as education@gtmnerr.org; Timestamp: Nov 4 2019 7:25 AM</t>
  </si>
  <si>
    <t>1CRc4j6HLo0xqlKMTTNdvh8YrHb0mUQt_MH11cR4wB04</t>
  </si>
  <si>
    <t>https://docs.google.com/document/d/1CRc4j6HLo0xqlKMTTNdvh8YrHb0mUQt_MH11cR4wB04/edit?usp=drivesdk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</si>
  <si>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Nov 4 2019 4:54 PM</t>
  </si>
  <si>
    <t>18_-rvKQZAj4zj-xu5XIOunNjjc1B25_eNVm9KFoW9Dk</t>
  </si>
  <si>
    <t>https://docs.google.com/document/d/18_-rvKQZAj4zj-xu5XIOunNjjc1B25_eNVm9KFoW9Dk/edit?usp=drivesdk</t>
  </si>
  <si>
    <t>Document successfully created; Document successfully merged; Emails Sent: [To: Lia.Sansom@floridadep.gov,blythe.odzinski@floridadep.gov,stephanie.windham@floridadep.gov,lia.sansom@floridadep.gov; CC: Pamela.Marcum@FloridaDEP.gov; Reply To: Pamela.Marcum@FloridaDEP.gov]; Run via form trigger as education@gtmnerr.org; Timestamp: Nov 5 2019 8:17 AM</t>
  </si>
  <si>
    <t>1hRHCgSxbnv7hu6DeHUy5JI5pBcEgXO0l_jaGUl_e9dU</t>
  </si>
  <si>
    <t>https://docs.google.com/document/d/1hRHCgSxbnv7hu6DeHUy5JI5pBcEgXO0l_jaGUl_e9dU/edit?usp=drivesdk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</si>
  <si>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Nov 6 2019 9:34 AM</t>
  </si>
  <si>
    <t>1Sf_4ILjN5K-5V3F6cTF8vBnLuPZyBmGl95mM0XiRX78</t>
  </si>
  <si>
    <t>https://docs.google.com/document/d/1Sf_4ILjN5K-5V3F6cTF8vBnLuPZyBmGl95mM0XiRX78/edit?usp=drivesdk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</si>
  <si>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Nov 7 2019 8:31 AM</t>
  </si>
  <si>
    <t>1TTDgJwN76xiXWyDlFbbKJxZHE_M1_FnRC9jx-Hp0QS4</t>
  </si>
  <si>
    <t>https://docs.google.com/document/d/1TTDgJwN76xiXWyDlFbbKJxZHE_M1_FnRC9jx-Hp0QS4/edit?usp=drivesdk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</si>
  <si>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Nov 12 2019 7:22 AM</t>
  </si>
  <si>
    <t>1osvIdgKYUEM3b9J7rEXHR3TOqEWzRRqJwFNEr4ZGZwk</t>
  </si>
  <si>
    <t>https://docs.google.com/document/d/1osvIdgKYUEM3b9J7rEXHR3TOqEWzRRqJwFNEr4ZGZwk/edit?usp=drivesdk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</si>
  <si>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Nov 12 2019 8:16 AM</t>
  </si>
  <si>
    <t>1Fqg_cuyQPGZb6fNX36CPl90RsxTwCIBXz0rmsCxC0Bw</t>
  </si>
  <si>
    <t>https://docs.google.com/document/d/1Fqg_cuyQPGZb6fNX36CPl90RsxTwCIBXz0rmsCxC0Bw/edit?usp=drivesdk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</si>
  <si>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Nov 12 2019 5:05 PM</t>
  </si>
  <si>
    <t>128yGHiKh6RHRa87fgjOY9jOg9ivCVWoJzv7lAX_ujHQ</t>
  </si>
  <si>
    <t>https://docs.google.com/document/d/128yGHiKh6RHRa87fgjOY9jOg9ivCVWoJzv7lAX_ujHQ/edit?usp=drivesdk</t>
  </si>
  <si>
    <t>Document successfully created; Document successfully merged; !!Error Sending Emails: Invalid email: &lt;&lt;YOUR EMAIL&gt;&gt;; Run via form trigger as education@gtmnerr.org; Timestamp: Nov 19 2019 2:05 PM</t>
  </si>
  <si>
    <t>17Sljgu1FaFjQKGdaD1c81vRCgs0R4l8zXXHwviylLbc</t>
  </si>
  <si>
    <t>https://docs.google.com/document/d/17Sljgu1FaFjQKGdaD1c81vRCgs0R4l8zXXHwviylLbc/edit?usp=drivesdk</t>
  </si>
  <si>
    <t>Document successfully created; Document successfully merged; !!Error Sending Emails: Invalid email: &lt;&lt;YOUR EMAIL&gt;&gt;; Run via form trigger as education@gtmnerr.org; Timestamp: Nov 21 2019 1:47 PM</t>
  </si>
  <si>
    <t>1t6d4J_pxyGT889qf1VeYKuL_8J9rkyvXI5kFVzGtp5A</t>
  </si>
  <si>
    <t>https://docs.google.com/document/d/1t6d4J_pxyGT889qf1VeYKuL_8J9rkyvXI5kFVzGtp5A/edit?usp=drivesdk</t>
  </si>
  <si>
    <t>Document successfully created; Document successfully merged; !!Error Sending Emails: Invalid email: &lt;&lt;YOUR EMAIL&gt;&gt;; Run via form trigger as education@gtmnerr.org; Timestamp: Nov 22 2019 1:01 PM</t>
  </si>
  <si>
    <t>1ZdD5urJCsgWVyivnfEYQGGfYEd6NlfeS7KymF33zbS8</t>
  </si>
  <si>
    <t>https://docs.google.com/document/d/1ZdD5urJCsgWVyivnfEYQGGfYEd6NlfeS7KymF33zbS8/edit?usp=drivesdk</t>
  </si>
  <si>
    <t>Document successfully created; Document successfully merged; !!Error Sending Emails: Invalid email: &lt;&lt;YOUR EMAIL&gt;&gt;; Run via form trigger as education@gtmnerr.org; Timestamp: Nov 22 2019 1:52 PM</t>
  </si>
  <si>
    <t>1lpL-hACJ0SZheqs2xwrGh_IJID2VnoX1qU7kXTxNXF4</t>
  </si>
  <si>
    <t>https://docs.google.com/document/d/1lpL-hACJ0SZheqs2xwrGh_IJID2VnoX1qU7kXTxNXF4/edit?usp=drivesdk</t>
  </si>
  <si>
    <t>Document successfully created; Document successfully merged; !!Error Sending Emails: Invalid email: &lt;&lt;YOUR EMAIL&gt;&gt;; Run via form trigger as education@gtmnerr.org; Timestamp: Nov 25 2019 3:51 PM</t>
  </si>
  <si>
    <t>1VaWJIE3K1kYxS9ekiUDrgSvi82MS4ihWUVx1sk6R0Yk</t>
  </si>
  <si>
    <t>https://docs.google.com/document/d/1VaWJIE3K1kYxS9ekiUDrgSvi82MS4ihWUVx1sk6R0Yk/edit?usp=drivesdk</t>
  </si>
  <si>
    <t>Document successfully created; Document successfully merged; !!Error Sending Emails: Invalid email: &lt;&lt;YOUR EMAIL&gt;&gt;; Run via form trigger as education@gtmnerr.org; Timestamp: Nov 26 2019 9:30 AM</t>
  </si>
  <si>
    <t>1gYnYcrd2vVUnyywSfLpzSXQMaeBhGeh-LmrYZ9gNiQs</t>
  </si>
  <si>
    <t>https://docs.google.com/document/d/1gYnYcrd2vVUnyywSfLpzSXQMaeBhGeh-LmrYZ9gNiQs/edit?usp=drivesdk</t>
  </si>
  <si>
    <t>Document successfully created; Document successfully merged; Emails Sent: [To: Pamela.Marcum@floridadep.gov,blythe.odzinski@floridadep.gov,stephanie.windham@floridadep.gov,lia.sansom@floridadep.gov; CC: pamela.macum@floridadep.gov; Reply To: pamela.macum@floridadep.gov]; Run via form trigger as education@gtmnerr.org; Timestamp: Nov 26 2019 8:07 PM</t>
  </si>
  <si>
    <t>1lKFj_Q6V3_7Ks5Z3aYgaiu-zNZ1Tcvga3effVH7ur7o</t>
  </si>
  <si>
    <t>https://docs.google.com/document/d/1lKFj_Q6V3_7Ks5Z3aYgaiu-zNZ1Tcvga3effVH7ur7o/edit?usp=drivesdk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</si>
  <si>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Dec 2 2019 4:31 PM</t>
  </si>
  <si>
    <t>172vVxwop84YvNDb_72vQKInQJ2qcjf8BrLZ6GTgNcTo</t>
  </si>
  <si>
    <t>https://docs.google.com/document/d/172vVxwop84YvNDb_72vQKInQJ2qcjf8BrLZ6GTgNcTo/edit?usp=drivesdk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</si>
  <si>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Dec 4 2019 8:41 AM</t>
  </si>
  <si>
    <t>163XConguxRmfEJiz0qqtWQl8czIMwg0PZ_dbBQWiVoE</t>
  </si>
  <si>
    <t>https://docs.google.com/document/d/163XConguxRmfEJiz0qqtWQl8czIMwg0PZ_dbBQWiVoE/edit?usp=drivesdk</t>
  </si>
  <si>
    <t>Document successfully created; Document successfully merged; Emails Sent: [To: Nikki.Dix@floridadep.gov,blythe.odzinski@floridadep.gov,stephanie.windham@floridadep.gov,lia.sansom@floridadep.gov; CC: alee.knoell@floridadep.gov; Reply To: alee.knoell@floridadep.gov]; Run via form trigger as education@gtmnerr.org; Timestamp: Dec 5 2019 7:48 AM</t>
  </si>
  <si>
    <t>1_EblonXbm1yhjT1MEa_-F031_IGkFPSW7vWvu5Hsklg</t>
  </si>
  <si>
    <t>https://docs.google.com/document/d/1_EblonXbm1yhjT1MEa_-F031_IGkFPSW7vWvu5Hsklg/edit?usp=drivesdk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</si>
  <si>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Dec 5 2019 8:35 AM</t>
  </si>
  <si>
    <t>1kHlAOqzXYOdFmF5mwK116zmtf-WGoNyKYM7eg3XI8fI</t>
  </si>
  <si>
    <t>https://docs.google.com/document/d/1kHlAOqzXYOdFmF5mwK116zmtf-WGoNyKYM7eg3XI8fI/edit?usp=drivesdk</t>
  </si>
  <si>
    <t>Document successfully created; Document successfully merged; Emails Sent: [To: Shannon.Dunnigan@floridadep.gov,blythe.odzinski@floridadep.gov,stephanie.windham@floridadep.gov,lia.sansom@floridadep.gov; CC: silas.tanner@floridadep.gov; Reply To: silas.tanner@floridadep.gov]; Run via form trigger as education@gtmnerr.org; Timestamp: Dec 9 2019 1:22 PM</t>
  </si>
  <si>
    <t>1IKbSBBabOKlmi4SgTvDk2__OUMhoNNZui34H6pmKKbs</t>
  </si>
  <si>
    <t>https://docs.google.com/document/d/1IKbSBBabOKlmi4SgTvDk2__OUMhoNNZui34H6pmKKbs/edit?usp=drivesdk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</si>
  <si>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Dec 11 2019 7:19 AM</t>
  </si>
  <si>
    <t>1qZ-a0BeL3hRyRq4l3YXrwKyyqKN5gkchWbLgF1XfHNo</t>
  </si>
  <si>
    <t>https://docs.google.com/document/d/1qZ-a0BeL3hRyRq4l3YXrwKyyqKN5gkchWbLgF1XfHNo/edit?usp=drivesdk</t>
  </si>
  <si>
    <t>Document successfully created; Document successfully merged; Emails Sent: [To: Nikki.Dix@floridadep.gov,blythe.odzinski@floridadep.gov,stephanie.windham@floridadep.gov,lia.sansom@floridadep.gov; CC: shannon.dunnigan@floridadep.gov; Reply To: shannon.dunnigan@floridadep.gov]; Run via form trigger as education@gtmnerr.org; Timestamp: Dec 16 2019 8:55 AM</t>
  </si>
  <si>
    <t>1OPJyWfnlaorB8XlVsMWimPBNc-pOQRB-7mepBOTyZ_U</t>
  </si>
  <si>
    <t>https://docs.google.com/document/d/1OPJyWfnlaorB8XlVsMWimPBNc-pOQRB-7mepBOTyZ_U/edit?usp=drivesdk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</si>
  <si>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Dec 16 2019 12:10 PM</t>
  </si>
  <si>
    <t>1LC1IYvAnDIH6sgJDDdHDIbOJPCKDdI8tSBH5EYeaN9I</t>
  </si>
  <si>
    <t>https://docs.google.com/document/d/1LC1IYvAnDIH6sgJDDdHDIbOJPCKDdI8tSBH5EYeaN9I/edit?usp=drivesdk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</si>
  <si>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Dec 18 2019 9:47 AM</t>
  </si>
  <si>
    <t>1txL1NkJIk-erA6B1p-O-zeeuqlFx5VgDXw_om0hByYQ</t>
  </si>
  <si>
    <t>https://docs.google.com/document/d/1txL1NkJIk-erA6B1p-O-zeeuqlFx5VgDXw_om0hByYQ/edit?usp=drivesdk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</si>
  <si>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Dec 19 2019 9:46 AM</t>
  </si>
  <si>
    <t>1NN0E003fhNBJAqT_4wA1n1fHv_OIrnwXZ5Cod5eNRaQ</t>
  </si>
  <si>
    <t>https://docs.google.com/document/d/1NN0E003fhNBJAqT_4wA1n1fHv_OIrnwXZ5Cod5eNRaQ/edit?usp=drivesdk</t>
  </si>
  <si>
    <t>Document successfully created; Document successfully merged; Emails Sent: [To: Nikki.Dix@floridadep.gov,blythe.odzinski@floridadep.gov,stephanie.windham@floridadep.gov,lia.sansom@floridadep.gov; CC: n00836133@unf.edu; Reply To: n00836133@unf.edu]; Run via form trigger as education@gtmnerr.org; Timestamp: Dec 19 2019 10:14 AM</t>
  </si>
  <si>
    <t>1zuFEsKkrq9M6ZGAYBwp5wojo8R4vd7PN6fTx65IXQLA</t>
  </si>
  <si>
    <t>https://docs.google.com/document/d/1zuFEsKkrq9M6ZGAYBwp5wojo8R4vd7PN6fTx65IXQLA/edit?usp=drivesdk</t>
  </si>
  <si>
    <t>Document successfully created; Document successfully merged; Emails Sent: [To: Nikki.Dix@floridadep.gov,blythe.odzinski@floridadep.gov,stephanie.windham@floridadep.gov,lia.sansom@floridadep.gov; CC: jessica.lee@FloridaDEP.gov; Reply To: jessica.lee@FloridaDEP.gov]; Run via form trigger as education@gtmnerr.org; Timestamp: Dec 20 2019 2:04 PM</t>
  </si>
  <si>
    <t>1sv52haYJAAYeV34nrDRRcelkEHhfK9YUVlfLYziSVak</t>
  </si>
  <si>
    <t>https://docs.google.com/document/d/1sv52haYJAAYeV34nrDRRcelkEHhfK9YUVlfLYziSVak/edit?usp=drivesdk</t>
  </si>
  <si>
    <t>Document successfully created; Document successfully merged; Emails Sent: [To: Nikki.Dix@floridadep.gov,blythe.odzinski@floridadep.gov,stephanie.windham@floridadep.gov,lia.sansom@floridadep.gov; CC: jessica.lee@FloridaDEP.gov; Reply To: jessica.lee@FloridaDEP.gov]; Run via form trigger as education@gtmnerr.org; Timestamp: Dec 30 2019 11:16 AM</t>
  </si>
  <si>
    <t>1JWAEHsDzvl7pbzZIbe-Lnfe9jqYcORBAu_2CLinmP9I</t>
  </si>
  <si>
    <t>https://docs.google.com/document/d/1JWAEHsDzvl7pbzZIbe-Lnfe9jqYcORBAu_2CLinmP9I/edit?usp=drivesdk</t>
  </si>
  <si>
    <t>Document successfully created; Document successfully merged; Emails Sent: [To: Pamela.Marcum@floridadep.gov,blythe.odzinski@floridadep.gov,stephanie.windham@floridadep.gov,lia.sansom@floridadep.gov; CC: rubeall57@gmail.com; Reply To: rubeall57@gmail.com]; Run via form trigger as education@gtmnerr.org; Timestamp: Jan 5 2020 2:57 PM</t>
  </si>
  <si>
    <t>1VRt0LSeu7WyUk5Y7qIS1MvLNZbbwax7OHCqNDHhV_5I</t>
  </si>
  <si>
    <t>https://docs.google.com/document/d/1VRt0LSeu7WyUk5Y7qIS1MvLNZbbwax7OHCqNDHhV_5I/edit?usp=drivesdk</t>
  </si>
  <si>
    <t>Document successfully created; Document successfully merged; Emails Sent: [To: Nikki.Dix@floridadep.gov,blythe.odzinski@floridadep.gov,stephanie.windham@floridadep.gov,lia.sansom@floridadep.gov; CC: Pamela.Marcum@dep.state.fl.us; Reply To: Pamela.Marcum@dep.state.fl.us]; Run via form trigger as education@gtmnerr.org; Timestamp: Jan 6 2020 9:30 AM</t>
  </si>
  <si>
    <t>1NYiCZEIo7QdI_MM5AwnxQK2cMAuJkE80A2NIC2gwWG0</t>
  </si>
  <si>
    <t>https://docs.google.com/document/d/1NYiCZEIo7QdI_MM5AwnxQK2cMAuJkE80A2NIC2gwWG0/edit?usp=drivesdk</t>
  </si>
  <si>
    <t>Document successfully created; Document successfully merged; Emails Sent: [To: Nikki.Dix@floridadep.gov,blythe.odzinski@floridadep.gov,stephanie.windham@floridadep.gov,lia.sansom@floridadep.gov; CC: jessica.lee@FloridaDEP.gov; Reply To: jessica.lee@FloridaDEP.gov]; Run via form trigger as education@gtmnerr.org; Timestamp: Jan 7 2020 6:42 AM</t>
  </si>
  <si>
    <t>1k0IdqPD1MwqAUXUbNoCmwSxEsgGIxR9bse9b6Hn5OQA</t>
  </si>
  <si>
    <t>https://docs.google.com/document/d/1k0IdqPD1MwqAUXUbNoCmwSxEsgGIxR9bse9b6Hn5OQA/edit?usp=drivesdk</t>
  </si>
  <si>
    <t>Document successfully created; Document successfully merged; Emails Sent: [To: Nikki.Dix@floridadep.gov,blythe.odzinski@floridadep.gov,stephanie.windham@floridadep.gov,lia.sansom@floridadep.gov; CC: shannon.dunnigan@dep.state.fl.us; Reply To: shannon.dunnigan@dep.state.fl.us]; Run via form trigger as education@gtmnerr.org; Timestamp: Jan 8 2020 9:46 AM</t>
  </si>
  <si>
    <t>1SY1AFQABS1m_0urwA1wQqKcjqLgVxHFlzqV64VS0i00</t>
  </si>
  <si>
    <t>https://docs.google.com/document/d/1SY1AFQABS1m_0urwA1wQqKcjqLgVxHFlzqV64VS0i00/edit?usp=drivesdk</t>
  </si>
  <si>
    <t>Document successfully created; Document successfully merged; Emails Sent: [To: Nikki.Dix@floridadep.gov,blythe.odzinski@floridadep.gov,stephanie.windham@floridadep.gov,lia.sansom@floridadep.gov; CC: jessica.lee@FloridaDEP.gov; Reply To: jessica.lee@FloridaDEP.gov]; Run via form trigger as education@gtmnerr.org; Timestamp: Jan 9 2020 1:50 PM</t>
  </si>
  <si>
    <t>1uIaj-Gpp7jUBol4xzTQxvQ0pO5aT50zo_NhfC8bR37g</t>
  </si>
  <si>
    <t>https://docs.google.com/document/d/1uIaj-Gpp7jUBol4xzTQxvQ0pO5aT50zo_NhfC8bR37g/edit?usp=drivesdk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</si>
  <si>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Jan 12 2020 9:41 PM</t>
  </si>
  <si>
    <t>1YcHhKdoml0dFm_B8BUS-a7DkgHQdzwhNiPXIvKAZZZQ</t>
  </si>
  <si>
    <t>https://docs.google.com/document/d/1YcHhKdoml0dFm_B8BUS-a7DkgHQdzwhNiPXIvKAZZZQ/edit?usp=drivesdk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</si>
  <si>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Jan 13 2020 9:29 AM</t>
  </si>
  <si>
    <t>1vxcCLU2G787dd9A-0n4xk2kuYKjTA12u0o60lx1iN80</t>
  </si>
  <si>
    <t>https://docs.google.com/document/d/1vxcCLU2G787dd9A-0n4xk2kuYKjTA12u0o60lx1iN80/edit?usp=drivesdk</t>
  </si>
  <si>
    <t>Document successfully created; Document successfully merged; Emails Sent: [To: Nikki.Dix@floridadep.gov,blythe.odzinski@floridadep.gov,stephanie.windham@floridadep.gov,lia.sansom@floridadep.gov; CC: n00836133@unf.edu; Reply To: n00836133@unf.edu]; Run via form trigger as education@gtmnerr.org; Timestamp: Jan 13 2020 9:58 AM</t>
  </si>
  <si>
    <t>1P-w6hP0JJ9aHdnVtE_cy6KvZFgiNy7248mQ9lxxED0E</t>
  </si>
  <si>
    <t>https://docs.google.com/document/d/1P-w6hP0JJ9aHdnVtE_cy6KvZFgiNy7248mQ9lxxED0E/edit?usp=drivesdk</t>
  </si>
  <si>
    <t>Document successfully created; Document successfully merged; Emails Sent: [To: Nikki.Dix@floridadep.gov,blythe.odzinski@floridadep.gov,stephanie.windham@floridadep.gov,lia.sansom@floridadep.gov; CC: pamela.marcum@dep.state.fl.us; Reply To: pamela.marcum@dep.state.fl.us]; Run via form trigger as education@gtmnerr.org; Timestamp: Jan 14 2020 7:16 AM</t>
  </si>
  <si>
    <t>1NYFBa2d_xJ4JGqNufDWqoEfYErT_YP-ItFLdDxsGPoY</t>
  </si>
  <si>
    <t>https://docs.google.com/document/d/1NYFBa2d_xJ4JGqNufDWqoEfYErT_YP-ItFLdDxsGPoY/edit?usp=drivesdk</t>
  </si>
  <si>
    <t>Document successfully created; Document successfully merged; Emails Sent: [To: Nikki.Dix@floridadep.gov,blythe.odzinski@floridadep.gov,stephanie.windham@floridadep.gov,lia.sansom@floridadep.gov; CC: alee.knoell@floridadep.gov; Reply To: alee.knoell@floridadep.gov]; Run via form trigger as education@gtmnerr.org; Timestamp: Jan 15 2020 10:07 AM</t>
  </si>
  <si>
    <t>1pWK2QB9i5Z5g8copLcUu0qRLufMVCIWz1GjpKGk2rrc</t>
  </si>
  <si>
    <t>https://docs.google.com/document/d/1pWK2QB9i5Z5g8copLcUu0qRLufMVCIWz1GjpKGk2rrc/edit?usp=drivesdk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</si>
  <si>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Jan 16 2020 9:35 AM</t>
  </si>
  <si>
    <t>1nm0g3cHNcN8q6vpEqBQxuQ23aekuvwwuSIK_-z3m66M</t>
  </si>
  <si>
    <t>https://docs.google.com/document/d/1nm0g3cHNcN8q6vpEqBQxuQ23aekuvwwuSIK_-z3m66M/edit?usp=drivesdk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</si>
  <si>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Jan 17 2020 6:56 AM</t>
  </si>
  <si>
    <t>1vr68pb_4DSQ2K_rUzUyFGyXqreH2BWPTyvGlQ3QgH5g</t>
  </si>
  <si>
    <t>https://docs.google.com/document/d/1vr68pb_4DSQ2K_rUzUyFGyXqreH2BWPTyvGlQ3QgH5g/edit?usp=drivesdk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</si>
  <si>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Jan 23 2020 11:42 AM</t>
  </si>
  <si>
    <t>1HSV531QesEHaEoEg2JNly_qNU43bFBGSW6qae_3nnUQ</t>
  </si>
  <si>
    <t>https://docs.google.com/document/d/1HSV531QesEHaEoEg2JNly_qNU43bFBGSW6qae_3nnUQ/edit?usp=drivesdk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</si>
  <si>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Jan 24 2020 11:08 AM</t>
  </si>
  <si>
    <t>15riDRQddFewoCtebM5b3K6E6ZRdQtOvmuVhW4mV5b2w</t>
  </si>
  <si>
    <t>https://docs.google.com/document/d/15riDRQddFewoCtebM5b3K6E6ZRdQtOvmuVhW4mV5b2w/edit?usp=drivesdk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</si>
  <si>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Jan 28 2020 8:12 AM</t>
  </si>
  <si>
    <t>1dYLg8a56TpS3ThfTK-kkrtwivojDdKrEDFi-Db6t4m8</t>
  </si>
  <si>
    <t>https://docs.google.com/document/d/1dYLg8a56TpS3ThfTK-kkrtwivojDdKrEDFi-Db6t4m8/edit?usp=drivesdk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</si>
  <si>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Jan 28 2020 8:42 AM</t>
  </si>
  <si>
    <t>1bOaRA6MwXwyJSUPqm-CvsNbw2NERAY_Pxr7kt3N14PE</t>
  </si>
  <si>
    <t>https://docs.google.com/document/d/1bOaRA6MwXwyJSUPqm-CvsNbw2NERAY_Pxr7kt3N14PE/edit?usp=drivesdk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</si>
  <si>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Jan 31 2020 6:16 AM</t>
  </si>
  <si>
    <t>1fV7ujv8mdM-qcN_Fc0mQNchgUTDr7W6eeg26ipk9aYg</t>
  </si>
  <si>
    <t>https://docs.google.com/document/d/1fV7ujv8mdM-qcN_Fc0mQNchgUTDr7W6eeg26ipk9aYg/edit?usp=drivesdk</t>
  </si>
  <si>
    <t>Document successfully created; Document successfully merged; Emails Sent: [To: Pamela.Marcum@floridadep.gov,blythe.odzinski@floridadep.gov,stephanie.windham@floridadep.gov,lia.sansom@floridadep.gov; CC: rubeall57@gmail.com; Reply To: rubeall57@gmail.com]; Run via form trigger as education@gtmnerr.org; Timestamp: Feb 2 2020 3:31 PM</t>
  </si>
  <si>
    <t>15pl5c0Q7XZuL6VPAZlgrx280SO-_yYzrHSEimuYcJPo</t>
  </si>
  <si>
    <t>https://docs.google.com/document/d/15pl5c0Q7XZuL6VPAZlgrx280SO-_yYzrHSEimuYcJPo/edit?usp=drivesdk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</si>
  <si>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Feb 2 2020 7:26 PM</t>
  </si>
  <si>
    <t>1cooWly9CdWRCoCXhOkU5l07MF3gtnaqhh5Nb1u9tu_s</t>
  </si>
  <si>
    <t>https://docs.google.com/document/d/1cooWly9CdWRCoCXhOkU5l07MF3gtnaqhh5Nb1u9tu_s/edit?usp=drivesdk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</si>
  <si>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Feb 3 2020 7:56 AM</t>
  </si>
  <si>
    <t>166DeXIgY-PkIiQZNK8YR4ZysxCR-mcL5zODZFyoTbHY</t>
  </si>
  <si>
    <t>https://docs.google.com/document/d/166DeXIgY-PkIiQZNK8YR4ZysxCR-mcL5zODZFyoTbHY/edit?usp=drivesdk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</si>
  <si>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Feb 4 2020 8:53 AM</t>
  </si>
  <si>
    <t>1TfKfUlB6Fa99T2erVf-h8lic_B7WvdB6pl8P347q30k</t>
  </si>
  <si>
    <t>https://docs.google.com/document/d/1TfKfUlB6Fa99T2erVf-h8lic_B7WvdB6pl8P347q30k/edit?usp=drivesdk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</si>
  <si>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Feb 6 2020 11:08 AM</t>
  </si>
  <si>
    <t>1m-gcMOonRqpC2CRrsxi78JIIPqqWlY38V9zr7EZlAqE</t>
  </si>
  <si>
    <t>https://docs.google.com/document/d/1m-gcMOonRqpC2CRrsxi78JIIPqqWlY38V9zr7EZlAqE/edit?usp=drivesdk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</si>
  <si>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Feb 7 2020 11:32 AM</t>
  </si>
  <si>
    <t>1GzkY8izK06JsClfLYPWUgMRmQ1z2XstFMkeF9ixlJuU</t>
  </si>
  <si>
    <t>https://docs.google.com/document/d/1GzkY8izK06JsClfLYPWUgMRmQ1z2XstFMkeF9ixlJuU/edit?usp=drivesdk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</si>
  <si>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Feb 10 2020 6:45 AM</t>
  </si>
  <si>
    <t>1Lso36k1FWGmJAnvnNYjIBwRDm4Ef21ZOWQtvphNocP4</t>
  </si>
  <si>
    <t>https://docs.google.com/document/d/1Lso36k1FWGmJAnvnNYjIBwRDm4Ef21ZOWQtvphNocP4/edit?usp=drivesdk</t>
  </si>
  <si>
    <t>Document successfully created; Document successfully merged; Emails Sent: [To: Shannon.Dunnigan@floridadep.gov,blythe.odzinski@floridadep.gov,stephanie.windham@floridadep.gov,lia.sansom@floridadep.gov; CC: jessica.lee@FloridaDEP.gov; Reply To: jessica.lee@FloridaDEP.gov]; Run via form trigger as education@gtmnerr.org; Timestamp: Feb 10 2020 9:02 AM</t>
  </si>
  <si>
    <t>1q2m23PjSyDH6cKMBxl2b-8RlAo5GVdJl2Ouenx5a5uo</t>
  </si>
  <si>
    <t>https://docs.google.com/document/d/1q2m23PjSyDH6cKMBxl2b-8RlAo5GVdJl2Ouenx5a5uo/edit?usp=drivesdk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</si>
  <si>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Feb 10 2020 1:35 PM</t>
  </si>
  <si>
    <t>1mNPO_GyVd2u4ik4BLnp61fbd_8_ai6qHicV6GLDH8k8</t>
  </si>
  <si>
    <t>https://docs.google.com/document/d/1mNPO_GyVd2u4ik4BLnp61fbd_8_ai6qHicV6GLDH8k8/edit?usp=drivesdk</t>
  </si>
  <si>
    <t>Document successfully created; Document successfully merged; Emails Sent: [To: Pamela.Marcum@floridadep.gov,blythe.odzinski@floridadep.gov,stephanie.windham@floridadep.gov,lia.sansom@floridadep.gov; CC: silas.tanner@floridadep.gov; Reply To: silas.tanner@floridadep.gov]; Run via form trigger as education@gtmnerr.org; Timestamp: Feb 13 2020 11:13 AM</t>
  </si>
  <si>
    <t>1ePCO4KHagTKnQfElL5MNB80sbs6Ckddhbe23E2ORdR4</t>
  </si>
  <si>
    <t>https://docs.google.com/document/d/1ePCO4KHagTKnQfElL5MNB80sbs6Ckddhbe23E2ORdR4/edit?usp=drivesdk</t>
  </si>
  <si>
    <t>Document successfully created; Document successfully merged; Emails Sent: [To: Lia.Sansom@floridadep.gov,blythe.odzinski@floridadep.gov,stephanie.windham@floridadep.gov,lia.sansom@floridadep.gov; CC: pamela.marcum@floridadep.govs; Reply To: pamela.marcum@floridadep.govs]; Run via form trigger as education@gtmnerr.org; Timestamp: Feb 14 2020 7:19 AM</t>
  </si>
  <si>
    <t>1ZpHNgTfwEUWpacFvXODvASHbr6p2nOLQFoJ0GljaYLs</t>
  </si>
  <si>
    <t>https://docs.google.com/document/d/1ZpHNgTfwEUWpacFvXODvASHbr6p2nOLQFoJ0GljaYLs/edit?usp=drivesdk</t>
  </si>
  <si>
    <t>Document successfully created; Document successfully merged; Emails Sent: [To: Shannon.Dunnigan@floridadep.gov,blythe.odzinski@floridadep.gov,stephanie.windham@floridadep.gov,lia.sansom@floridadep.gov; CC: Pamela.Marcum@floridadep.gov; Reply To: Pamela.Marcum@floridadep.gov]; Run via form trigger as education@gtmnerr.org; Timestamp: Feb 17 2020 7:52 AM</t>
  </si>
  <si>
    <t>1LGB0_A8ZWtOqleEzjTfQHtsoVacH_5UR0QbIFYLaSwY</t>
  </si>
  <si>
    <t>https://docs.google.com/document/d/1LGB0_A8ZWtOqleEzjTfQHtsoVacH_5UR0QbIFYLaSwY/edit?usp=drivesdk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</si>
  <si>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Feb 17 2020 9:12 AM</t>
  </si>
  <si>
    <t>1RhI2g82fbFAKOgTn73GYXSoJOtPGjCugxGRLUVIJdgE</t>
  </si>
  <si>
    <t>https://docs.google.com/document/d/1RhI2g82fbFAKOgTn73GYXSoJOtPGjCugxGRLUVIJdgE/edit?usp=drivesdk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</si>
  <si>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Feb 18 2020 9:06 AM</t>
  </si>
  <si>
    <t>141-rvnc8rquWsEyt7uGttPzhVWom2_hCURpb5ShysQk</t>
  </si>
  <si>
    <t>https://docs.google.com/document/d/141-rvnc8rquWsEyt7uGttPzhVWom2_hCURpb5ShysQk/edit?usp=drivesdk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</si>
  <si>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Feb 19 2020 10:01 AM</t>
  </si>
  <si>
    <t>1Bpf7ojuRWo8Q2ilNRXfOzVHky-n3dnqdoLkTMDrGvlI</t>
  </si>
  <si>
    <t>https://docs.google.com/document/d/1Bpf7ojuRWo8Q2ilNRXfOzVHky-n3dnqdoLkTMDrGvlI/edit?usp=drivesdk</t>
  </si>
  <si>
    <t>Document successfully created; Document successfully merged; Emails Sent: [To: Lia.Sansom@floridadep.gov,blythe.odzinski@floridadep.gov,stephanie.windham@floridadep.gov,lia.sansom@floridadep.gov; CC: Pamela.Marcum@dep.state.fl.us; Reply To: Pamela.Marcum@dep.state.fl.us]; Run via form trigger as education@gtmnerr.org; Timestamp: Feb 20 2020 11:07 AM</t>
  </si>
  <si>
    <t>1GJCy6Iex1X0y338RB7zPqTEUS_P0oXSt368XSaXCcXo</t>
  </si>
  <si>
    <t>https://docs.google.com/document/d/1GJCy6Iex1X0y338RB7zPqTEUS_P0oXSt368XSaXCcXo/edit?usp=drivesdk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</si>
  <si>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Feb 25 2020 7:31 AM</t>
  </si>
  <si>
    <t>1I2AtTZU48vr_j58JnQ7CCqEsOX1W59aS-zCtRzHyvls</t>
  </si>
  <si>
    <t>https://docs.google.com/document/d/1I2AtTZU48vr_j58JnQ7CCqEsOX1W59aS-zCtRzHyvls/edit?usp=drivesdk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</si>
  <si>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Feb 26 2020 7:26 AM</t>
  </si>
  <si>
    <t>1ul8UQMETh26VSjI04pzTDRAA7H0Qdpy0QDoLfZHiKdQ</t>
  </si>
  <si>
    <t>https://docs.google.com/document/d/1ul8UQMETh26VSjI04pzTDRAA7H0Qdpy0QDoLfZHiKdQ/edit?usp=drivesdk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</si>
  <si>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Mar 3 2020 7:08 AM</t>
  </si>
  <si>
    <t>1QJ8qppcBqpikeIHSEle2xykj56OYREhWCr7N0Svg7Gw</t>
  </si>
  <si>
    <t>https://docs.google.com/document/d/1QJ8qppcBqpikeIHSEle2xykj56OYREhWCr7N0Svg7Gw/edit?usp=drivesdk</t>
  </si>
  <si>
    <t>Document successfully created; Document successfully merged; Emails Sent: [To: Nikki.Dix@floridadep.gov,blythe.odzinski@floridadep.gov,stephanie.windham@floridadep.gov,lia.sansom@floridadep.gov; CC: shannon.dunnigan@dep.state.fl.us; Reply To: shannon.dunnigan@dep.state.fl.us]; Run via form trigger as education@gtmnerr.org; Timestamp: Mar 4 2020 11:29 AM</t>
  </si>
  <si>
    <t>1t_HbU2KMIckKkFaXHUZlIFIY1bDLUHLlTkApJ2_oJx8</t>
  </si>
  <si>
    <t>https://docs.google.com/document/d/1t_HbU2KMIckKkFaXHUZlIFIY1bDLUHLlTkApJ2_oJx8/edit?usp=drivesdk</t>
  </si>
  <si>
    <t>Document successfully created; Document successfully merged; Emails Sent: [To: Nikki.Dix@floridadep.gov,blythe.odzinski@floridadep.gov,stephanie.windham@floridadep.gov,lia.sansom@floridadep.gov; CC: alee.knoell@floridadep.gov; Reply To: alee.knoell@floridadep.gov]; Run via form trigger as education@gtmnerr.org; Timestamp: Mar 6 2020 8:05 AM</t>
  </si>
  <si>
    <t>1P2c3NmveEvGKnZfUU2uvh3ndH8ul-gQOW4t1mqVBDUc</t>
  </si>
  <si>
    <t>https://docs.google.com/document/d/1P2c3NmveEvGKnZfUU2uvh3ndH8ul-gQOW4t1mqVBDUc/edit?usp=drivesdk</t>
  </si>
  <si>
    <t>Document successfully created; Document successfully merged; Emails Sent: [To: Scott.Eastman@floridadep.gov,blythe.odzinski@floridadep.gov,stephanie.windham@floridadep.gov,lia.sansom@floridadep.gov; CC: james.tomazinis@floridadep.gov; Reply To: james.tomazinis@floridadep.gov]; Run via form trigger as education@gtmnerr.org; Timestamp: Mar 9 2020 7:54 AM</t>
  </si>
  <si>
    <t>1e08sBtJqFFpwenXSA3mAXTmmgBTa13oAmwQ_-AZbT-o</t>
  </si>
  <si>
    <t>https://docs.google.com/document/d/1e08sBtJqFFpwenXSA3mAXTmmgBTa13oAmwQ_-AZbT-o/edit?usp=drivesdk</t>
  </si>
  <si>
    <t>Document successfully created; Document successfully merged; Emails Sent: [To: Nikki.Dix@floridadep.gov,blythe.odzinski@floridadep.gov,stephanie.windham@floridadep.gov,lia.sansom@floridadep.gov; CC: jessica.lee@FloridaDEP.gov; Reply To: jessica.lee@FloridaDEP.gov]; Run via form trigger as education@gtmnerr.org; Timestamp: Mar 9 2020 8:53 AM</t>
  </si>
  <si>
    <t>1PYruXjtnmoBwol6V6flRUmAVDTT2ew1vRytwXaJ8-S0</t>
  </si>
  <si>
    <t>https://docs.google.com/document/d/1PYruXjtnmoBwol6V6flRUmAVDTT2ew1vRytwXaJ8-S0/edit?usp=drivesdk</t>
  </si>
  <si>
    <t>Document successfully created; Document successfully merged; Emails Sent: [To: Pamela.Marcum@floridadep.gov,blythe.odzinski@floridadep.gov,stephanie.windham@floridadep.gov,lia.sansom@floridadep.gov; CC: alee.knoell@floridadep.gov; Reply To: alee.knoell@floridadep.gov]; Run via form trigger as education@gtmnerr.org; Timestamp: Mar 10 2020 9:47 AM</t>
  </si>
  <si>
    <t>17DpJQQVWVYncHaLGLqF9eLNSJ1q7pYx7n6G7Wv-Qn8Y</t>
  </si>
  <si>
    <t>https://docs.google.com/document/d/17DpJQQVWVYncHaLGLqF9eLNSJ1q7pYx7n6G7Wv-Qn8Y/edit?usp=drivesdk</t>
  </si>
  <si>
    <t>Document successfully created; Document successfully merged; Emails Sent: [To: Nikki.Dix@floridadep.gov,blythe.odzinski@floridadep.gov,stephanie.windham@floridadep.gov,lia.sansom@floridadep.gov; CC: jessica.lee@FloridaDEP.gov; Reply To: jessica.lee@FloridaDEP.gov]; Run via form trigger as education@gtmnerr.org; Timestamp: Mar 11 2020 9:51 AM</t>
  </si>
  <si>
    <t>Email</t>
  </si>
  <si>
    <t>1QddUwrZdJV4ixLSWPW4dMpr5PP4hsvdstW26I4rlJwE</t>
  </si>
  <si>
    <t>https://docs.google.com/document/d/1QddUwrZdJV4ixLSWPW4dMpr5PP4hsvdstW26I4rlJwE/edit?usp=drivesdk</t>
  </si>
  <si>
    <t>Document successfully created; Document successfully merged; Emails Sent: [To: Lia.Sansom@floridadep.gov,blythe.odzinski@floridadep.gov,stephanie.windham@floridadep.gov,lia.sansom@floridadep.gov; CC: pamela.marcum@dep.state.fl.us; Reply To: pamela.marcum@dep.state.fl.us]; Run via form trigger as education@gtmnerr.org; Timestamp: Mar 16 2020 5:48 PM</t>
  </si>
  <si>
    <t>1rxH0rJ98dJK4X5bbJaoAGGflljfPw1gwfQL6B2O0ksM</t>
  </si>
  <si>
    <t>https://docs.google.com/document/d/1rxH0rJ98dJK4X5bbJaoAGGflljfPw1gwfQL6B2O0ksM/edit?usp=drivesdk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</si>
  <si>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Mar 17 2020 7:36 AM</t>
  </si>
  <si>
    <t>1F8W1BsCvrmv-v2LIuvU9wyI3HOyz_vu6ru4jTZf1DCY</t>
  </si>
  <si>
    <t>https://docs.google.com/document/d/1F8W1BsCvrmv-v2LIuvU9wyI3HOyz_vu6ru4jTZf1DCY/edit?usp=drivesdk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</si>
  <si>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Mar 18 2020 8:53 AM</t>
  </si>
  <si>
    <t>1exSR_49qEXTDF3RI0mOobFnMhkRjTAvhT5YDX3nR2bY</t>
  </si>
  <si>
    <t>https://docs.google.com/document/d/1exSR_49qEXTDF3RI0mOobFnMhkRjTAvhT5YDX3nR2bY/edit?usp=drivesdk</t>
  </si>
  <si>
    <t>Document successfully created; Document successfully merged; Emails Sent: [To: Lia.Sansom@floridadep.gov,blythe.odzinski@floridadep.gov,stephanie.windham@floridadep.gov,lia.sansom@floridadep.gov; CC: Pamela.Marcum@FloridaDEP.gov; Reply To: Pamela.Marcum@FloridaDEP.gov]; Run via form trigger as education@gtmnerr.org; Timestamp: Mar 18 2020 2:53 PM</t>
  </si>
  <si>
    <t>1RHiYVjY9-4YF0lckv35EaQ4iFUfcAeZtNCiaiKv_ifE</t>
  </si>
  <si>
    <t>https://docs.google.com/document/d/1RHiYVjY9-4YF0lckv35EaQ4iFUfcAeZtNCiaiKv_ifE/edit?usp=drivesdk</t>
  </si>
  <si>
    <t>Document successfully created; Document successfully merged; Emails Sent: [To: Scott.Eastman@floridadep.gov,blythe.odzinski@floridadep.gov,stephanie.windham@floridadep.gov,lia.sansom@floridadep.gov; CC: alee.knoell@floridadep.gov; Reply To: alee.knoell@floridadep.gov]; Run via form trigger as education@gtmnerr.org; Timestamp: Mar 20 2020 11:52 AM</t>
  </si>
  <si>
    <t>1ht4KR4PwKwVAbilS9T0Jtztvf1v3rhtaFwZhObvyNLw</t>
  </si>
  <si>
    <t>https://docs.google.com/document/d/1ht4KR4PwKwVAbilS9T0Jtztvf1v3rhtaFwZhObvyNLw/edit?usp=drivesdk</t>
  </si>
  <si>
    <t>Document successfully created; Document successfully merged; Emails Sent: [To: Nikki.Dix@floridadep.gov,blythe.odzinski@floridadep.gov,stephanie.windham@floridadep.gov,lia.sansom@floridadep.gov; CC: alee.knoell@floridadep.gov; Reply To: alee.knoell@floridadep.gov]; Run via form trigger as education@gtmnerr.org; Timestamp: Mar 20 2020 4:08 PM</t>
  </si>
  <si>
    <t>1cRqHYijxrV4_pPbX7RD-5IfiCLeFdjnQzlrF8IOye4A</t>
  </si>
  <si>
    <t>https://docs.google.com/document/d/1cRqHYijxrV4_pPbX7RD-5IfiCLeFdjnQzlrF8IOye4A/edit?usp=drivesdk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</si>
  <si>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Mar 23 2020 10:35 AM</t>
  </si>
  <si>
    <t>1bJjngFVPOFzo5ER4E-G5LhmHysIoL1jI-vCNoprStLg</t>
  </si>
  <si>
    <t>https://docs.google.com/document/d/1bJjngFVPOFzo5ER4E-G5LhmHysIoL1jI-vCNoprStLg/edit?usp=drivesdk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</si>
  <si>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Mar 23 2020 3:02 PM</t>
  </si>
  <si>
    <t>1SOV0UdB55rp9XaUmInRbqKUHRSOAHs5qFw6sitgs6Wk</t>
  </si>
  <si>
    <t>https://docs.google.com/document/d/1SOV0UdB55rp9XaUmInRbqKUHRSOAHs5qFw6sitgs6Wk/edit?usp=drivesdk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</si>
  <si>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Mar 24 2020 10:12 AM</t>
  </si>
  <si>
    <t>1mRsg8UU1_qBmth7c0i0zK_eqLA777I_HlUDbnNeoAu8</t>
  </si>
  <si>
    <t>https://docs.google.com/document/d/1mRsg8UU1_qBmth7c0i0zK_eqLA777I_HlUDbnNeoAu8/edit?usp=drivesdk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</si>
  <si>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Mar 24 2020 3:43 PM</t>
  </si>
  <si>
    <t>10Pq2dFcd8rSR6s3ZPl55x0eCQEeN13hjFpn0InKn-zA</t>
  </si>
  <si>
    <t>https://docs.google.com/document/d/10Pq2dFcd8rSR6s3ZPl55x0eCQEeN13hjFpn0InKn-zA/edit?usp=drivesdk</t>
  </si>
  <si>
    <t>Document successfully created; Document successfully merged; Emails Sent: [To: Nikki.Dix@floridadep.gov,blythe.odzinski@floridadep.gov,stephanie.windham@floridadep.gov,lia.sansom@floridadep.gov; CC: Pamela.Marcum@dep.state.fl.us; Reply To: Pamela.Marcum@dep.state.fl.us]; Run via form trigger as education@gtmnerr.org; Timestamp: Mar 25 2020 7:42 AM</t>
  </si>
  <si>
    <t>18ueYMCS9PuEcdj5e2Dexz71bQVfSkZh4Jcpu8cHWIEU</t>
  </si>
  <si>
    <t>https://docs.google.com/document/d/18ueYMCS9PuEcdj5e2Dexz71bQVfSkZh4Jcpu8cHWIEU/edit?usp=drivesdk</t>
  </si>
  <si>
    <t>Document successfully created; Document successfully merged; Emails Sent: [To: Nikki.Dix@floridadep.gov,blythe.odzinski@floridadep.gov,stephanie.windham@floridadep.gov,lia.sansom@floridadep.gov; CC: shannon.dunnigan@floridadep.gov; Reply To: shannon.dunnigan@floridadep.gov]; Run via form trigger as education@gtmnerr.org; Timestamp: Mar 25 2020 8:33 AM</t>
  </si>
  <si>
    <t>1eWQd0y-2Ifc1Jo3GIVsL30Yze6kP_BNpjmRFsdCugbA</t>
  </si>
  <si>
    <t>https://docs.google.com/document/d/1eWQd0y-2Ifc1Jo3GIVsL30Yze6kP_BNpjmRFsdCugbA/edit?usp=drivesdk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</si>
  <si>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Mar 26 2020 8:07 AM</t>
  </si>
  <si>
    <t>1ZNiHciiuxCGN-TrD_Oge6bnmI0cb_1j_xs7GOnxOotw</t>
  </si>
  <si>
    <t>https://docs.google.com/document/d/1ZNiHciiuxCGN-TrD_Oge6bnmI0cb_1j_xs7GOnxOotw/edit?usp=drivesdk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</si>
  <si>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Apr 1 2020 6:43 AM</t>
  </si>
  <si>
    <t>Silas.Tanner@floridadep.gov</t>
  </si>
  <si>
    <t>1RKPchjyB_hbgCE_J8a9xDp9Nf5vICKyLYAqyTEmWwYQ</t>
  </si>
  <si>
    <t>https://docs.google.com/document/d/1RKPchjyB_hbgCE_J8a9xDp9Nf5vICKyLYAqyTEmWwYQ/edit?usp=drivesdk</t>
  </si>
  <si>
    <t>Document successfully created; Document successfully merged; Emails Sent: [To: Silas.Tanner@floridadep.gov,blythe.odzinski@floridadep.gov,stephanie.windham@floridadep.gov,lia.sansom@floridadep.gov; CC: Pamela.Marcum@floridadep.gov; Reply To: Pamela.Marcum@floridadep.gov]; Run via form trigger as education@gtmnerr.org; Timestamp: Apr 2 2020 10:57 AM</t>
  </si>
  <si>
    <t>1MWTFNf0Lhv2c92QgArvO22rI85RTsw1fU_8zSFOmfMY</t>
  </si>
  <si>
    <t>https://docs.google.com/document/d/1MWTFNf0Lhv2c92QgArvO22rI85RTsw1fU_8zSFOmfMY/edit?usp=drivesdk</t>
  </si>
  <si>
    <t>Document successfully created; Document successfully merged; Emails Sent: [To: Nikki.Dix@floridadep.gov,blythe.odzinski@floridadep.gov,stephanie.windham@floridadep.gov,lia.sansom@floridadep.gov; CC: shannon.dunnigan@dep.state.fl.us; Reply To: shannon.dunnigan@dep.state.fl.us]; Run via form trigger as education@gtmnerr.org; Timestamp: Apr 7 2020 9:32 AM</t>
  </si>
  <si>
    <t>14ChhDbWuhFadEfgUpMMpRE-DlfOhS-DAKG-MgVEaWf4</t>
  </si>
  <si>
    <t>https://docs.google.com/document/d/14ChhDbWuhFadEfgUpMMpRE-DlfOhS-DAKG-MgVEaWf4/edit?usp=drivesdk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</si>
  <si>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Apr 10 2020 6:46 AM</t>
  </si>
  <si>
    <t>1ySb_Wf_HDbpc0L6WS7Fvxm7BA3n0qsprVE5boNnOhyE</t>
  </si>
  <si>
    <t>https://docs.google.com/document/d/1ySb_Wf_HDbpc0L6WS7Fvxm7BA3n0qsprVE5boNnOhyE/edit?usp=drivesdk</t>
  </si>
  <si>
    <t>Document successfully created; Document successfully merged; Emails Sent: [To: Nikki.Dix@floridadep.gov,blythe.odzinski@floridadep.gov,stephanie.windham@floridadep.gov,lia.sansom@floridadep.gov; CC: shannon.dunnigan@dep.state.fl.us; Reply To: shannon.dunnigan@dep.state.fl.us]; Run via form trigger as education@gtmnerr.org; Timestamp: Apr 13 2020 9:03 AM</t>
  </si>
  <si>
    <t>1BD_3j3XqESf1MagD8d-LlTnX-jUffHUZziRlz10u5WA</t>
  </si>
  <si>
    <t>https://docs.google.com/document/d/1BD_3j3XqESf1MagD8d-LlTnX-jUffHUZziRlz10u5WA/edit?usp=drivesdk</t>
  </si>
  <si>
    <t>Document successfully created; Document successfully merged; Emails Sent: [To: Nikki.Dix@floridadep.gov,blythe.odzinski@floridadep.gov,stephanie.windham@floridadep.gov,lia.sansom@floridadep.gov; CC: shannon.dunnigan@dep.state.fl.us; Reply To: shannon.dunnigan@dep.state.fl.us]; Run via form trigger as education@gtmnerr.org; Timestamp: Apr 16 2020 9:27 AM</t>
  </si>
  <si>
    <t>1bvXVf8WmVpH3pfe3D8ofkoXxKTDl4PJARSkF_Gv3FGY</t>
  </si>
  <si>
    <t>https://docs.google.com/document/d/1bvXVf8WmVpH3pfe3D8ofkoXxKTDl4PJARSkF_Gv3FGY/edit?usp=drivesdk</t>
  </si>
  <si>
    <t>Document successfully created; Document successfully merged; Emails Sent: [To: Nikki.Dix@floridadep.gov,blythe.odzinski@floridadep.gov,stephanie.windham@floridadep.gov,lia.sansom@floridadep.gov; CC: silas.tanner@dep.state.fl; Reply To: silas.tanner@dep.state.fl]; Run via form trigger as education@gtmnerr.org; Timestamp: Apr 17 2020 10:47 AM</t>
  </si>
  <si>
    <t>1Sn_beP3kbP-m30Ouz34BZDqRb6UrdvloQgVA8tVVrJg</t>
  </si>
  <si>
    <t>https://docs.google.com/document/d/1Sn_beP3kbP-m30Ouz34BZDqRb6UrdvloQgVA8tVVrJg/edit?usp=drivesdk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</si>
  <si>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Apr 22 2020 8:17 AM</t>
  </si>
  <si>
    <t>1wWWw2_W3NFYQsTK6GU3NuVWpTJA30Wc6ARtYZq28A-8</t>
  </si>
  <si>
    <t>https://docs.google.com/document/d/1wWWw2_W3NFYQsTK6GU3NuVWpTJA30Wc6ARtYZq28A-8/edit?usp=drivesdk</t>
  </si>
  <si>
    <t>Document successfully created; Document successfully merged; Emails Sent: [To: Pamela.Marcum@floridadep.gov,blythe.odzinski@floridadep.gov,stephanie.windham@floridadep.gov,lia.sansom@floridadep.gov; CC: shannon.dunnigan@dep.state.fl.us; Reply To: shannon.dunnigan@dep.state.fl.us]; Run via form trigger as education@gtmnerr.org; Timestamp: Apr 29 2020 9:16 AM</t>
  </si>
  <si>
    <t>1Q3RnEnYWyufu63NNQ7-DOQFAqeNUadnCOGapTsd72fs</t>
  </si>
  <si>
    <t>https://docs.google.com/document/d/1Q3RnEnYWyufu63NNQ7-DOQFAqeNUadnCOGapTsd72fs/edit?usp=drivesdk</t>
  </si>
  <si>
    <t>Document successfully created; Document successfully merged; Emails Sent: [To: Pamela.Marcum@floridadep.gov,blythe.odzinski@floridadep.gov,stephanie.windham@floridadep.gov,lia.sansom@floridadep.gov; CC: shannon.dunnigan@dep.state.fl.us; Reply To: shannon.dunnigan@dep.state.fl.us]; Run via form trigger as education@gtmnerr.org; Timestamp: Apr 29 2020 1:10 PM</t>
  </si>
  <si>
    <t>1sdZXFy4O1v4OgayNenBQ6cwwXuCx4MWi_3l287LgZlE</t>
  </si>
  <si>
    <t>https://docs.google.com/document/d/1sdZXFy4O1v4OgayNenBQ6cwwXuCx4MWi_3l287LgZlE/edit?usp=drivesdk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</si>
  <si>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May 1 2020 8:08 AM</t>
  </si>
  <si>
    <t>1lhvDJUqQ6VbuHFWCSjOTx-d-WCodZhXGqGuhuyYPnIo</t>
  </si>
  <si>
    <t>https://docs.google.com/document/d/1lhvDJUqQ6VbuHFWCSjOTx-d-WCodZhXGqGuhuyYPnIo/edit?usp=drivesdk</t>
  </si>
  <si>
    <t>Document successfully created; Document successfully merged; Emails Sent: [To: Nikki.Dix@floridadep.gov,blythe.odzinski@floridadep.gov,stephanie.windham@floridadep.gov,lia.sansom@floridadep.gov; CC: silas.tanner@dep.state.fl.us; Reply To: silas.tanner@dep.state.fl.us]; Run via form trigger as education@gtmnerr.org; Timestamp: May 5 2020 7:33 AM</t>
  </si>
  <si>
    <t>18sqgyQ0lpg1V9eMGG7WJ7vmIQ_dgCxVILr4C4__E4IU</t>
  </si>
  <si>
    <t>https://docs.google.com/document/d/18sqgyQ0lpg1V9eMGG7WJ7vmIQ_dgCxVILr4C4__E4IU/edit?usp=drivesdk</t>
  </si>
  <si>
    <t>Document successfully created; Document successfully merged; Emails Sent: [To: Nikki.Dix@floridadep.gov,blythe.odzinski@floridadep.gov,stephanie.windham@floridadep.gov,lia.sansom@floridadep.gov; CC: alee.knoell@floridadep.gov; Reply To: alee.knoell@floridadep.gov]; Run via form trigger as education@gtmnerr.org; Timestamp: May 14 2020 11:30 AM</t>
  </si>
  <si>
    <t>1ya1ParIBtADBD_jkTpK00xrw3nvRI4NjwiCkgp2NY8k</t>
  </si>
  <si>
    <t>https://docs.google.com/document/d/1ya1ParIBtADBD_jkTpK00xrw3nvRI4NjwiCkgp2NY8k/edit?usp=drivesdk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</si>
  <si>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May 15 2020 10:11 AM</t>
  </si>
  <si>
    <t>1hfXJFXH3E1tUX8F2g62JVGeOxbDa7Lp7WOe8Xek4Lnc</t>
  </si>
  <si>
    <t>https://docs.google.com/document/d/1hfXJFXH3E1tUX8F2g62JVGeOxbDa7Lp7WOe8Xek4Lnc/edit?usp=drivesdk</t>
  </si>
  <si>
    <t>Document successfully created; Document successfully merged; Emails Sent: [To: Nikki.Dix@floridadep.gov,blythe.odzinski@floridadep.gov,stephanie.windham@floridadep.gov,lia.sansom@floridadep.gov; CC: shannon.dunnigan@floridadep.gov; Reply To: shannon.dunnigan@floridadep.gov]; Run via form trigger as education@gtmnerr.org; Timestamp: May 18 2020 7:27 AM</t>
  </si>
  <si>
    <t>1s9l85XooOHcl3JjhuW9mrAkWSXGvDtchsQtTw8Orqo4</t>
  </si>
  <si>
    <t>https://docs.google.com/document/d/1s9l85XooOHcl3JjhuW9mrAkWSXGvDtchsQtTw8Orqo4/edit?usp=drivesdk</t>
  </si>
  <si>
    <t>Document successfully created; Document successfully merged; Emails Sent: [To: Nikki.Dix@floridadep.gov,blythe.odzinski@floridadep.gov,stephanie.windham@floridadep.gov,lia.sansom@floridadep.gov; CC: shannon.dunnigan@floridadep.gov; Reply To: shannon.dunnigan@floridadep.gov]; Run via form trigger as education@gtmnerr.org; Timestamp: May 19 2020 8:11 AM</t>
  </si>
  <si>
    <t>1ZrYUuVw7eqkXKsFKh5X-XrXKTleWrzXt9HOCbjZ0qpA</t>
  </si>
  <si>
    <t>https://docs.google.com/document/d/1ZrYUuVw7eqkXKsFKh5X-XrXKTleWrzXt9HOCbjZ0qpA/edit?usp=drivesdk</t>
  </si>
  <si>
    <t>Document successfully created; Document successfully merged; Emails Sent: [To: Nikki.Dix@floridadep.gov,blythe.odzinski@floridadep.gov,stephanie.windham@floridadep.gov,lia.sansom@floridadep.gov; CC: Pamela.Marcum@dep.state.fl.us; Reply To: Pamela.Marcum@dep.state.fl.us]; Run via form trigger as education@gtmnerr.org; Timestamp: May 19 2020 10:04 AM</t>
  </si>
  <si>
    <t>1sioxX_7kAwKiYd29kdqEacmGxR4147m8O-gc6jdOMEk</t>
  </si>
  <si>
    <t>https://docs.google.com/document/d/1sioxX_7kAwKiYd29kdqEacmGxR4147m8O-gc6jdOMEk/edit?usp=drivesdk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</si>
  <si>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May 20 2020 8:28 AM</t>
  </si>
  <si>
    <t>1FXSJezVUTVrGBPpx3QrS2ASXwEakTDADX67cWCoa9q0</t>
  </si>
  <si>
    <t>https://docs.google.com/document/d/1FXSJezVUTVrGBPpx3QrS2ASXwEakTDADX67cWCoa9q0/edit?usp=drivesdk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</si>
  <si>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May 28 2020 7:17 AM</t>
  </si>
  <si>
    <t>164-ZNfriHZGOF3Ng0KgkJ2IITAy5FFA293vbwC-uTPc</t>
  </si>
  <si>
    <t>https://docs.google.com/document/d/164-ZNfriHZGOF3Ng0KgkJ2IITAy5FFA293vbwC-uTPc/edit?usp=drivesdk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</si>
  <si>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Jun 1 2020 6:48 AM</t>
  </si>
  <si>
    <t>1FKui5boxPY6pfdmYNthCze8TyBroadTSUwD9x_BkpMc</t>
  </si>
  <si>
    <t>https://docs.google.com/document/d/1FKui5boxPY6pfdmYNthCze8TyBroadTSUwD9x_BkpMc/edit?usp=drivesdk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</si>
  <si>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Jun 3 2020 8:04 AM</t>
  </si>
  <si>
    <t>1YX75KOVPU6rdPBgbPB-1WHfNjmb2BsEEb3dUR5-WNS8</t>
  </si>
  <si>
    <t>https://docs.google.com/document/d/1YX75KOVPU6rdPBgbPB-1WHfNjmb2BsEEb3dUR5-WNS8/edit?usp=drivesdk</t>
  </si>
  <si>
    <t>Document successfully created; Document successfully merged; Emails Sent: [To: Nikki.Dix@floridadep.gov,blythe.odzinski@floridadep.gov,stephanie.windham@floridadep.gov,lia.sansom@floridadep.gov; CC: shannon.dunnigan@floridadep.gov; Reply To: shannon.dunnigan@floridadep.gov]; Run via form trigger as education@gtmnerr.org; Timestamp: Jun 3 2020 8:22 AM</t>
  </si>
  <si>
    <t>1Fuxke1GPjmZmDti8kKZfOZoBG-lB5O6fQPlKVYK6pdI</t>
  </si>
  <si>
    <t>https://docs.google.com/document/d/1Fuxke1GPjmZmDti8kKZfOZoBG-lB5O6fQPlKVYK6pdI/edit?usp=drivesdk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</si>
  <si>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Jun 3 2020 9:02 AM</t>
  </si>
  <si>
    <t>1xSdsO7dggDnMOeFIiLazDilZ_Y5BHrvlys2M7MHoxh8</t>
  </si>
  <si>
    <t>https://docs.google.com/document/d/1xSdsO7dggDnMOeFIiLazDilZ_Y5BHrvlys2M7MHoxh8/edit?usp=drivesdk</t>
  </si>
  <si>
    <t>Document successfully created; Document successfully merged; Emails Sent: [To: Nikki.Dix@floridadep.gov,blythe.odzinski@floridadep.gov,stephanie.windham@floridadep.gov,lia.sansom@floridadep.gov; CC: n00836133@unf.edu; Reply To: n00836133@unf.edu]; Run via form trigger as education@gtmnerr.org; Timestamp: Jun 12 2020 8:53 AM</t>
  </si>
  <si>
    <t>1mPnOS7jC8kvI2BlgVe8wKc6eNG8V-sYOC5x1OCtyzH4</t>
  </si>
  <si>
    <t>https://docs.google.com/document/d/1mPnOS7jC8kvI2BlgVe8wKc6eNG8V-sYOC5x1OCtyzH4/edit?usp=drivesdk</t>
  </si>
  <si>
    <t>Document successfully created; Document successfully merged; Emails Sent: [To: Nikki.Dix@floridadep.gov,blythe.odzinski@floridadep.gov,stephanie.windham@floridadep.gov,lia.sansom@floridadep.gov; CC: n00836133@unf.edu; Reply To: n00836133@unf.edu]; Run via form trigger as education@gtmnerr.org; Timestamp: Jun 13 2020 6:44 AM</t>
  </si>
  <si>
    <t>1dTyYrnhwQjAX3sMStPl1AF6LrKuibSwBLYE9k-OH3q8</t>
  </si>
  <si>
    <t>https://docs.google.com/document/d/1dTyYrnhwQjAX3sMStPl1AF6LrKuibSwBLYE9k-OH3q8/edit?usp=drivesdk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</si>
  <si>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Jun 16 2020 11:45 AM</t>
  </si>
  <si>
    <t>1Dt-ZmkYh9sJc_5nz2kHJYETzZcNnYCNSEdUHBi5zbLk</t>
  </si>
  <si>
    <t>https://docs.google.com/document/d/1Dt-ZmkYh9sJc_5nz2kHJYETzZcNnYCNSEdUHBi5zbLk/edit?usp=drivesdk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</si>
  <si>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Jun 17 2020 7:09 AM</t>
  </si>
  <si>
    <t>1309XjGptEng1kObv6mfBGIue6lck8JxZZAAQB143m_Y</t>
  </si>
  <si>
    <t>https://docs.google.com/document/d/1309XjGptEng1kObv6mfBGIue6lck8JxZZAAQB143m_Y/edit?usp=drivesdk</t>
  </si>
  <si>
    <t>Document successfully created; Document successfully merged; Emails Sent: [To: Shannon.Dunnigan@floridadep.gov,blythe.odzinski@floridadep.gov,stephanie.windham@floridadep.gov,lia.sansom@floridadep.gov; CC: jessica.lee@floridadep.com; Reply To: jessica.lee@floridadep.com]; Run via form trigger as education@gtmnerr.org; Timestamp: Jun 17 2020 7:15 AM</t>
  </si>
  <si>
    <t>1OnbxaTXeSky7m3PTiGynbpPIuXLU4Lrrsd-orTI5bB4</t>
  </si>
  <si>
    <t>https://docs.google.com/document/d/1OnbxaTXeSky7m3PTiGynbpPIuXLU4Lrrsd-orTI5bB4/edit?usp=drivesdk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</si>
  <si>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Jun 17 2020 10:23 AM</t>
  </si>
  <si>
    <t>1Cjb2-AzU_NBOyur8SA9JrJCvulKVrrmuAbi3ag8a9ck</t>
  </si>
  <si>
    <t>https://docs.google.com/document/d/1Cjb2-AzU_NBOyur8SA9JrJCvulKVrrmuAbi3ag8a9ck/edit?usp=drivesdk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</si>
  <si>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Jun 17 2020 3:16 PM</t>
  </si>
  <si>
    <t>1OFTOfRzbVOT0chIp2JvpOjp3qyB-dRFsV1fMGvZ2YOc</t>
  </si>
  <si>
    <t>https://docs.google.com/document/d/1OFTOfRzbVOT0chIp2JvpOjp3qyB-dRFsV1fMGvZ2YOc/edit?usp=drivesdk</t>
  </si>
  <si>
    <t>Document successfully created; Document successfully merged; Emails Sent: [To: Shannon.Dunnigan@floridadep.gov,blythe.odzinski@floridadep.gov,stephanie.windham@floridadep.gov,lia.sansom@floridadep.gov; CC: jessica.lee@floridadep.com; Reply To: jessica.lee@floridadep.com]; Run via form trigger as education@gtmnerr.org; Timestamp: Jun 17 2020 8:54 PM</t>
  </si>
  <si>
    <t>1iz2Vel11zSDZsiIc26uFzdHrE5PzaLzl9KuvA_T_xSg</t>
  </si>
  <si>
    <t>https://docs.google.com/document/d/1iz2Vel11zSDZsiIc26uFzdHrE5PzaLzl9KuvA_T_xSg/edit?usp=drivesdk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</si>
  <si>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Jun 18 2020 9:41 AM</t>
  </si>
  <si>
    <t>178BSnhvFwmawHY74F6CtrmORuUcjGy0ztrYJWIOp00s</t>
  </si>
  <si>
    <t>https://docs.google.com/document/d/178BSnhvFwmawHY74F6CtrmORuUcjGy0ztrYJWIOp00s/edit?usp=drivesdk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</si>
  <si>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Jun 25 2020 7:58 AM</t>
  </si>
  <si>
    <t>1wBMLTcTzN9Zqq0u-IaOJHhOFQmOphW-iC0VzVbo5WnI</t>
  </si>
  <si>
    <t>https://docs.google.com/document/d/1wBMLTcTzN9Zqq0u-IaOJHhOFQmOphW-iC0VzVbo5WnI/edit?usp=drivesdk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</si>
  <si>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Jun 30 2020 8:56 AM</t>
  </si>
  <si>
    <t>1sorxRew_pzwegTFEaF7rvDo2cZ-5GSHY1uilWuQtjWQ</t>
  </si>
  <si>
    <t>https://docs.google.com/document/d/1sorxRew_pzwegTFEaF7rvDo2cZ-5GSHY1uilWuQtjWQ/edit?usp=drivesdk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</si>
  <si>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Jul 1 2020 9:10 AM</t>
  </si>
  <si>
    <t>1_E6_g5iposFy2WcBX--JAtTlDMw8mQI9CnaZjAGUTc4</t>
  </si>
  <si>
    <t>https://docs.google.com/document/d/1_E6_g5iposFy2WcBX--JAtTlDMw8mQI9CnaZjAGUTc4/edit?usp=drivesdk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</si>
  <si>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Jul 2 2020 7:51 AM</t>
  </si>
  <si>
    <t>1LKiFdPF2xoMtV-oMNwqBiUn6ICyiGtn1tnknYxYQ9Ls</t>
  </si>
  <si>
    <t>https://docs.google.com/document/d/1LKiFdPF2xoMtV-oMNwqBiUn6ICyiGtn1tnknYxYQ9Ls/edit?usp=drivesdk</t>
  </si>
  <si>
    <t>Document successfully created; Document successfully merged; Emails Sent: [To: Nikki.Dix@floridadep.gov,blythe.odzinski@floridadep.gov,stephanie.windham@floridadep.gov,lia.sansom@floridadep.gov; CC: silas.tanner@floridadep.gov; Reply To: silas.tanner@floridadep.gov]; Run via form trigger as education@gtmnerr.org; Timestamp: Jul 7 2020 8:31 AM</t>
  </si>
  <si>
    <t>1m1C7qH-RvtISodVTzFnc0zCfaESvlpdUWqL7qXa2jAI</t>
  </si>
  <si>
    <t>https://docs.google.com/document/d/1m1C7qH-RvtISodVTzFnc0zCfaESvlpdUWqL7qXa2jAI/edit?usp=drivesdk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</si>
  <si>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Jul 14 2020 8:04 AM</t>
  </si>
  <si>
    <t>1X9wfvTORjybGnVdhkI654jew_V9OeuF-Dtd6PT2PZgc</t>
  </si>
  <si>
    <t>https://docs.google.com/document/d/1X9wfvTORjybGnVdhkI654jew_V9OeuF-Dtd6PT2PZgc/edit?usp=drivesdk</t>
  </si>
  <si>
    <t>Document successfully created; Document successfully merged; Emails Sent: [To: Nikki.Dix@floridadep.gov,blythe.odzinski@floridadep.gov,stephanie.windham@floridadep.gov,lia.sansom@floridadep.gov; CC: jessica.lee@floridadep.gov; Reply To: jessica.lee@floridadep.gov]; Run via form trigger as education@gtmnerr.org; Timestamp: Jul 15 2020 6:26 AM</t>
  </si>
  <si>
    <t>1fXMWL0MZGV41kK88Fec-z8NpdovkfB2-VJnskCTii8Y</t>
  </si>
  <si>
    <t>https://docs.google.com/document/d/1fXMWL0MZGV41kK88Fec-z8NpdovkfB2-VJnskCTii8Y/edit?usp=drivesdk</t>
  </si>
  <si>
    <t>Document successfully created; Document successfully merged; Emails Sent: [To: Nikki.Dix@floridadep.gov,blythe.odzinski@floridadep.gov,stephanie.windham@floridadep.gov,lia.sansom@floridadep.gov; CC: pamela.marcum@floridadep.gov; Reply To: pamela.marcum@floridadep.gov]; Run via form trigger as education@gtmnerr.org; Timestamp: Jul 15 2020 6:39 AM</t>
  </si>
  <si>
    <t>1RJLYcS9IsMyhVVNWNhAD2e09aoyEC06a4739oiXVskI</t>
  </si>
  <si>
    <t>https://docs.google.com/document/d/1RJLYcS9IsMyhVVNWNhAD2e09aoyEC06a4739oiXVskI/edit?usp=drivesdk</t>
  </si>
  <si>
    <t>Document successfully created; Document successfully merged; Emails Sent: [To: Nikki.Dix@floridadep.gov,blythe.odzinski@floridadep.gov,stephanie.windham@floridadep.gov,lia.sansom@floridadep.gov; CC: jessica.lee@floridadep.gov; Reply To: jessica.lee@floridadep.gov]; Run via form trigger as education@gtmnerr.org; Timestamp: Jul 15 2020 6:40 PM</t>
  </si>
  <si>
    <t>1nN7xLUceiqkgIR5qXSYfcLXQYVdvjss9mABDETalDM0</t>
  </si>
  <si>
    <t>https://docs.google.com/document/d/1nN7xLUceiqkgIR5qXSYfcLXQYVdvjss9mABDETalDM0/edit?usp=drivesdk</t>
  </si>
  <si>
    <t>Document successfully created; Document successfully merged; Emails Sent: [To: Pamela.Marcum@floridadep.gov,blythe.odzinski@floridadep.gov,stephanie.windham@floridadep.gov,lia.sansom@floridadep.gov; CC: silas.tanner@dep.state.fl.us; Reply To: silas.tanner@dep.state.fl.us]; Run via form trigger as education@gtmnerr.org; Timestamp: Jul 21 2020 9:35 AM</t>
  </si>
  <si>
    <t>JST</t>
  </si>
  <si>
    <t>14oulgEg-yJPFmQSY4bD3bdsJ4sA8mYaLqVL8UtUMh5E</t>
  </si>
  <si>
    <t>https://docs.google.com/document/d/14oulgEg-yJPFmQSY4bD3bdsJ4sA8mYaLqVL8UtUMh5E/edit?usp=drivesdk</t>
  </si>
  <si>
    <t>Document successfully created; Document successfully merged; Emails Sent: [To: Silas.Tanner@floridadep.gov,blythe.odzinski@floridadep.gov,stephanie.windham@floridadep.gov,lia.sansom@floridadep.gov; CC: pamela.marcum@floridadep.gov; Reply To: pamela.marcum@floridadep.gov]; Run via form trigger as education@gtmnerr.org; Timestamp: Jul 22 2020 12:49 PM</t>
  </si>
  <si>
    <t>1byzPSWRScHvsiX5XKkYHTFEcYBwG1NT4fDZv-yHyYEk</t>
  </si>
  <si>
    <t>https://docs.google.com/document/d/1byzPSWRScHvsiX5XKkYHTFEcYBwG1NT4fDZv-yHyYEk/edit?usp=drivesdk</t>
  </si>
  <si>
    <t>Document successfully created; Document successfully merged; Emails Sent: [To: blythe.odzinski@floridadep.gov,stephanie.windham@floridadep.gov,lia.sansom@floridadep.gov; CC: pamela.marcum@floridadep.gov; Reply To: pamela.marcum@floridadep.gov]; Run via form trigger as education@gtmnerr.org; Timestamp: Jul 27 2020 10:56 AM</t>
  </si>
  <si>
    <t>141L8UhKJis0YSYB7-3YSCuAa6cFHq5iBXy0kgXy5xOI</t>
  </si>
  <si>
    <t>https://docs.google.com/document/d/141L8UhKJis0YSYB7-3YSCuAa6cFHq5iBXy0kgXy5xOI/edit?usp=drivesdk</t>
  </si>
  <si>
    <t>Document successfully created; Document successfully merged; Emails Sent: [To: Shannon.Dunnigan@floridadep.gov,blythe.odzinski@floridadep.gov,stephanie.windham@floridadep.gov,lia.sansom@floridadep.gov; CC: alee.knoell@floridadep.gov; Reply To: alee.knoell@floridadep.gov]; Run via form trigger as education@gtmnerr.org; Timestamp: Jul 28 2020 9:50 AM</t>
  </si>
  <si>
    <t>1aYmJ0p8fesI4eujF2xZto-P721vPgu_tdrmmxkLjpus</t>
  </si>
  <si>
    <t>https://docs.google.com/document/d/1aYmJ0p8fesI4eujF2xZto-P721vPgu_tdrmmxkLjpus/edit?usp=drivesdk</t>
  </si>
  <si>
    <t>Document successfully created; Document successfully merged; Emails Sent: [To: Shannon.Dunnigan@floridadep.gov,blythe.odzinski@floridadep.gov,stephanie.windham@floridadep.gov,lia.sansom@floridadep.gov; CC: alee.knoell@floridadep.gov; Reply To: alee.knoell@floridadep.gov]; Run via form trigger as education@gtmnerr.org; Timestamp: Jul 28 2020 9:46 PM</t>
  </si>
  <si>
    <t>15R6KDcAgMg4g32JX0yb0OtN7Ba7cEz3LJa5uRR2T0aA</t>
  </si>
  <si>
    <t>https://docs.google.com/document/d/15R6KDcAgMg4g32JX0yb0OtN7Ba7cEz3LJa5uRR2T0aA/edit?usp=drivesdk</t>
  </si>
  <si>
    <t>Document successfully created; Document successfully merged; Emails Sent: [To: Shannon.Dunnigan@floridadep.gov,blythe.odzinski@floridadep.gov,stephanie.windham@floridadep.gov,lia.sansom@floridadep.gov; CC: n00836133@unf.edu; Reply To: n00836133@unf.edu]; Run via form trigger as education@gtmnerr.org; Timestamp: Jul 29 2020 12:52 PM</t>
  </si>
  <si>
    <t>Timestamp</t>
  </si>
  <si>
    <t>YOUR NAME</t>
  </si>
  <si>
    <t>YOUR EMAIL</t>
  </si>
  <si>
    <t>Float Plan Holder</t>
  </si>
  <si>
    <t>BOAT RAMP</t>
  </si>
  <si>
    <t>Date you plan to launch</t>
  </si>
  <si>
    <t>Destination</t>
  </si>
  <si>
    <t>Estimated time off the water</t>
  </si>
  <si>
    <t>Time return to office (best estimate)</t>
  </si>
  <si>
    <t>Vessel Details</t>
  </si>
  <si>
    <t>If you selected Canoe(s) or Kayak(s), how many are you taking?</t>
  </si>
  <si>
    <t>Towing Vehicle</t>
  </si>
  <si>
    <t>Who is (are) the Certified Operator(s)?</t>
  </si>
  <si>
    <t>Who is (are) the other individuals on-board?</t>
  </si>
  <si>
    <t>Who is the primary Captain?</t>
  </si>
  <si>
    <t xml:space="preserve"> [Trailer Lights, Tire Pressure, Boat Box with Keys, Tool Kit, PFD's for every passenger, Type IV Throwable, Fuel, Battery, Radio/Cell Check, Anchor &amp; Line, Paddles and/or Push Pole, Boat Hook, First-Aid Kit, Whistle/Horn, Signal Devices, Fire Extinguisher, Navigation Lights]</t>
  </si>
  <si>
    <t xml:space="preserve"> [Tool Kit]</t>
  </si>
  <si>
    <t xml:space="preserve"> [PFD's and Type IV throwable]</t>
  </si>
  <si>
    <t xml:space="preserve"> [Fuel, Battery, and Radio/Cell Check]</t>
  </si>
  <si>
    <t xml:space="preserve"> [Anchor and Line]</t>
  </si>
  <si>
    <t xml:space="preserve"> [Paddles, Push Pole]</t>
  </si>
  <si>
    <t xml:space="preserve"> [Boat Hook]</t>
  </si>
  <si>
    <t xml:space="preserve"> [First-Aid Kit]</t>
  </si>
  <si>
    <t xml:space="preserve"> [Whistle/ Horn]</t>
  </si>
  <si>
    <t xml:space="preserve"> [Signal Devices]</t>
  </si>
  <si>
    <t xml:space="preserve"> [Fire Extinguisher]</t>
  </si>
  <si>
    <t xml:space="preserve"> [Trailer and Boat Lights]</t>
  </si>
  <si>
    <t xml:space="preserve"> [Tire Pressure]</t>
  </si>
  <si>
    <t>Check the Weather (Optional)</t>
  </si>
  <si>
    <t>Check the Tides (Optional)</t>
  </si>
  <si>
    <t>Time you plan to launch</t>
  </si>
  <si>
    <t>Kenneth Rainer</t>
  </si>
  <si>
    <t>KennethCRainer@gmail.com</t>
  </si>
  <si>
    <t>Research/Pam</t>
  </si>
  <si>
    <t>Aunt Kate's</t>
  </si>
  <si>
    <t>Field Station</t>
  </si>
  <si>
    <t>17ft Skill FL0642GW DEP07239</t>
  </si>
  <si>
    <t>Ford F150 2015 (White) - DEP21448</t>
  </si>
  <si>
    <t>Nikki Dix, (352) 219-4079, Pam Marcum, (480) 332-5414</t>
  </si>
  <si>
    <t>Joseph Burgess, Katie Petrinec, (904) 891-2956, Kenneth Rainer, (936) 499-1853, Matt Welsh, (904) 705-5617</t>
  </si>
  <si>
    <t>Joseph Burgess</t>
  </si>
  <si>
    <t>Education</t>
  </si>
  <si>
    <t>F 20ft Sea Ark (Easy 200)</t>
  </si>
  <si>
    <t>Joseph Burgess, Pam Marcum, (480) 332-5414</t>
  </si>
  <si>
    <t>Pam Marcum, (480) 332-5414, Matt Monroe, Kenneth Rainer, (936) 499-1853</t>
  </si>
  <si>
    <t>Nikki Dix, (352) 219-4079</t>
  </si>
  <si>
    <t>Kenneth.Rainer@dep.state.fl.us</t>
  </si>
  <si>
    <t>Vilano Boat Ramp (Campeche Cove)</t>
  </si>
  <si>
    <t>Moses Creek</t>
  </si>
  <si>
    <t>Pam Marcum, (480) 332-5414, Kenneth Rainer, (936) 499-1853</t>
  </si>
  <si>
    <t>Volunteers</t>
  </si>
  <si>
    <t>Kenneth Rainer, (936) 499-1853</t>
  </si>
  <si>
    <t>Usina Boat Ramp (Aunt Kate's)</t>
  </si>
  <si>
    <t>Wright's Landing (Tolomato River)</t>
  </si>
  <si>
    <t>23ft Skiff FL7972LJ DEP07613</t>
  </si>
  <si>
    <t>Erin Elliot, Meghan Higgins, 7-9yr campers (June 13-17, 2016 week)</t>
  </si>
  <si>
    <t>Usina Boat Ramp</t>
  </si>
  <si>
    <t>Shell Bluff and then to tip of Guana Peninsula</t>
  </si>
  <si>
    <t>Erin Elliot, Meghan Higgins, 10-12yr Ocean Week Campers</t>
  </si>
  <si>
    <t>Vilano Boat Ramp</t>
  </si>
  <si>
    <t>Northern Component to conduct Nekton Surveys</t>
  </si>
  <si>
    <t>Ed McGinley</t>
  </si>
  <si>
    <t>Nekton Survey Sample Sites</t>
  </si>
  <si>
    <t>Ed McGinley, Flagler Students</t>
  </si>
  <si>
    <t>Nekton Survey (northern component)</t>
  </si>
  <si>
    <t>Ed McGinley, Molly Hoffman, Tim Mullen</t>
  </si>
  <si>
    <t>Southern Component - Nekton Trawl</t>
  </si>
  <si>
    <t>Josephine Spearman, Nicholas Scheffer, Benjamin Rome, Ed McGinley</t>
  </si>
  <si>
    <t>Nekton Sampling Sites</t>
  </si>
  <si>
    <t>20ft Sea Ark FL5351SJ UNF 2015</t>
  </si>
  <si>
    <t>Southern Component</t>
  </si>
  <si>
    <t>Lia Sansom, Ed McGinley, Two Flagler Students</t>
  </si>
  <si>
    <t>Northern Component for Nekton Survey</t>
  </si>
  <si>
    <t>Ed McGinley, 3 Flagler Students</t>
  </si>
  <si>
    <t>Northern Component of GTM</t>
  </si>
  <si>
    <t>Kenneth Rainer, (936) 499-1853, McCoy students and teachers</t>
  </si>
  <si>
    <t>Northern Component</t>
  </si>
  <si>
    <t>Joe McCoy; Nancy Watson; Mary Turner; Michael Chen; Matthew Petty; Isabella Cioffi; Kaleb Cowart</t>
  </si>
  <si>
    <t>Nikki Dix, (352) 219-4079, Matt Monroe, Ed McGinley</t>
  </si>
  <si>
    <t>Matt Monroe, Ed McGinley</t>
  </si>
  <si>
    <t>Northern Portion of GTM NERR</t>
  </si>
  <si>
    <t>Emma Hanson</t>
  </si>
  <si>
    <t>Guana Peninsula</t>
  </si>
  <si>
    <t>Weather at 9:00 A.M. - 78F, 51% rain, 3mph S</t>
  </si>
  <si>
    <t>Tides: Low at 6:31 A.M. and High at 12:34 P.M.</t>
  </si>
  <si>
    <t>Aunt Kate's Boat Ramp</t>
  </si>
  <si>
    <t>Northern Component (along Guana peninsula)</t>
  </si>
  <si>
    <t>Weather: 8AM, 78F, 15% chance rain, 8mph SSE</t>
  </si>
  <si>
    <t>Tides: High is 6:26AM, Low is 12:38PM</t>
  </si>
  <si>
    <t>7-9yr Summer Campers, Taylor, Silvia, Ashton, Emma</t>
  </si>
  <si>
    <t>Weather (9am): 82F, 7% chance rain, 3mph ESE</t>
  </si>
  <si>
    <t>Tides: Low Tide 5:22AM; High Tide 11:28pm (incoming tide)</t>
  </si>
  <si>
    <t>Josephine Spearman</t>
  </si>
  <si>
    <t>Josephine.Spearman@dep.state.fl.us</t>
  </si>
  <si>
    <t>Guana Dam</t>
  </si>
  <si>
    <t>Guana Lake</t>
  </si>
  <si>
    <t>Kayak(s)</t>
  </si>
  <si>
    <t>7-9yr Campers, Ashton, Emma, Taylor, Sylvia</t>
  </si>
  <si>
    <t>Weather (@9am): 82F, 15% chance rain, 6mph ENE</t>
  </si>
  <si>
    <t>Ashton, Taylor, Sylvia, 10-12yr Campers</t>
  </si>
  <si>
    <t>Weather: 9am 81F, 6% chance rain, 4mph WNW</t>
  </si>
  <si>
    <t>Tides: High Tide (6:04 a.m.), Low Tide (12:16 p.m.)</t>
  </si>
  <si>
    <t>Trey Tester</t>
  </si>
  <si>
    <t>Angelini Project</t>
  </si>
  <si>
    <t>F 20ft Sea Ark (Easy 200) FL8534PY DEP21451</t>
  </si>
  <si>
    <t>Ford F150 2005 (Blue Bomber) - DEP06139</t>
  </si>
  <si>
    <t>Silas Tanner, Scott Eastman, Joseph Burgess, Josie Spearman</t>
  </si>
  <si>
    <t>Good</t>
  </si>
  <si>
    <t>Beautiful</t>
  </si>
  <si>
    <t>Very Very High</t>
  </si>
  <si>
    <t>Pamela Marcum</t>
  </si>
  <si>
    <t>Pamela.Marcum@Dep.state.fl.us</t>
  </si>
  <si>
    <t>Research</t>
  </si>
  <si>
    <t>Bing's Landing</t>
  </si>
  <si>
    <t>Matanzas River &amp; Jordan Island</t>
  </si>
  <si>
    <t>23ft Skiff (Bertha) FL7972LJ DEP07613</t>
  </si>
  <si>
    <t>Ford F150 2008 - DEP18041 (ML)</t>
  </si>
  <si>
    <t>Pam Marcum, (480) 332-5414</t>
  </si>
  <si>
    <t>Ben Mowbray, Weslty Woodward</t>
  </si>
  <si>
    <t>Pam</t>
  </si>
  <si>
    <t>OK</t>
  </si>
  <si>
    <t>Pamela.Marcum@dep.state.fl.us</t>
  </si>
  <si>
    <t>Upper Pellicer Creek</t>
  </si>
  <si>
    <t>Pam Marcum, (480) 332-5414, Remo Mondazzi</t>
  </si>
  <si>
    <t>Ben Mowbray</t>
  </si>
  <si>
    <t>Faver-Dykes</t>
  </si>
  <si>
    <t>Middle Pellicer Creek</t>
  </si>
  <si>
    <t>Greg Hornsby</t>
  </si>
  <si>
    <t>Silas Tanner</t>
  </si>
  <si>
    <t>silas.tanner@floridadep.gov</t>
  </si>
  <si>
    <t>ICW around Pine Island</t>
  </si>
  <si>
    <t>Ford F250 2017 (Moby Dix) - DEP0021578</t>
  </si>
  <si>
    <t>Silas Tanner, Jimmy Tomazinis</t>
  </si>
  <si>
    <t>Adam Rosenblatt, Courtney Lanasa, Mason Thackston</t>
  </si>
  <si>
    <t>Vilano County Ramp</t>
  </si>
  <si>
    <t>ICW: SWMP sites</t>
  </si>
  <si>
    <t>Matthew Sturchio</t>
  </si>
  <si>
    <t>James Tomazinis</t>
  </si>
  <si>
    <t>james.tomazinis@floridadep.gov</t>
  </si>
  <si>
    <t>Stewardship (Aquatic)</t>
  </si>
  <si>
    <t>Guana Nutrient sites</t>
  </si>
  <si>
    <t>Jon Boat FL0484NP DEP06819</t>
  </si>
  <si>
    <t>Aunt Kates</t>
  </si>
  <si>
    <t>Angelini Sites</t>
  </si>
  <si>
    <t>Jimmy Tomazinis</t>
  </si>
  <si>
    <t>Greg</t>
  </si>
  <si>
    <t>Jimmy</t>
  </si>
  <si>
    <t>Frank Butler West Boat Ramp</t>
  </si>
  <si>
    <t>Southern Component (Matanzas River)</t>
  </si>
  <si>
    <t>Joe McCoy, Five High School Students (provided DEP release waivers)</t>
  </si>
  <si>
    <t>Partly Cloudy, High 72 F, 16% rain, wind is 10mph NNW</t>
  </si>
  <si>
    <t>High Tide (4.8') 10:07 AM; Low Tide (-0.2') 4:34 PM</t>
  </si>
  <si>
    <t>Aunt Kate's/Usina</t>
  </si>
  <si>
    <t>Spat Run, Marsh Platforms, Angelini Site</t>
  </si>
  <si>
    <t xml:space="preserve">Pam </t>
  </si>
  <si>
    <t>Pam Marcum</t>
  </si>
  <si>
    <t>Usina</t>
  </si>
  <si>
    <t>Guana River</t>
  </si>
  <si>
    <t>Ben Mowbray (407) 962-8782</t>
  </si>
  <si>
    <t>Benjamin E Mowbray</t>
  </si>
  <si>
    <t>mowbraybenjamin@gmail.com</t>
  </si>
  <si>
    <t>Wright's landing</t>
  </si>
  <si>
    <t>Pam Marcum, (480) 332-5414, Gabriela Canas</t>
  </si>
  <si>
    <t>Ben Mowbray, Jeff Finnan</t>
  </si>
  <si>
    <t>Good, clear</t>
  </si>
  <si>
    <t>Good, high outgoing</t>
  </si>
  <si>
    <t>Shannon Dunnigan, Silas Tanner</t>
  </si>
  <si>
    <t>Tanner</t>
  </si>
  <si>
    <t>Bing's</t>
  </si>
  <si>
    <t>ICW between Rattlesnake Island and Bing's</t>
  </si>
  <si>
    <t>Matt Brown, Westly Woodward, Ally Hartnett</t>
  </si>
  <si>
    <t>Mostly sunny</t>
  </si>
  <si>
    <t>High outgoing</t>
  </si>
  <si>
    <t xml:space="preserve">Vilano </t>
  </si>
  <si>
    <t>Matanzas River</t>
  </si>
  <si>
    <t>Admin Tour Members (see Nikki's email)</t>
  </si>
  <si>
    <t>Ben.Mowbray@dep.state.fl.us</t>
  </si>
  <si>
    <t>Vegetation platforms</t>
  </si>
  <si>
    <t>Pam Marcum, (480) 332-5414, Silas Tanner</t>
  </si>
  <si>
    <t>Benjamin Mowbray, Jennifer Odzinski</t>
  </si>
  <si>
    <t>Washington Oaks Marsh Site</t>
  </si>
  <si>
    <t>Pam Marcum, (480) 332-5414, Silas Tanner, (904) 483-8423</t>
  </si>
  <si>
    <t>Benjamin Mowbray, (407) 962-8782, Gabriela Canas, (904) 891-9743</t>
  </si>
  <si>
    <t>Palm Valley 210 Bridge</t>
  </si>
  <si>
    <t>Pine Island Marsh Site</t>
  </si>
  <si>
    <t>Benjamin Mowbray, (407) 962-8782, Matt Sturchio</t>
  </si>
  <si>
    <t>silas.tanner@dep.state.fl.us</t>
  </si>
  <si>
    <t>Douglas Crane Park &amp; Boat Ramp</t>
  </si>
  <si>
    <t xml:space="preserve">ICW south of 312 - Site 22 (Jason's Creek) </t>
  </si>
  <si>
    <t>Pam Marcum, (480) 332-5414, Silas Tanner, (904) 483-8423, Ben Mowbray, (407) 962-8782</t>
  </si>
  <si>
    <t>Jeff Finnan</t>
  </si>
  <si>
    <t>Green Road Boat Ramp</t>
  </si>
  <si>
    <t>Silas Tanner, (904) 483-8423</t>
  </si>
  <si>
    <t>Benjamin Mowbray, (407) 962-8782, Annie Otto</t>
  </si>
  <si>
    <t>james.tomazinis@dep.state.fl.us</t>
  </si>
  <si>
    <t>Guana NUT sites</t>
  </si>
  <si>
    <t>Jimmy Tomazinis, (904) 547-0094</t>
  </si>
  <si>
    <t>Mike Dickson</t>
  </si>
  <si>
    <t>Upper Tolomato River</t>
  </si>
  <si>
    <t>Ford F150 2008 - DEP18041 (SWMP Thing)</t>
  </si>
  <si>
    <t>Greg Kusel, Patrick Norby</t>
  </si>
  <si>
    <t>Silas.tanner@floridadep.gov</t>
  </si>
  <si>
    <t>Vilano County ramp</t>
  </si>
  <si>
    <t>ICW SWMP sites</t>
  </si>
  <si>
    <t>Silas Tanner, (904) 483-8423, Jimmy Tomazinis, (904) 547-0094</t>
  </si>
  <si>
    <t>Moses Creek floating dock</t>
  </si>
  <si>
    <t>Moses Creek vegetation platforms</t>
  </si>
  <si>
    <t>Canoe(s)</t>
  </si>
  <si>
    <t>Shannon Dunnigan</t>
  </si>
  <si>
    <t>Shannon.Dunnigan@dep.state.fl.us</t>
  </si>
  <si>
    <t>Bings Landing</t>
  </si>
  <si>
    <t>Summerhaven</t>
  </si>
  <si>
    <t>Shannon Dunnigan, (803) 727-5734</t>
  </si>
  <si>
    <t>Shannon</t>
  </si>
  <si>
    <t>Usina Ramp/Aunt Kate's</t>
  </si>
  <si>
    <t>Tolomato River- Angelini Sites</t>
  </si>
  <si>
    <t>Benjamin Mowbray, (407) 962-8782, Christine Angelini, Patrick Norby, Greg Kusel, Annie Otto, Jessica Lee</t>
  </si>
  <si>
    <t>ICW - SWMP sites FM, SS &amp; PI</t>
  </si>
  <si>
    <t>Silas Tanner, (904) 483-8423, Remo Mondazi</t>
  </si>
  <si>
    <t>ben.mowbray@dep.state.fl.us</t>
  </si>
  <si>
    <t>Vilano</t>
  </si>
  <si>
    <t>Check Off</t>
  </si>
  <si>
    <t>Ford 150 2007 with covered cap - DEP06870</t>
  </si>
  <si>
    <t>Joseph Burgess, (904) 599-2723, Ben Mowbray, (407) 962-8782</t>
  </si>
  <si>
    <t>Benjamin Mowbray, (407) 962-8782, Joseph Burgess, (904) 599-2723</t>
  </si>
  <si>
    <t>Crane Park/Shore Drive</t>
  </si>
  <si>
    <t>Matanzas River Marshes</t>
  </si>
  <si>
    <t>Pam Marcum, (480) 332-5414, Ben Mowbray, (407) 962-8782</t>
  </si>
  <si>
    <t>Gabriela Canas, (904) 891-9743</t>
  </si>
  <si>
    <t>Faver-Dykes State Park</t>
  </si>
  <si>
    <t>Pellicer Creek</t>
  </si>
  <si>
    <t>Faer-Dykes State Park</t>
  </si>
  <si>
    <t>Pellicer Creek Transects</t>
  </si>
  <si>
    <t>Annie Otto</t>
  </si>
  <si>
    <t>Spat Run</t>
  </si>
  <si>
    <t>Ben Mowbray, (407) 962-8782</t>
  </si>
  <si>
    <t>Remo and Sam</t>
  </si>
  <si>
    <t>Ben</t>
  </si>
  <si>
    <t>Aunt Kate's / Shore Drive</t>
  </si>
  <si>
    <t>Sam Shaw or Hunter Mathews</t>
  </si>
  <si>
    <t>Summerhaven Nut Run</t>
  </si>
  <si>
    <t>Sam Shaw, Matt Brown, Wesley, Trinity (maybe)</t>
  </si>
  <si>
    <t>ICW SWMP Sites: FM, SS &amp; PI</t>
  </si>
  <si>
    <t>Hunter Mathews</t>
  </si>
  <si>
    <t>Site 1: Angelini Project, Pine Island</t>
  </si>
  <si>
    <t>74 °F, 24% Rain, 11mph South</t>
  </si>
  <si>
    <t>04:48 AM -0.80 L and 10:56 AM 3.92 H</t>
  </si>
  <si>
    <t>Palm Valley</t>
  </si>
  <si>
    <t>Remo</t>
  </si>
  <si>
    <t>Crane Park Shore Drive</t>
  </si>
  <si>
    <t>Tidal Creek North of East Creek</t>
  </si>
  <si>
    <t>Sam Chapman, Matt Hayes, Libby, Chuck, Emily, Ember, Chansotheary</t>
  </si>
  <si>
    <t>ICW b/w Rattlesnake Is. and Bing's</t>
  </si>
  <si>
    <t>Matt Brown, Westly Woodward, Remo Mondazi</t>
  </si>
  <si>
    <t>Shore Dr.</t>
  </si>
  <si>
    <t>Chapman Sites</t>
  </si>
  <si>
    <t>Gabriela Canas, (904) 891-9743, Chapman group</t>
  </si>
  <si>
    <t>Vilano County Ramp; Green Rd</t>
  </si>
  <si>
    <t>ICW SWMP Sites</t>
  </si>
  <si>
    <t>dam</t>
  </si>
  <si>
    <t>Guana sample sites</t>
  </si>
  <si>
    <t>Ford Explorer 2002 - DEP05465 (AP)</t>
  </si>
  <si>
    <t>Whitney Lab</t>
  </si>
  <si>
    <t>Kimbro Sites</t>
  </si>
  <si>
    <t>23ft Skiff (Bertha) FL7972LJ DEP07613, Kayak(s)</t>
  </si>
  <si>
    <t>Kimbro Team</t>
  </si>
  <si>
    <t>Vilano Ramp; Green Rd</t>
  </si>
  <si>
    <t>ICW - SWMP sites</t>
  </si>
  <si>
    <t>Green Rd.</t>
  </si>
  <si>
    <t>Craig + Kimbro's team</t>
  </si>
  <si>
    <t>Fort Matanzas area</t>
  </si>
  <si>
    <t>Tricia Kaiser, Eben Broadbent</t>
  </si>
  <si>
    <t xml:space="preserve">Douglas Crane Park Shore Dr. </t>
  </si>
  <si>
    <t>Spat sites</t>
  </si>
  <si>
    <t>David Kimbro, Rodrigo</t>
  </si>
  <si>
    <t>Jason's Creek/ Matanzas Inlet</t>
  </si>
  <si>
    <t>Kenneth Rainer, (936) 499-1853, Jimmy Tomazinis, (904) 547-0094</t>
  </si>
  <si>
    <t>Gabriela Canas, (904) 891-9743, Emma Hanson, Summer Campers and Summer Camp Interns</t>
  </si>
  <si>
    <t>88F; 2%; 7 mph WNW</t>
  </si>
  <si>
    <t>H (1:35 a.m. | 3.51ft), L (8:21 a.m. | 0.37ft), H (2:06 p.m. | 2.87ft), L (8:17 p.m. | 0.55ft)</t>
  </si>
  <si>
    <t>Jason's Creek / Matanzas Inlet</t>
  </si>
  <si>
    <t>Wright's Landing; Shell Bluff; Angelini Project</t>
  </si>
  <si>
    <t>Kenneth Rainer, (936) 499-1853, Silas Tanner, (904) 483-8423</t>
  </si>
  <si>
    <t>Gabriela Canas, (904) 891-9743, Emma Hanson, Josie Spearman, (386) 627-0816, Summer Campers and Summer Camp Interns</t>
  </si>
  <si>
    <t>87F; 34%; 10 mph ESE (scattered thunderstorms and partly cloudy)</t>
  </si>
  <si>
    <t>H (3:18 a.m. | 3.36ft), L (9:46 a.m. | -0.27ft), H (4:02 p.m. | 3.32ft), L (10:08 p.m. | 0.08ft)</t>
  </si>
  <si>
    <t>Guana WQ sites</t>
  </si>
  <si>
    <t>Sam Shaw, Terri Calleson</t>
  </si>
  <si>
    <t>Tomazinis</t>
  </si>
  <si>
    <t>GTM NERR Northern Component</t>
  </si>
  <si>
    <t>Nikki Dix, (352) 219-4079, Kenneth Rainer, (936) 499-1853</t>
  </si>
  <si>
    <t>UF Professor and Students (with completed Release Waivers)</t>
  </si>
  <si>
    <t>Partly cloudy. A stray shower or thunderstorm is possible. High 89F. Winds WSW at 5 to 10 mph.</t>
  </si>
  <si>
    <t>High 09:43AM (3.82ft); Low 03:37PM (-1.22ft)</t>
  </si>
  <si>
    <t>ICW - Rattlesnake Island to Bing's</t>
  </si>
  <si>
    <t>Hunter Mathews, Matt Brown, Westly Woodward</t>
  </si>
  <si>
    <t>Lighthouse park</t>
  </si>
  <si>
    <t>Greater St. Augustine area</t>
  </si>
  <si>
    <t>Scott Eastman, (904) 501-9267, Pam Marcum, (480) 332-5414, Jimmy Tomazinis, (904) 547-0094</t>
  </si>
  <si>
    <t>Jeff Loflin</t>
  </si>
  <si>
    <t>ICW Summerhaven area</t>
  </si>
  <si>
    <t>Matt Brown</t>
  </si>
  <si>
    <t>Gabriela Canas</t>
  </si>
  <si>
    <t>gabriela.canas@dep.state.fl.us</t>
  </si>
  <si>
    <t>Shore drive boat ramp</t>
  </si>
  <si>
    <t xml:space="preserve">Gabby’s creek </t>
  </si>
  <si>
    <t xml:space="preserve">Gabriela Canas, (904) 891-9743, 2 volunteers Alee knowell, Charles Huber </t>
  </si>
  <si>
    <t xml:space="preserve">Ben Mowbray </t>
  </si>
  <si>
    <t>Afternoon storms</t>
  </si>
  <si>
    <t>11:30 high tide</t>
  </si>
  <si>
    <t>Whitney &amp; Green Rd</t>
  </si>
  <si>
    <t>Kimbro Sites- Pellicer &amp; Moses</t>
  </si>
  <si>
    <t>David Kimbro, Nicole Peckham, Rodrigo</t>
  </si>
  <si>
    <t>Green Rd. Boat Ramp</t>
  </si>
  <si>
    <t>Moses Kimbro Site</t>
  </si>
  <si>
    <t>Nicole Peckham, Adrienne, Rodrigo</t>
  </si>
  <si>
    <t>Sawpit creek</t>
  </si>
  <si>
    <t>Nassauville restoration site and mangroves</t>
  </si>
  <si>
    <t>Scott Eastman, (904) 501-9267, Jimmy Tomazinis, (904) 547-0094</t>
  </si>
  <si>
    <t>Mantanzas River</t>
  </si>
  <si>
    <t>Benjamin Mowbray, (407) 962-8782, Remo Mondazzi</t>
  </si>
  <si>
    <t>Northern Component - Shell Bluff</t>
  </si>
  <si>
    <t>Gabriela Canas, (904) 891-9743, Emma Hanson, Josie Spearman, (386) 627-0816</t>
  </si>
  <si>
    <t>Partly cloudy. A stray shower or thunderstorm is possible. High 89F. Winds SSE at 10 to 15 mph.</t>
  </si>
  <si>
    <t>2:07 AM (-0.02); 7:59 AM (3.53); 1:56 PM (-0.26); 8:26 PM (4.52)</t>
  </si>
  <si>
    <t>Guana lake</t>
  </si>
  <si>
    <t>Kelly Smith</t>
  </si>
  <si>
    <t>Research/Nikki</t>
  </si>
  <si>
    <t>ICW - Summerhaven</t>
  </si>
  <si>
    <t>Shannon Dunnigan, (803) 727-5734, Silas Tanner, (904) 483-8423</t>
  </si>
  <si>
    <t>Oyster Reefs in Tolomato and Guana River</t>
  </si>
  <si>
    <t>Benjamin Mowbray, (407) 962-8782, Nicole Peckham, Rodrigo Pavani, Adrienne Breef-Pilz</t>
  </si>
  <si>
    <t>Reefs in Tolomato</t>
  </si>
  <si>
    <t>Nicole Peckham, Rodrigo Pavani, Adrienne Breef-Pilz</t>
  </si>
  <si>
    <t>Spat Tree Reefs</t>
  </si>
  <si>
    <t>Vilano county ramp</t>
  </si>
  <si>
    <t>Tatum Theodore, Hunter Mathews</t>
  </si>
  <si>
    <t>Green Rd</t>
  </si>
  <si>
    <t>Matanzas River Spat Sites</t>
  </si>
  <si>
    <t>Adrienne Breef-Pilz, Nicole Peckham, Rodrigo Pavani</t>
  </si>
  <si>
    <t>Guana + Tolomato Reefs</t>
  </si>
  <si>
    <t>Rodrigo and Adrienne</t>
  </si>
  <si>
    <t>Doug Crane Boat Ramp</t>
  </si>
  <si>
    <t>ICW - near East Creek / Moultrie Creek</t>
  </si>
  <si>
    <t>Silas Tanner, (904) 483-8423, Gabriela Canas, (904) 891-9743, Remo Mondazi</t>
  </si>
  <si>
    <t>Hunter Mathews, Sam Shaw</t>
  </si>
  <si>
    <t>ben.mowbray@state.dep.fl.us</t>
  </si>
  <si>
    <t>Shore Dr. Boat Ramp</t>
  </si>
  <si>
    <t>FM and SA Reefs</t>
  </si>
  <si>
    <t>will email later</t>
  </si>
  <si>
    <t>Jamie L.</t>
  </si>
  <si>
    <t>Nikki Dix, (352) 219-4079, Jimmy Tomazinis, (904) 547-0094</t>
  </si>
  <si>
    <t>5 LMR people</t>
  </si>
  <si>
    <t>Aunt Kate's Usina Ramp</t>
  </si>
  <si>
    <t>Tolomato River Pine Island</t>
  </si>
  <si>
    <t>Michael Shirley, Shannon Rininger, +5 LMR Reviewers</t>
  </si>
  <si>
    <t>Dam</t>
  </si>
  <si>
    <t>Usina Boat Ramp (Aunt Kates)</t>
  </si>
  <si>
    <t>Northern component (Shell Bluff)</t>
  </si>
  <si>
    <t>Summer Campers (7-9yr &amp; 10-12yr campers)</t>
  </si>
  <si>
    <t>Mainly sunny. A stray shower or thunderstorm is possible. High near 90F. SW winds shifting to ESE at 10 to 15 mph.</t>
  </si>
  <si>
    <t>08:26 AM, 3.96 ft, H --- 2:24 PM, -1.12 ft, L</t>
  </si>
  <si>
    <t>ICW around Summerhaven</t>
  </si>
  <si>
    <t>Shannon Dunnigan, (803) 727-5734, Ben Mowbray, (407) 962-8782</t>
  </si>
  <si>
    <t>Matt Brown, Trinity Hopkins, Hunter Mathews</t>
  </si>
  <si>
    <t>GR and TR Reefs</t>
  </si>
  <si>
    <t>Nicole, Rodrigo, Adrienne, David</t>
  </si>
  <si>
    <t>TR SA and Butler Reefs</t>
  </si>
  <si>
    <t>Nicole, Rodrigo, David, Adrienne</t>
  </si>
  <si>
    <t>Research/Shannon</t>
  </si>
  <si>
    <t>Silas Tanner, (904) 483-8423, Jimmy Tomazinis, (904) 547-0094, Remo Mondazi</t>
  </si>
  <si>
    <t>Jessica Lee, Suzi Porterfield</t>
  </si>
  <si>
    <t>Matt Brown, Megan Wright, Taryn Chaya, Savannah Fann</t>
  </si>
  <si>
    <t>Hat Island marsh site</t>
  </si>
  <si>
    <t>Sam Shaw</t>
  </si>
  <si>
    <t>Shore Drive</t>
  </si>
  <si>
    <t>Marsh Site 22/Jason's Creek</t>
  </si>
  <si>
    <t>pamela.marcum@dep.state.fl.us</t>
  </si>
  <si>
    <t>Gabbys Creek</t>
  </si>
  <si>
    <t>Mark Hester, harris stephens, ches vervaeke</t>
  </si>
  <si>
    <t>F 20ft Sea Ark (Easy 200) FL8534PY DEP21451, 23ft Skiff (Bertha) FL7972LJ DEP07613</t>
  </si>
  <si>
    <t>Kenneth Rainer, (936) 499-1853, Shannon Dunnigan, (803) 727-5734</t>
  </si>
  <si>
    <t>Gabriela Canas, (904) 891-9743, Emma Hanson, Josie Spearman, (386) 627-0816, Summer Camp Inters (5); TOTE Facilitators (3); NERR Employees (4)</t>
  </si>
  <si>
    <t>Kenneth Rainer; Shannon Dunnigan</t>
  </si>
  <si>
    <t>Thunderstorms with locally heavy downpours. High 87F. Winds S at 10 to 15 mph. Chance of rain 90%. Rainfall possibly over one inch.</t>
  </si>
  <si>
    <t xml:space="preserve"> 12:25 PM 4.03ft H</t>
  </si>
  <si>
    <t>Gabby's Creek</t>
  </si>
  <si>
    <t>Remo Mondazzi, Chuck, Emily, Matt Hayes, Ches Vervaeke, Mark Hester, Harris Stevens</t>
  </si>
  <si>
    <t>GR TR reefs</t>
  </si>
  <si>
    <t>Gabby Canas, Matt Hayes, Emily, Chuck</t>
  </si>
  <si>
    <t>Ben.mowbray@dep.state.fl.us</t>
  </si>
  <si>
    <t>TR reefs</t>
  </si>
  <si>
    <t>Nicole, Rodrigo, Adrienne</t>
  </si>
  <si>
    <t>Kendall Doody, Chris Kurtz</t>
  </si>
  <si>
    <t>Emma Hanson, Jessica Lee</t>
  </si>
  <si>
    <t>Guana River WQ sites</t>
  </si>
  <si>
    <t>Silas Tanner, (904) 483-8423, Scott Eastman, (904) 501-9267</t>
  </si>
  <si>
    <t>Gabriela Canas, (904) 891-9743, Matt Hayes, Lorae, Emily, Adam, Sam Chapman</t>
  </si>
  <si>
    <t>ICW - Rattlesnake Is. to Bing's</t>
  </si>
  <si>
    <t>Suzi Porterfield, Matt Brown, Westly Woodward</t>
  </si>
  <si>
    <t xml:space="preserve">James Tomazinis </t>
  </si>
  <si>
    <t>Palatka City Ramp</t>
  </si>
  <si>
    <t>St. John's River near Palatka</t>
  </si>
  <si>
    <t>Master Naturalist Coastal Restoration Class</t>
  </si>
  <si>
    <t>Partly cloudy with afternoon showers or thunderstorms. High 87F. Winds SSE at 10 to 15 mph. Chance of rain 40%.</t>
  </si>
  <si>
    <t>11:46 AM, 5.39ft, H; 5:50 PM, 0.11ft, L</t>
  </si>
  <si>
    <t>James.Tomazinis@floridadep.gov</t>
  </si>
  <si>
    <t>ICW (with Kenneth)</t>
  </si>
  <si>
    <t>Florida Master Naturalist Course</t>
  </si>
  <si>
    <t>Training exercises</t>
  </si>
  <si>
    <t>Robinson Creek oyster reefs</t>
  </si>
  <si>
    <t>four volunteers</t>
  </si>
  <si>
    <t>Tolomato and Guana Rivers</t>
  </si>
  <si>
    <t>Hunter Mathews and Mike Dickson</t>
  </si>
  <si>
    <t>Guana River Reefs</t>
  </si>
  <si>
    <t>Pam Marcum, (480) 332-5414, Ben Mowbray, (407) 962-8782, Remo</t>
  </si>
  <si>
    <t xml:space="preserve">Amy Brownfield, Sooz, Mike Darragh </t>
  </si>
  <si>
    <t>Matanzas River south of 312</t>
  </si>
  <si>
    <t>Suzi Porterfield</t>
  </si>
  <si>
    <t>Mike Darragh</t>
  </si>
  <si>
    <t>Robinson's Creek &amp; Guana River</t>
  </si>
  <si>
    <t>Ford F150 4-door DEP07668</t>
  </si>
  <si>
    <t>shannon.dunnigan@dep.state.fl.us</t>
  </si>
  <si>
    <t>Summerhaven River area</t>
  </si>
  <si>
    <t>Shannon Dunnigan, (803) 727-5734, Silas Tanner, (904) 483-8423, Gabriela Canas, (904) 891-9743, Jessica Lee, Matt Brown</t>
  </si>
  <si>
    <t>Gabby's Creek Chapman Site</t>
  </si>
  <si>
    <t>Bings</t>
  </si>
  <si>
    <t>Annie Otto, Mike Dickson</t>
  </si>
  <si>
    <t>DEP07668 Ford F150 2010</t>
  </si>
  <si>
    <t>Alicia Bishop, Marissa Raymond</t>
  </si>
  <si>
    <t>SWMP Sites</t>
  </si>
  <si>
    <t>Dolphin Creek</t>
  </si>
  <si>
    <t>Tatum Theodore, Morgan Langley, Tim Coons, Chuck Snavely</t>
  </si>
  <si>
    <t>Kimbro Reefs in TR, GR</t>
  </si>
  <si>
    <t>Craig Tinus, Nicole, Adrienne, Rodrigo</t>
  </si>
  <si>
    <t>Guana River WQ Sampling sites</t>
  </si>
  <si>
    <t>Shore Dr. =&gt; Aunt Kate's</t>
  </si>
  <si>
    <t>Kimbro Reefs SA, RC, GR, PI</t>
  </si>
  <si>
    <t>Summerhaven Bridge/Whitney Reefs</t>
  </si>
  <si>
    <t>Tim Coons, Alle Knoell, Jeff Stephenson, George Morgan, Ron Coyne</t>
  </si>
  <si>
    <t>Green Rd. =&gt; Anastasia Lighthouse</t>
  </si>
  <si>
    <t>FM, SR Reefs</t>
  </si>
  <si>
    <t>Alicia</t>
  </si>
  <si>
    <t>Whitney lab</t>
  </si>
  <si>
    <t>Whitney reefs and pellicer spat</t>
  </si>
  <si>
    <t xml:space="preserve">Chris Kurtz, Julie Edwards, Diane </t>
  </si>
  <si>
    <t>Princess Place</t>
  </si>
  <si>
    <t>Pellicer Flats</t>
  </si>
  <si>
    <t>Steve Durham, Cheryl Clark</t>
  </si>
  <si>
    <t>Faver Dykes</t>
  </si>
  <si>
    <t>Pellicer Reefs</t>
  </si>
  <si>
    <t>Marissa Raymond, Mason Schilling, Anna Thorness, Dawn Thorsness</t>
  </si>
  <si>
    <t>Durham Reef</t>
  </si>
  <si>
    <t>Steve Durham, Cheryl, Alicia</t>
  </si>
  <si>
    <t>Devil's Elbow</t>
  </si>
  <si>
    <t>Alicia Bishop, Stephen Durham, Cheryl Clark</t>
  </si>
  <si>
    <t>Pamela.Marcum@de.state.fl.us</t>
  </si>
  <si>
    <t>Cheryl Clark, Steve Durham</t>
  </si>
  <si>
    <t>shannon.dunnigan@floridadep.gov</t>
  </si>
  <si>
    <t>ICW FM</t>
  </si>
  <si>
    <t>Jessica Lee, Hunter Mathews, Westly Woodward</t>
  </si>
  <si>
    <t>shannon</t>
  </si>
  <si>
    <t>Gabriela Canas, (904) 891-9743, Mike Dickson</t>
  </si>
  <si>
    <t>Nikki Dix, (352) 219-4079, Pam Marcum, (480) 332-5414, Cheryl Clark, Remo Mondazzi</t>
  </si>
  <si>
    <t>Steve Durham, Greg Dietl</t>
  </si>
  <si>
    <t>ICW SWMP sites - Pine Island and San Sebastian</t>
  </si>
  <si>
    <t>Gamble Rogers</t>
  </si>
  <si>
    <t>Misquito Ditching in Tomoka</t>
  </si>
  <si>
    <t>Scott Eastman, (904) 501-9267, Kevin Claridge, Annie Otto, Mike Shirley</t>
  </si>
  <si>
    <t>Douglas crane</t>
  </si>
  <si>
    <t>Gabby’s creek</t>
  </si>
  <si>
    <t>Mike dickson</t>
  </si>
  <si>
    <t>Pellicer Creek WQ sites</t>
  </si>
  <si>
    <t>NEAP F150</t>
  </si>
  <si>
    <t>Scott Eastman, (904) 501-9267</t>
  </si>
  <si>
    <t>Whitney</t>
  </si>
  <si>
    <t>Kimbro reefs in Pellicer Flats and near Whitney</t>
  </si>
  <si>
    <t>Summerhaven River</t>
  </si>
  <si>
    <t>Hunter Mathews and Westly Woodward</t>
  </si>
  <si>
    <t>Remo Mondazi, Terri Calleson</t>
  </si>
  <si>
    <t>Washington Oaks marsh platforms</t>
  </si>
  <si>
    <t>Silas Tanner, (904) 483-8423, Ben Mowbray, (407) 962-8782</t>
  </si>
  <si>
    <t>Remo, Jessica</t>
  </si>
  <si>
    <t>Silas</t>
  </si>
  <si>
    <t>Pellicer marsh platforms</t>
  </si>
  <si>
    <t>Joan</t>
  </si>
  <si>
    <t xml:space="preserve">ICW SWMP sites </t>
  </si>
  <si>
    <t>Pellicer Creek Middle Platform</t>
  </si>
  <si>
    <t>Stephen Cabanillas</t>
  </si>
  <si>
    <t>Pine Island Marsh Platforms</t>
  </si>
  <si>
    <t>Salt Run, St. Augustine spat sites</t>
  </si>
  <si>
    <t>Rodrigo Pavani, Nicole Peckham, Adrienne Breef-Pilz</t>
  </si>
  <si>
    <t>Douglas Crane</t>
  </si>
  <si>
    <t>Jason's Creek Platforms</t>
  </si>
  <si>
    <t>Jess, Remo</t>
  </si>
  <si>
    <t>Robinson Creek, Guana River, Tolomato River</t>
  </si>
  <si>
    <t>Rodrigo Pavani, Adrienne Breef-Pilz, Nicole Peckham, Craig Tinus</t>
  </si>
  <si>
    <t>ben.mowbray@dep.state.fl</t>
  </si>
  <si>
    <t>Hat Island Platforms</t>
  </si>
  <si>
    <t>Jessica Lee</t>
  </si>
  <si>
    <t>Aunt Kate's 7:15, Green Rd 12:30, Bings 2:00</t>
  </si>
  <si>
    <t>Spat trees - north to south</t>
  </si>
  <si>
    <t>Alicia Bishop, Diane Downing</t>
  </si>
  <si>
    <t>Moses Creek platforms</t>
  </si>
  <si>
    <t>Westly Woodward</t>
  </si>
  <si>
    <t>Green Rd., Vilano County Ramp</t>
  </si>
  <si>
    <t>S. Tanner</t>
  </si>
  <si>
    <t>Westernmost Pellicer Sentinel Site</t>
  </si>
  <si>
    <t>Pamela.Marcum@hotmail.com</t>
  </si>
  <si>
    <t>Jessica Lee, Allee Knoell</t>
  </si>
  <si>
    <t>Guana River sampling sites</t>
  </si>
  <si>
    <t>Hunter Mathews, Tatum Theodore</t>
  </si>
  <si>
    <t>Hunter Matthews, Ray Grizzle, Melissa Southwell, Craig Tinus, Krystin</t>
  </si>
  <si>
    <t>Palm Valley/210</t>
  </si>
  <si>
    <t>Krystin, Ray Grizzle, Craig Tinus</t>
  </si>
  <si>
    <t>Pine Island</t>
  </si>
  <si>
    <t>Craig Tinus, Melissa Southwell, Jessica Veenstra, Ray Grizzle, Krystin Ward</t>
  </si>
  <si>
    <t>Crane Ramp</t>
  </si>
  <si>
    <t>ICW - Marsh Creek aka "Gabby's Creek"</t>
  </si>
  <si>
    <t>Gabriela Canas, (904) 891-9743, Alee</t>
  </si>
  <si>
    <t>Anastasia, Shore Dr., Green Rd., Washington Oaks</t>
  </si>
  <si>
    <t>Marissa Raymond, Alicia Bishop</t>
  </si>
  <si>
    <t>Tolomato and Guana Kimbro Sites</t>
  </si>
  <si>
    <t>Nicole Peckham, Andre Breef-Pilz, Rodrigo Pavani</t>
  </si>
  <si>
    <t>Silas.Tanner@dep.state.fl.us</t>
  </si>
  <si>
    <t>ICW Living Shorelines site 5</t>
  </si>
  <si>
    <t>Ray Grizzle, Kristen Ward, Emma Hanson, Kelly Smith</t>
  </si>
  <si>
    <t>Kimbro SA and SR sites</t>
  </si>
  <si>
    <t>Craig Tinus, Nicole Peckham, Adrienne Bried-Pilz, Rodrigo Pavani</t>
  </si>
  <si>
    <t xml:space="preserve">Jessica Lee, Jessica Veenstra, Justina Dacey, Ray Grizzle, Krystin Ward, </t>
  </si>
  <si>
    <t>Hunter Mathews, Diane Downing</t>
  </si>
  <si>
    <t>emma.hanson@dep.state.fl.us</t>
  </si>
  <si>
    <t>Pine &amp; Hat Island</t>
  </si>
  <si>
    <t>Tolomat River/Pine Island</t>
  </si>
  <si>
    <t>Pam Marcum, (480) 332-5414, Annie Otto</t>
  </si>
  <si>
    <t>Ray Grizzle</t>
  </si>
  <si>
    <t>Crane Park - Shore Drive</t>
  </si>
  <si>
    <t>Marsh Creek</t>
  </si>
  <si>
    <t>Matt Hayes, Chuck, Emily, Tess</t>
  </si>
  <si>
    <t>Westernmost Transect</t>
  </si>
  <si>
    <t>Pine Island then Hat Island</t>
  </si>
  <si>
    <t>Michael Shirley, John Upton, Melissa</t>
  </si>
  <si>
    <t xml:space="preserve">Mike Darragh </t>
  </si>
  <si>
    <t>Dunnigan</t>
  </si>
  <si>
    <t>Hunter Mathews, Mike Darragh</t>
  </si>
  <si>
    <t>Chapman site and Marsh monitoring platforms</t>
  </si>
  <si>
    <t>Gabby</t>
  </si>
  <si>
    <t>Green Road</t>
  </si>
  <si>
    <t>Moses Creek, Devil's Elbow</t>
  </si>
  <si>
    <t>Nicole Peckham, Rodrigo Pavani, Adrienne Brief-Pilz</t>
  </si>
  <si>
    <t>Pellicer and Devil's Elbow reefs</t>
  </si>
  <si>
    <t>Nicole Peckham, Adrienne Brief-Pilz</t>
  </si>
  <si>
    <t>TR, GR, SR reefs</t>
  </si>
  <si>
    <t>Alicia Bishop</t>
  </si>
  <si>
    <t>Shore 7:30am, Green 9am, Bings 11pm</t>
  </si>
  <si>
    <t xml:space="preserve">Spat Trees - Southern </t>
  </si>
  <si>
    <t>Ford F150 2010 - DEP07668 (4 door)</t>
  </si>
  <si>
    <t>Abby Kuhn</t>
  </si>
  <si>
    <t>Vilano Landing (county ramp)</t>
  </si>
  <si>
    <t>Starting at Mon Dec 03 2018 14:34:36 GMT-0500 (EST)</t>
  </si>
  <si>
    <t>RC, TR, and GR kimbro reefs</t>
  </si>
  <si>
    <t>2010 F150 - DEP07668</t>
  </si>
  <si>
    <t>Pellicer Creek upper</t>
  </si>
  <si>
    <t>Duane Noel</t>
  </si>
  <si>
    <t>Benjamin Mowbray, (407) 962-8782</t>
  </si>
  <si>
    <t>Tom Fox</t>
  </si>
  <si>
    <t>Ken Harp</t>
  </si>
  <si>
    <t>Upper Pellicer</t>
  </si>
  <si>
    <t>Jim Moye</t>
  </si>
  <si>
    <t>james tomazinis</t>
  </si>
  <si>
    <t>Sawpit Creek</t>
  </si>
  <si>
    <t>Nassauville and Nassau sound</t>
  </si>
  <si>
    <t>Scott Eastman, (904) 501-9267, Jimmy Tomazinis, (904) 547-0094, Mike Dicksone</t>
  </si>
  <si>
    <t>Vilano Landing</t>
  </si>
  <si>
    <t>Chapman Middle Site</t>
  </si>
  <si>
    <t>Shore Drive 10a, Green Rd 1p, Bings 3p</t>
  </si>
  <si>
    <t>spat trees</t>
  </si>
  <si>
    <t>Lighthouse 0930, Shore Dr 1130</t>
  </si>
  <si>
    <t>Salt Run &amp; St. Aug Kimbro sites</t>
  </si>
  <si>
    <t>Nicole Peckham, Adrienne Breef-Pilz</t>
  </si>
  <si>
    <t>Tolomato River near airport</t>
  </si>
  <si>
    <t>Jimmy Tomazinis, (904) 547-0094, Ben Mowbray, (407) 962-8782</t>
  </si>
  <si>
    <t>Benjamin Mowbray, (407) 962-8782, Gabriela Canas, (904) 891-9743, Ed McGinley</t>
  </si>
  <si>
    <t>Shore Dr 10am, Aunt Kate's 11am</t>
  </si>
  <si>
    <t>Northern Kimbro sites</t>
  </si>
  <si>
    <t>Adrienne Breef-Pilz, Nicoloe Peckham</t>
  </si>
  <si>
    <t>ICW: SWMP Stations</t>
  </si>
  <si>
    <t>Tolomato River Nekton Sites</t>
  </si>
  <si>
    <t>Doug Plishka, Jeff Finnan, Jim Cedarburg</t>
  </si>
  <si>
    <t>ICW Bings Kimbo sites</t>
  </si>
  <si>
    <t>Kimbro group</t>
  </si>
  <si>
    <t>jimmy</t>
  </si>
  <si>
    <t>Ben Mowbray, (407) 962-8782, Gabriela Canas, (904) 891-9743</t>
  </si>
  <si>
    <t>Matt Sturchio, Allee, Alicia Bishop</t>
  </si>
  <si>
    <t>Devils Elbow</t>
  </si>
  <si>
    <t>Aunt Kate</t>
  </si>
  <si>
    <t>Tolomato</t>
  </si>
  <si>
    <t>Jessica clark, lewis turner, Patrician, Brittany</t>
  </si>
  <si>
    <t>Allee Knoll, Cathy, Mary, Aaron</t>
  </si>
  <si>
    <t>Tolomato/Guana Rivers</t>
  </si>
  <si>
    <t>Jeff Finnan, Terri Calleson</t>
  </si>
  <si>
    <t>Aunt kates</t>
  </si>
  <si>
    <t>Jeff finnan, terri</t>
  </si>
  <si>
    <t>Collin, Remo</t>
  </si>
  <si>
    <t>Connor Kellie, Vicki MacDonald, Barry MacDonald, Jeff Finnan</t>
  </si>
  <si>
    <t>Aunt Kate’s</t>
  </si>
  <si>
    <t>Nikki Dix, (352) 219-4079, Shannon Dunnigan, (803) 727-5734</t>
  </si>
  <si>
    <t>Kates</t>
  </si>
  <si>
    <t>Kenneth is testing Hi Everyone!</t>
  </si>
  <si>
    <t>kennethcrainer@gmail.com</t>
  </si>
  <si>
    <t>North Guana River</t>
  </si>
  <si>
    <t>Benjamin Mowbray, (407) 962-8782, Kenneth Rainer, (936) 499-1853</t>
  </si>
  <si>
    <t>Captain Kenneth</t>
  </si>
  <si>
    <t>It's beautiful -- shame this is only a test</t>
  </si>
  <si>
    <t>nuisance flooding all over</t>
  </si>
  <si>
    <t>Nikki Dix, (352) 219-4079, Silas Tanner, (904) 483-8423, Ben Mowbray, (407) 962-8782</t>
  </si>
  <si>
    <t>B. Mowbray</t>
  </si>
  <si>
    <t>Matanzas river nekton sites</t>
  </si>
  <si>
    <t>Jimmy Tomazinis, (904) 547-0094, Rueben Allen</t>
  </si>
  <si>
    <t>Jeff Finnan, Abi Tabor, Cassie Picard</t>
  </si>
  <si>
    <t>Administration</t>
  </si>
  <si>
    <t>Nikki Dix, (352) 219-4079, Scott Eastman, (904) 501-9267, Pam Marcum, (480) 332-5414, Ben Mowbray, (407) 962-8782</t>
  </si>
  <si>
    <t>Light House, Green Rd., Bing's</t>
  </si>
  <si>
    <t>Southern Spat Run</t>
  </si>
  <si>
    <t>Greg Wilson</t>
  </si>
  <si>
    <t>Matanzas and Tolomato Rivers</t>
  </si>
  <si>
    <t>James.tomazinis@floridadep.gov</t>
  </si>
  <si>
    <t>Mark Collins</t>
  </si>
  <si>
    <t>Vincent Mcclure</t>
  </si>
  <si>
    <t>Faver Dykes State Park</t>
  </si>
  <si>
    <t>Pellicer SWMP platforms</t>
  </si>
  <si>
    <t>Tolomato Nekton sites</t>
  </si>
  <si>
    <t>Jeff Finnan, Chris Kurtz</t>
  </si>
  <si>
    <t>Pam Marcu.</t>
  </si>
  <si>
    <t>Jason Creek Marsh Monitoring Platforms</t>
  </si>
  <si>
    <t>Palm Valley ramp</t>
  </si>
  <si>
    <t>ICW - Pine Island marsh platforms</t>
  </si>
  <si>
    <t>ICW Pine Island marsh monitoring platforms</t>
  </si>
  <si>
    <t>ICW Sombrero Creek - Hat Island SWMP platforms</t>
  </si>
  <si>
    <t>Tolomato River</t>
  </si>
  <si>
    <t>Jeff Finnan, Mary Finnan</t>
  </si>
  <si>
    <t>pamela.marcum@floridadep.gov</t>
  </si>
  <si>
    <t>Shore drive crane park</t>
  </si>
  <si>
    <t xml:space="preserve">Matanzas River </t>
  </si>
  <si>
    <t>Marti,  Cathy</t>
  </si>
  <si>
    <t>Matanzas River nekton sites</t>
  </si>
  <si>
    <t>Ed Mcginley + students</t>
  </si>
  <si>
    <t>Lighthouse</t>
  </si>
  <si>
    <t>Salt Run/St. Aug Inlet</t>
  </si>
  <si>
    <t>Jeff Finnan, Mike Darragh</t>
  </si>
  <si>
    <t>Usina/Aunt Kate's</t>
  </si>
  <si>
    <t>Tolomato River - Across from Wright's Landing</t>
  </si>
  <si>
    <t>Jeff Finnan, Jim Cedarburg</t>
  </si>
  <si>
    <t>Matanzas River Nekton sites</t>
  </si>
  <si>
    <t>Jeff Finnan, Rueben Allen, Ed McGinley, students</t>
  </si>
  <si>
    <t>Lighthouse 9:15, Green Rd 11a, Whitney Lab, 12:30p</t>
  </si>
  <si>
    <t>Salt Run, Devil's Elbow, Pellicer Flats</t>
  </si>
  <si>
    <t>Kala Neighbor</t>
  </si>
  <si>
    <t>St Aug, GR, TR spat trees</t>
  </si>
  <si>
    <t>Shore Dr</t>
  </si>
  <si>
    <t>San Sebastian/Matanzas River SA Spat trees</t>
  </si>
  <si>
    <t>Joseph Turvey</t>
  </si>
  <si>
    <t>Casey McClure</t>
  </si>
  <si>
    <t>Mike Dickson, Chris Kurtz, Maddie Paris</t>
  </si>
  <si>
    <t>Matanzas River Nekton Sites</t>
  </si>
  <si>
    <t>Mike Dickson, Amy Brownfield, Jeff Finnan</t>
  </si>
  <si>
    <t>Nekton sites 18,19,20</t>
  </si>
  <si>
    <t>Jeff Finnan, Mike Dickson, Flagler students</t>
  </si>
  <si>
    <t>Tolomato River - Angelini Sites</t>
  </si>
  <si>
    <t>Patrick Norby</t>
  </si>
  <si>
    <t>Remo Mondazzi</t>
  </si>
  <si>
    <t>Moses Creek Platforms</t>
  </si>
  <si>
    <t>Shore, green, bings, lighthouse</t>
  </si>
  <si>
    <t>Spat trees</t>
  </si>
  <si>
    <t>Joseph Burgess, (904) 599-2723</t>
  </si>
  <si>
    <t>Nicole Peckham, Joey Turvey</t>
  </si>
  <si>
    <t>Tolomato and Guana spat trees</t>
  </si>
  <si>
    <t>Adrienne Breef-Pilz, Nicole Peckham</t>
  </si>
  <si>
    <t>Moses Creek SWMP platforms</t>
  </si>
  <si>
    <t>Pam Marcum, (480) 332-5414, Shannon Dunnigan, (803) 727-5734, Silas Tanner, (904) 483-8423</t>
  </si>
  <si>
    <t>Tolomato &amp; Guana Rivers</t>
  </si>
  <si>
    <t>Suzi, Dickson, Jeff Finnan, Chris Kurtz, Brittany Trawick</t>
  </si>
  <si>
    <t>Tolomato and matanzas Nekton sites</t>
  </si>
  <si>
    <t>Suzi, Jeff Finnan, Dickson, Amy Brownfield, Flagler student</t>
  </si>
  <si>
    <t>Washington Oaks SWMP platforms</t>
  </si>
  <si>
    <t>S. Dunnigan</t>
  </si>
  <si>
    <t>Matanzas Nekton sites</t>
  </si>
  <si>
    <t>Amy Brownfield, Dickson</t>
  </si>
  <si>
    <t>Tolomato River - Airport to Pine Island</t>
  </si>
  <si>
    <t>Nicole Peckham, Adrienned Breef-Pilz</t>
  </si>
  <si>
    <t>Palm Valley Ramp</t>
  </si>
  <si>
    <t>ICW Pine Island SWMP platforms</t>
  </si>
  <si>
    <t>Gabby Canas, Matt Sturchio</t>
  </si>
  <si>
    <t>Douglas Crane SJC ramp</t>
  </si>
  <si>
    <t>ICW "Jason's Creek" SWMP platforms (site 22)</t>
  </si>
  <si>
    <t>Jessica Lee, Remo Mondazi</t>
  </si>
  <si>
    <t>Usina County Ramp</t>
  </si>
  <si>
    <t>ICW - North River: Hat Island SWMP platforms</t>
  </si>
  <si>
    <t>Gabbys Creek - WETFEET site</t>
  </si>
  <si>
    <t>Bella Kitzis</t>
  </si>
  <si>
    <t>J. Tomazinis</t>
  </si>
  <si>
    <t>Salt Run, St Augustine, Matanzas River Spat Trees</t>
  </si>
  <si>
    <t>Terri Calleson</t>
  </si>
  <si>
    <t>Guana/Tolomato Rivers</t>
  </si>
  <si>
    <t xml:space="preserve">Aunt Kate's </t>
  </si>
  <si>
    <t>GTM Guana River launch</t>
  </si>
  <si>
    <t>Guana &amp; Tolomato Rivers</t>
  </si>
  <si>
    <t>Nicole Peckham, Adrienne Breef-Pilz, David Kimbro</t>
  </si>
  <si>
    <t>Pine Island/Guana River</t>
  </si>
  <si>
    <t>David Kimbro, Nicole Peckham, Adrienne Breef-Pilz</t>
  </si>
  <si>
    <t>Pamela Marcu</t>
  </si>
  <si>
    <t>Tolomato Nekton Sites</t>
  </si>
  <si>
    <t>Amy Brownfield, Chris Kurtz, Ed Mahon</t>
  </si>
  <si>
    <t>Suzi Porterfield, Amy Brownfield, Vincent Mclure</t>
  </si>
  <si>
    <t>Charles Snavely</t>
  </si>
  <si>
    <t>Netkon sites 17,18,19,20</t>
  </si>
  <si>
    <t>Jimmy Tomazinis, (904) 547-0094, Mike Dickson</t>
  </si>
  <si>
    <t>Chris Kurtz, Suzi Porterfield</t>
  </si>
  <si>
    <t>Matanzas River - Butler area</t>
  </si>
  <si>
    <t>Moses Flats</t>
  </si>
  <si>
    <t>2018 F150 AP</t>
  </si>
  <si>
    <t>Tolomato River/Guana</t>
  </si>
  <si>
    <t>Joe McCoy and students</t>
  </si>
  <si>
    <t>silas.tanner@dep.state.fl</t>
  </si>
  <si>
    <t>ICW Hat Island platforms, Castillo, Salt Run</t>
  </si>
  <si>
    <t>Maddy Paris, Molly Dent, Chris Kurtz, Cameron Rumsey</t>
  </si>
  <si>
    <t>Palms Fish Camp, Nassauville</t>
  </si>
  <si>
    <t>NEWQ sites</t>
  </si>
  <si>
    <t>Jimmy Tomazinis, (904) 547-0094, Scott Eastman</t>
  </si>
  <si>
    <t>Shore</t>
  </si>
  <si>
    <t>Pam Marcum, (480) 332-5414, Matt Hayes</t>
  </si>
  <si>
    <t>Sam, Candy, Emily</t>
  </si>
  <si>
    <t>Gabby Canas</t>
  </si>
  <si>
    <t>Gabby.Canas@dep.state.fl.us</t>
  </si>
  <si>
    <t>Ches Vervake</t>
  </si>
  <si>
    <t>Gabriela Canas, (904) 891-9743, Harris, Mark, Alex, Adam</t>
  </si>
  <si>
    <t>Ches</t>
  </si>
  <si>
    <t>Gabby creek</t>
  </si>
  <si>
    <t>Matt Hayes</t>
  </si>
  <si>
    <t>Goos</t>
  </si>
  <si>
    <t>Beach Blvd</t>
  </si>
  <si>
    <t>Pablo and Sisters Creek</t>
  </si>
  <si>
    <t>Kelly Smith, Craig Hargis, Chris Kurtz</t>
  </si>
  <si>
    <t>Lighthouse, Shore Dr, Green Rd</t>
  </si>
  <si>
    <t>Spat Trees</t>
  </si>
  <si>
    <t>Alee Knoell</t>
  </si>
  <si>
    <t>Guana/Tolomato</t>
  </si>
  <si>
    <t>Alee Knoell, Adrienne Breef-Pilz, Allison Noble</t>
  </si>
  <si>
    <t>Chris Kurtz</t>
  </si>
  <si>
    <t>Molly Dent, Chris Kirk, Alie Knolles</t>
  </si>
  <si>
    <t>Guana River and Pine Island</t>
  </si>
  <si>
    <t>Adrienne Breek-Pilz, Nicole Peckham, Allison Noble</t>
  </si>
  <si>
    <t>Pam Marcum, (480) 332-5414, Mike Dickson</t>
  </si>
  <si>
    <t>Christine Angelini, Ray Grizzle, Patrick Norby, Molly Dent</t>
  </si>
  <si>
    <t>Molly Dent, Pantrick Norby, Ray Grizzle</t>
  </si>
  <si>
    <t>Jeff Finnan, Mary and Henry Mullin, Becky and Flagler student</t>
  </si>
  <si>
    <t>Chris Kurtz, Trevor, Henry, Liv, Dickson</t>
  </si>
  <si>
    <t>Jeff Finnan, Chris Kurtz, Trevor, Andy, Steve</t>
  </si>
  <si>
    <t>Douglas Crane boat ramp</t>
  </si>
  <si>
    <t>Remo Mondazi, Molly Dent</t>
  </si>
  <si>
    <t>Kayak(s), Canoe/Kayak Trailer DEP06086</t>
  </si>
  <si>
    <t>Pam Marcum, (480) 332-5414, Shannon Dunnigan, (803) 727-5734, Jessica Lee, Alee Knoell</t>
  </si>
  <si>
    <t>Ashley Konon</t>
  </si>
  <si>
    <t>TBD</t>
  </si>
  <si>
    <t>Stetson row course</t>
  </si>
  <si>
    <t>Crane ramp</t>
  </si>
  <si>
    <t>ICW b/w Crane Ramp and Guana river</t>
  </si>
  <si>
    <t>Shane Pangle</t>
  </si>
  <si>
    <t>Pam  Marcum</t>
  </si>
  <si>
    <t>Gabby Canas, Alee Knoell</t>
  </si>
  <si>
    <t>Pam &amp;  Gabby</t>
  </si>
  <si>
    <t>Silas Tanner, (904) 483-8423, Remo Mondazzi</t>
  </si>
  <si>
    <t>Molly Dent</t>
  </si>
  <si>
    <t>Ruben Allen</t>
  </si>
  <si>
    <t>Rubeall57@gmail.com</t>
  </si>
  <si>
    <t>St Augustine</t>
  </si>
  <si>
    <t>Intercoastal WW Pine Island and reutrn</t>
  </si>
  <si>
    <t>Ruben Allen  (904) 860-0083</t>
  </si>
  <si>
    <t>Yes</t>
  </si>
  <si>
    <t>TEST</t>
  </si>
  <si>
    <t>josephine.spearman@FloridaDEP.org</t>
  </si>
  <si>
    <t>Josie Spearman, (386) 627-0816</t>
  </si>
  <si>
    <t>ICW Pine Island</t>
  </si>
  <si>
    <t>Gabriela Canas, (904) 891-9743, Melissa Southwell, Tyler Cooper-Kolb</t>
  </si>
  <si>
    <t>Vilano landing</t>
  </si>
  <si>
    <t>ICW San Sebastian</t>
  </si>
  <si>
    <t>Dickson, Amy, Jeff, Raymond</t>
  </si>
  <si>
    <t>2018 F150 AP truck</t>
  </si>
  <si>
    <t>Adrienne Breef-Pilz, Nicole Peckham, David Kimbro</t>
  </si>
  <si>
    <t>pamela.marcum@Floridadep.gov</t>
  </si>
  <si>
    <t>Green rd</t>
  </si>
  <si>
    <t>Moses flats</t>
  </si>
  <si>
    <t>2018 f150 AP</t>
  </si>
  <si>
    <t>Nicole Peckham, Adrienne Breef-Pilz, David Kimbro, Allison Noble</t>
  </si>
  <si>
    <t>Alee Kneoll, Jeff Finnan</t>
  </si>
  <si>
    <t>Goffinsville and Dee Dee Bartels</t>
  </si>
  <si>
    <t>NEAP WQ sites</t>
  </si>
  <si>
    <t>Goffinsville Park</t>
  </si>
  <si>
    <t>Berg dock reef</t>
  </si>
  <si>
    <t>Cameron Ramsey</t>
  </si>
  <si>
    <t>Pamela.Marcum@FloridaDEP.gov</t>
  </si>
  <si>
    <t>David Kimbro, Adrienne Breef-Pilz, Nicole Peckham, Allison Noble</t>
  </si>
  <si>
    <t>David Kimbro, Nicole Peckham, Adrienne Breef-Pilz, Allison Noble</t>
  </si>
  <si>
    <t>gabriela.canas@dwp.state.fl.us</t>
  </si>
  <si>
    <t>Icw</t>
  </si>
  <si>
    <t>Gabriela Canas, (904) 891-9743, Alee knoell</t>
  </si>
  <si>
    <t>Pam marcum</t>
  </si>
  <si>
    <t>Partly cloudy</t>
  </si>
  <si>
    <t>11:30low</t>
  </si>
  <si>
    <t>ICW SWMP sites &amp; spat oyster trees</t>
  </si>
  <si>
    <t>Alee Knowles</t>
  </si>
  <si>
    <t>Guana tolomato rivers</t>
  </si>
  <si>
    <t>Matanzas nekton sites</t>
  </si>
  <si>
    <t>Amy Brownfield, Alicia Bishop, Suzi Porterfield, Cameron Rumsey</t>
  </si>
  <si>
    <t>Guana and Tolomato Rivers</t>
  </si>
  <si>
    <t>Adrienne Breef-Pilz, Nicole Peckham, Allison Noble</t>
  </si>
  <si>
    <t>Suzi, Matthew, Will, Andy, Molly, Cameron</t>
  </si>
  <si>
    <t>Gabby/marsh creek</t>
  </si>
  <si>
    <t>Alee Knoell, Gabby Canas, Therese Adgie, Emily Geoghegan</t>
  </si>
  <si>
    <t>Tolomato and Matanzas Nekton Sites</t>
  </si>
  <si>
    <t>Scott Eastman, (904) 501-9267, Suzi, Cameron, Zach, Jeff, Jim</t>
  </si>
  <si>
    <t xml:space="preserve">Scott Eastman, (904) 501-9267, Suzi, Andy, Jeff, Cameron, </t>
  </si>
  <si>
    <t>210/Palm valley</t>
  </si>
  <si>
    <t>Pine island marsh site</t>
  </si>
  <si>
    <t>Palm Valley/201 Bridge</t>
  </si>
  <si>
    <t>Pam Marcum, (480) 332-5414, Shannon Dunnigan, (803) 727-5734</t>
  </si>
  <si>
    <t>Dee Dee Bartels and Goffinsville Park</t>
  </si>
  <si>
    <t>Alee Knoell, Jeff Finnan</t>
  </si>
  <si>
    <t>Site 22</t>
  </si>
  <si>
    <t>Moses creek</t>
  </si>
  <si>
    <t>Alee knoell</t>
  </si>
  <si>
    <t>alee.knoell@floridadep.gov</t>
  </si>
  <si>
    <t>NEAP Nekton</t>
  </si>
  <si>
    <t>silas.tanner@flordiadep.gov</t>
  </si>
  <si>
    <t>ICW Swamp Sites</t>
  </si>
  <si>
    <t>Alee knoell, Jeff finnan</t>
  </si>
  <si>
    <t>Silas tanner</t>
  </si>
  <si>
    <t>Jay Leighton</t>
  </si>
  <si>
    <t>Ed, Diane, Jackie, Jeff</t>
  </si>
  <si>
    <t>Faver dykes</t>
  </si>
  <si>
    <t>Pellicer flats</t>
  </si>
  <si>
    <t>Nekton sites 9-20</t>
  </si>
  <si>
    <t>Scott Eastman, (904) 501-9267, Suzi, Jeff, Casey, Spencer</t>
  </si>
  <si>
    <t xml:space="preserve">Jimmy </t>
  </si>
  <si>
    <t>Nekton sites 15-20</t>
  </si>
  <si>
    <t>Ed, Diane, Alicia, Zach, Suzi</t>
  </si>
  <si>
    <t>Faver Dykes SP</t>
  </si>
  <si>
    <t>Pellicer Creek SWMP platforms</t>
  </si>
  <si>
    <t>Alexandria Knoell</t>
  </si>
  <si>
    <t>Salt run</t>
  </si>
  <si>
    <t>Remo Mondazi</t>
  </si>
  <si>
    <t>Pine island swmp platforms</t>
  </si>
  <si>
    <t>Sloan Stephens</t>
  </si>
  <si>
    <t>silas.tanner@Floridadep.gov</t>
  </si>
  <si>
    <t>Crane</t>
  </si>
  <si>
    <t>ICW swmp sites</t>
  </si>
  <si>
    <t>n00836133@unf.edu</t>
  </si>
  <si>
    <t>Ford 4door dep07668</t>
  </si>
  <si>
    <t>Gabriela Canas, (904) 891-9743, Jess lee</t>
  </si>
  <si>
    <t>Sloane Stephens</t>
  </si>
  <si>
    <t>Ford F150 2010 (4 Door) - DEP07668</t>
  </si>
  <si>
    <t>Adrienne Breef-Pilz, Kate</t>
  </si>
  <si>
    <t>17ft Skiff (Marsha) FL0642GW DEP07239</t>
  </si>
  <si>
    <t>Alee Knoell, (619) 750-4833</t>
  </si>
  <si>
    <t>By checking here, you certify that you have checked all of the items listed</t>
  </si>
  <si>
    <t>Washington Oaks veg platforms</t>
  </si>
  <si>
    <t>Alee Knoell, (619) 750-4833, Casey McClure</t>
  </si>
  <si>
    <t>Upper pellicer creek</t>
  </si>
  <si>
    <t>Jay</t>
  </si>
  <si>
    <t>Salt Run</t>
  </si>
  <si>
    <t>Green road</t>
  </si>
  <si>
    <t>Devils elbow</t>
  </si>
  <si>
    <t>Pelicer Creek</t>
  </si>
  <si>
    <t>Palm Valley 210</t>
  </si>
  <si>
    <t>Pine Island platforms</t>
  </si>
  <si>
    <t>S Dunnigan</t>
  </si>
  <si>
    <t>Moses Creek Dock</t>
  </si>
  <si>
    <t>Canoe(s), Kayak(s)</t>
  </si>
  <si>
    <t>Pam Marcum, (480) 332-5414, Shannon Dunnigan, (803) 727-5734, Silas Tanner, (904) 483-8423, Alee Knoell</t>
  </si>
  <si>
    <t>Canoe(s), Kayak(s), Canoe/Kayak Trailer DEP06086</t>
  </si>
  <si>
    <t>Usina Ramp - Aunt Kate's</t>
  </si>
  <si>
    <t>Hat Island monitoring platforms</t>
  </si>
  <si>
    <t>not great</t>
  </si>
  <si>
    <t>Hat Island veg platforms</t>
  </si>
  <si>
    <t xml:space="preserve">Shannon </t>
  </si>
  <si>
    <t>All items in working order</t>
  </si>
  <si>
    <t>Pellicer Creek mouth</t>
  </si>
  <si>
    <t>Vincent McClure</t>
  </si>
  <si>
    <t>Faver Dykes dock</t>
  </si>
  <si>
    <t>Pellicer Creek platforms</t>
  </si>
  <si>
    <t>Ford F150 2008 (SWMP Thing) - DEP18041</t>
  </si>
  <si>
    <t>Suzi</t>
  </si>
  <si>
    <t>Scott Eastman</t>
  </si>
  <si>
    <t>scott.eastman@floridadep.gov</t>
  </si>
  <si>
    <t>Scott</t>
  </si>
  <si>
    <t>Alee Knoell, (619) 750-4833, Sloane Stephens, Esther Duffy</t>
  </si>
  <si>
    <t>jessica.lee@dep.state.fl.us</t>
  </si>
  <si>
    <t>Guana River Rd</t>
  </si>
  <si>
    <t>Nikki</t>
  </si>
  <si>
    <t>Pellicer Mouth</t>
  </si>
  <si>
    <t>Pellicer Middle</t>
  </si>
  <si>
    <t>Stephen Brown</t>
  </si>
  <si>
    <t>Alee Knoell, (619) 750-4833, Esther duffy</t>
  </si>
  <si>
    <t>Tolomato nekton sites</t>
  </si>
  <si>
    <t>Suzi, Carl, Zach, Alex, Brian</t>
  </si>
  <si>
    <t>Lower pellicer creek</t>
  </si>
  <si>
    <t>Alee Knoell, (619) 750-4833, Summer Manestar</t>
  </si>
  <si>
    <t>Faver Dukes</t>
  </si>
  <si>
    <t>Silas.tanner@Floridadep.gov</t>
  </si>
  <si>
    <t>Icw SWMP sites</t>
  </si>
  <si>
    <t>Pellicer</t>
  </si>
  <si>
    <t>Alee Knoell, (619) 750-4833, Zack Lepera</t>
  </si>
  <si>
    <t>Jimmy Tomazinis, (904) 547-0094, Ruben Allen</t>
  </si>
  <si>
    <t>Suzi, Adrienne, Steve, Scott at some point</t>
  </si>
  <si>
    <t>Scott, Suzi, Adrienne</t>
  </si>
  <si>
    <t>Pellicer transects</t>
  </si>
  <si>
    <t>Alee Knoell, (619) 750-4833, Steve Brown</t>
  </si>
  <si>
    <t>WETFEET middle site</t>
  </si>
  <si>
    <t>rubeall57@gmail.com</t>
  </si>
  <si>
    <t>Partly to mostly cloudy</t>
  </si>
  <si>
    <t>Tides good</t>
  </si>
  <si>
    <t>Adrienne Breef-Pilz</t>
  </si>
  <si>
    <t>Tolomato Nekton</t>
  </si>
  <si>
    <t>Suzi, Carl, Jeff, Pam</t>
  </si>
  <si>
    <t>312 Bridge</t>
  </si>
  <si>
    <t>Jon Boat FL FL5992RR DEP21634</t>
  </si>
  <si>
    <t>Nekton sites</t>
  </si>
  <si>
    <t>Suzi, Guenter, Alex, Jeff</t>
  </si>
  <si>
    <t>Matanzas nekton</t>
  </si>
  <si>
    <t>Pam Marcum, (480) 332-5414, Jimmy Tomazinis, (904) 547-0094</t>
  </si>
  <si>
    <t>Suzi, Alicia, Jackie, Diane, Alex</t>
  </si>
  <si>
    <t>Alee Knoell, (619) 750-4833, Jeff Finnan</t>
  </si>
  <si>
    <t>Dee Dee Bartels and Nassauville</t>
  </si>
  <si>
    <t>jmcupp099@gmail.com</t>
  </si>
  <si>
    <t>Six Mile</t>
  </si>
  <si>
    <t>North Guana Lake</t>
  </si>
  <si>
    <t>Bella</t>
  </si>
  <si>
    <t>WETFEET middle</t>
  </si>
  <si>
    <t>Dee Dee Bartels, Nassauville</t>
  </si>
  <si>
    <t>NEAP Nekton sites</t>
  </si>
  <si>
    <t>Caitlyn Tomazinis</t>
  </si>
  <si>
    <t>Test</t>
  </si>
  <si>
    <t>pamela.macum@floridadep.gov</t>
  </si>
  <si>
    <t>Mike, Jeff, Pam, Suzi, Diane</t>
  </si>
  <si>
    <t>Tolomato and Matanzas</t>
  </si>
  <si>
    <t>Jimmy Tomazinis, (904) 547-0094, Ruben</t>
  </si>
  <si>
    <t>Jeff, Jordan, Steve, Suzi</t>
  </si>
  <si>
    <t>Aunt Kate’s 7:30, Shore 11, Green road 12</t>
  </si>
  <si>
    <t>Suzi, Diane</t>
  </si>
  <si>
    <t>J Silas Tanner</t>
  </si>
  <si>
    <t>Dee dee bartels, Nassauville</t>
  </si>
  <si>
    <t>Suzi, Alicia</t>
  </si>
  <si>
    <t>Moses</t>
  </si>
  <si>
    <t>Moses platforms</t>
  </si>
  <si>
    <t xml:space="preserve">Jess, </t>
  </si>
  <si>
    <t>Green Road ramp, Crane ramp, Aunt Kate's</t>
  </si>
  <si>
    <t>Pine Island SWMP site</t>
  </si>
  <si>
    <t>jessica.lee@FloridaDEP.gov</t>
  </si>
  <si>
    <t>Guana</t>
  </si>
  <si>
    <t>Brian Alexander</t>
  </si>
  <si>
    <t>Ford F150 2018 (AP) - DEP21637</t>
  </si>
  <si>
    <t>Alee Knoell, (619) 750-4833, Ellen Leroy Reed</t>
  </si>
  <si>
    <t xml:space="preserve">WETFEET. Middle site </t>
  </si>
  <si>
    <t>Gabriela Canas, (904) 891-9743, Ches verveak, Harris stevens</t>
  </si>
  <si>
    <t>Shore Dr - Crane Park</t>
  </si>
  <si>
    <t>Gabby Creek</t>
  </si>
  <si>
    <t>Ches Veevaeke, Harris Stevens</t>
  </si>
  <si>
    <t>SSAM platforms</t>
  </si>
  <si>
    <t>Alee Knoell, (619) 750-4833, Josie, Candace, Eric, Andrew</t>
  </si>
  <si>
    <t>SWMP Site 22 platforms</t>
  </si>
  <si>
    <t>Jessica Lee, Chris Blanco</t>
  </si>
  <si>
    <t>Webb Property</t>
  </si>
  <si>
    <t>Kelly Smith, Hunter Mathews, Craig Hargis</t>
  </si>
  <si>
    <t>Alee Knoell, (619) 750-4833, Steve Brown, Chris Blanco, Adrienne Breef-Pilz</t>
  </si>
  <si>
    <t>San Sebastian</t>
  </si>
  <si>
    <t>Alee Knoell, (619) 750-4833, Shelby Harrell, Pam Korchun, Rick Fitzgerald</t>
  </si>
  <si>
    <t>Guana Lake and River WQ sites</t>
  </si>
  <si>
    <t>FWC mud boat</t>
  </si>
  <si>
    <t>Butler</t>
  </si>
  <si>
    <t>Moses/Butler Flats</t>
  </si>
  <si>
    <t>Alee Knoell, (619) 750-4833, Adrienne Breef-Pilz, Chris Blanco</t>
  </si>
  <si>
    <t>North and South Spat runs</t>
  </si>
  <si>
    <t>Alee Knoell, (619) 750-4833, Adrienne Breef-Pilz</t>
  </si>
  <si>
    <t>yes</t>
  </si>
  <si>
    <t>Holly Point</t>
  </si>
  <si>
    <t>Lofton Creek and Nassau River Stations</t>
  </si>
  <si>
    <t>Airport Basin/Robinson's Creek</t>
  </si>
  <si>
    <t>Anna Tripp, Steve Brown, Paul Yonally, Kaitlyn Campbell</t>
  </si>
  <si>
    <t>Alee Knoell, (619) 750-4833, Barry MacDonald, Mike Darragh, Nancy Stehno, Candce Killian</t>
  </si>
  <si>
    <t>usina</t>
  </si>
  <si>
    <t>guana river</t>
  </si>
  <si>
    <t>Alee Knoell, (619) 750-4833, Mike Darragh, Vicki MacDonald, Pam Korchun</t>
  </si>
  <si>
    <t>Alee Knoell, (619) 750-4833, Spencer Baba, Shelby Harrell</t>
  </si>
  <si>
    <t>Dee Dee Bartels and Holly Point</t>
  </si>
  <si>
    <t>Ashley Hurley</t>
  </si>
  <si>
    <t>Erin Tice</t>
  </si>
  <si>
    <t>Nikki Dix</t>
  </si>
  <si>
    <t>Alee Knoell, (619) 750-4833, Kaitlyn Campbell</t>
  </si>
  <si>
    <t>Marsh Creek &amp; site 22 platforms</t>
  </si>
  <si>
    <t>Gabriela Canas, (904) 891-9743, Courtney Hackney</t>
  </si>
  <si>
    <t>pamela.marcum@floridadep.govs</t>
  </si>
  <si>
    <t>Butler flats</t>
  </si>
  <si>
    <t>Jeff Finnan, Mike Daragh</t>
  </si>
  <si>
    <t>Alee Knoell, (619) 750-4833, Mike Darragh, Stefana Moscardini, Kelly Sullivan, Paul Yonally</t>
  </si>
  <si>
    <t>Sawpit</t>
  </si>
  <si>
    <t>Nassau/Amelia River Oyster Rakes</t>
  </si>
  <si>
    <t>Jean Olbert, Joe Marchionno and others</t>
  </si>
  <si>
    <t>San Sebastian/Pine Island</t>
  </si>
  <si>
    <t>Alee Knoell, (619) 750-4833, Rauney Mitchell, Traci Yochum, Jeff Finnan, Chris Blanco</t>
  </si>
  <si>
    <t>Robinson's Creek</t>
  </si>
  <si>
    <t>Alee Knoell, (619) 750-4833, Jeff Finnan, Zach Lepera, Spencer Baba</t>
  </si>
  <si>
    <t>Nikki Dix, (352) 219-4079, Pam Marcum, (480) 332-5414, Jimmy Tomazinis, (904) 547-0094</t>
  </si>
  <si>
    <t>Douglas Crane, Green Road</t>
  </si>
  <si>
    <t>ICW SWMP Sites: San Sebastian &amp; Fort Matanzas</t>
  </si>
  <si>
    <t>Chris Blanco</t>
  </si>
  <si>
    <t>ICW Palm Valley</t>
  </si>
  <si>
    <t>ICW Pine Island SWMP station</t>
  </si>
  <si>
    <t>Spat trees SR, GR, TR, SA, FM</t>
  </si>
  <si>
    <t>Alee Knoell, (619) 750-4833, Adrienne Breef-Pilz (TR GR only)</t>
  </si>
  <si>
    <t>Gabby’s Creek</t>
  </si>
  <si>
    <t>Gabriela Canas, (904) 891-9743, Alee Knoell, (619) 750-4833, Chris Blanco</t>
  </si>
  <si>
    <t>Gabbys creek</t>
  </si>
  <si>
    <t xml:space="preserve">Alee Knoell, (619) 750-4833, Mathew Stirchio, Chris blanco, Julie Campbell </t>
  </si>
  <si>
    <t>Holly Point, Dee Dee Bartels</t>
  </si>
  <si>
    <t>NEAP WQ Sites</t>
  </si>
  <si>
    <t>Icw swmp sites</t>
  </si>
  <si>
    <t>Alee Knoell, (619) 750-4833, Chris Blanco</t>
  </si>
  <si>
    <t xml:space="preserve">James Silas Tanner </t>
  </si>
  <si>
    <t>Jess</t>
  </si>
  <si>
    <t>Washington oaks platforms</t>
  </si>
  <si>
    <t>Washington oaks platform</t>
  </si>
  <si>
    <t>Hat Island</t>
  </si>
  <si>
    <t>hat island</t>
  </si>
  <si>
    <t>Platforms</t>
  </si>
  <si>
    <t xml:space="preserve">Platforms </t>
  </si>
  <si>
    <t>Shore dr</t>
  </si>
  <si>
    <t>Pine Island Platforms</t>
  </si>
  <si>
    <t xml:space="preserve">Alee Knoell, (619) 750-4833, Alee is switching with Adrienne Breef-Pilz at 11am </t>
  </si>
  <si>
    <t>Research/Silas</t>
  </si>
  <si>
    <t>ICE SWMP sites</t>
  </si>
  <si>
    <t>Wash Oaks veg platforms</t>
  </si>
  <si>
    <t>Site 22 Platforms</t>
  </si>
  <si>
    <t>SWMP stations ICW</t>
  </si>
  <si>
    <t>Greene St</t>
  </si>
  <si>
    <t>Shore drive</t>
  </si>
  <si>
    <t>Gabbys Creek, FM/SA spat trees</t>
  </si>
  <si>
    <t>Guana dam</t>
  </si>
  <si>
    <t>Guana WQ River sites</t>
  </si>
  <si>
    <t>Jonboat FL5992 RR</t>
  </si>
  <si>
    <t>Jess Lee</t>
  </si>
  <si>
    <t>SWMP sites</t>
  </si>
  <si>
    <t>GTM boat ramp - river</t>
  </si>
  <si>
    <t xml:space="preserve">Guana river </t>
  </si>
  <si>
    <t>Jonboat FL5992RR</t>
  </si>
  <si>
    <t>Shore Dr/Crane Park</t>
  </si>
  <si>
    <t>Site 22 &amp; Gabby's Creek</t>
  </si>
  <si>
    <t>Wet feet middle site</t>
  </si>
  <si>
    <t>Pellicer transects: mouth, mid, fresh</t>
  </si>
  <si>
    <t>jessica.lee@floridadep.com</t>
  </si>
  <si>
    <t>Topper</t>
  </si>
  <si>
    <t>Faver-dykes</t>
  </si>
  <si>
    <t>Upper PC transect</t>
  </si>
  <si>
    <t>Erick Rivuelta</t>
  </si>
  <si>
    <t>Pc middle transect</t>
  </si>
  <si>
    <t>pamela.Marcum@floridadep.gov</t>
  </si>
  <si>
    <t xml:space="preserve">Pellicer Creek </t>
  </si>
  <si>
    <t>Wash oaks platforms</t>
  </si>
  <si>
    <t>Pine island, hat island</t>
  </si>
  <si>
    <t>Spat run Sr-SA-FM-TR-GR</t>
  </si>
  <si>
    <t>jessica.lee@floridadep.gov</t>
  </si>
  <si>
    <t>John boat FL5992rr</t>
  </si>
  <si>
    <t>Hat island</t>
  </si>
  <si>
    <t xml:space="preserve">Moses platforms </t>
  </si>
  <si>
    <t>7/29/0020</t>
  </si>
  <si>
    <t>Wetfeet middle site</t>
  </si>
  <si>
    <t>autocratn</t>
  </si>
  <si>
    <t>autocratp</t>
  </si>
  <si>
    <t>activeMergeId</t>
  </si>
  <si>
    <t>"1ctSKjltsafviQXP39mzumBhJu2FZObAlwHyV1LDGk6w"</t>
  </si>
  <si>
    <t>updateTime</t>
  </si>
  <si>
    <t>"1.587137360473E12"</t>
  </si>
  <si>
    <t>dataSheetId</t>
  </si>
  <si>
    <t>"2.123793054E9"</t>
  </si>
  <si>
    <t>ssId</t>
  </si>
  <si>
    <t>"1ce9lfwY7vbvaG_fBhpw6f6WvZV2zoo9LfXeIdbMZGww"</t>
  </si>
  <si>
    <t>formTriggerSet</t>
  </si>
  <si>
    <t>"TRUE"</t>
  </si>
  <si>
    <t>formTriggerList</t>
  </si>
  <si>
    <t>"[\"1ctSKjltsafviQXP39mzumBhJu2FZObAlwHyV1LDGk6w\"]"</t>
  </si>
  <si>
    <t>dataSheetName</t>
  </si>
  <si>
    <t>"FloatPlanDetails"</t>
  </si>
  <si>
    <t>formTriggerSetBy</t>
  </si>
  <si>
    <t>"kenneth.rainer@gtmnerr.org"</t>
  </si>
  <si>
    <t>v</t>
  </si>
  <si>
    <t>"5.1"</t>
  </si>
  <si>
    <t>autocrat_sid</t>
  </si>
  <si>
    <t>"1449259415107"</t>
  </si>
  <si>
    <t>vp</t>
  </si>
  <si>
    <t>mergeKeys</t>
  </si>
  <si>
    <t>"{\"1ctSKjltsafviQXP39mzumBhJu2FZObAlwHyV1LDGk6w\":{\"mergeFileId\":\"1ctSKjltsafviQXP39mzumBhJu2FZObAlwHyV1LDGk6w\",\"name\":\"Float Plan Merge\",\"showInSidebar\":true}}"</t>
  </si>
  <si>
    <t>timeTriggerList</t>
  </si>
  <si>
    <t>"[]"</t>
  </si>
  <si>
    <t>1ctSKjltsafviQXP39mzumBhJu2FZObAlwHyV1LDGk6w</t>
  </si>
  <si>
    <t>{"fileName":"$yourFirstAndLastName $dateYouPlanToLaunch","name":"Float Plan Merge","templateId":"1ctSKjltsafviQXP39mzumBhJu2FZObAlwHyV1LDGk6w","sendEmail":"true","email":{"address":"$yourEmail","subject":"Float Plan for $dateYouPlanToLaunch","body":"Here is the PDF of your float plan which you can print off and provide to the front desk. Don't forget to reserve your vehicle and vessel(s) on the calendars.\n\nThanks,\nKenneth","attach":"PDF","savePdf":"true","isShareable":"true"},"conditions":{"header":"timestamp","opp":"=","test":""},"tags":[{"tag":"LaunchDate","mapHeader":"dateYouPlanToLaunch","multiTags":[],"isMultiTag":false,"isHyperlink":false,"isImage":false,"isNewTag":false},{"tag":"VesselDetail","mapHeader":"vesselDetails","multiTags":[],"isMultiTag":false,"isHyperlink":false,"isImage":false,"isNewTag":false},{"tag":"NumCanoesKayaks","mapHeader":"ifYouSelectedCanoesOrKayaksHowManyAreYouTaking","multiTags":[],"isMultiTag":false,"isHyperlink":false,"isImage":false,"isNewTag":false},{"tag":"TowingVehicle","mapHeader":"towingVehicle","multiTags":[],"isMultiTag":false,"isHyperlink":false,"isImage":false,"isNewTag":false},{"tag":"Captain","mapHeader":"whoIsCaptain","multiTags":[],"isMultiTag":false,"isHyperlink":false,"isImage":false,"isNewTag":false},{"tag":"CertifiedOperators","mapHeader":"whoIsAreTheCertifiedOperator","multiTags":[],"isMultiTag":false,"isHyperlink":false,"isImage":false,"isNewTag":false},{"tag":"PersonsOnboard","mapHeader":"whoIsAreTheOtherIndividualsOnboard","multiTags":[],"isMultiTag":false,"isHyperlink":false,"isImage":false,"isNewTag":false},{"tag":"LaunchSite","mapHeader":"launchSite","multiTags":[],"isMultiTag":false,"isHyperlink":false,"isImage":false,"isNewTag":false},{"tag":"Destination","mapHeader":"destination","multiTags":[],"isMultiTag":false,"isHyperlink":false,"isImage":false,"isNewTag":false},{"tag":"TimeOnWater","mapHeader":"estimatedTimeOnTheWater","multiTags":[],"isMultiTag":false,"isHyperlink":false,"isImage":false,"isNewTag":false},{"tag":"EstReturnOffice","mapHeader":"timeReturnToOfficeBestEstimate","multiTags":[],"isMultiTag":false,"isHyperlink":false,"isImage":false,"isNewTag":false},{"tag":"Name","mapHeader":"yourFirstAndLastName","multiTags":[],"isMultiTag":false,"isHyperlink":false,"isImage":false,"isNewTag":false},{"tag":"DatePlan","mapHeader":"dateYouPlanToFileTheFloatPlan","multiTags":[],"isMultiTag":false,"isHyperlink":false,"isImage":false,"isNewTag":false},{"tag":"FiledWith","mapHeader":"whoAreYouFilingThePlanWith","multiTags":[],"isMultiTag":false,"isHyperlink":false,"isImage":false,"isNewTag":false}],"folders":["0B5fOTXS6ex1VSEU4RVRSYzQySDQ"],"dataSheetId":"1.179006592E9","secondaryFolder":"","bigestJump":0,"fileType":"Google Doc","formTrigger":"on","timeTrigger":"off","timeTriggerFrequency":"","timeTriggerHour":"","showInSidebar":true}</t>
  </si>
  <si>
    <t>"1.490295596805E12"</t>
  </si>
  <si>
    <t>"1.179006592E9"</t>
  </si>
  <si>
    <t>"Form Responses 1"</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</si>
  <si>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</si>
  <si>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</si>
  <si>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</si>
  <si>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</si>
  <si>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</si>
  <si>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</si>
  <si>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</si>
  <si>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</si>
  <si>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</si>
  <si>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</si>
  <si>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</si>
  <si>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</si>
  <si>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</si>
  <si>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</si>
  <si>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</si>
  <si>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</si>
  <si>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</si>
  <si>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</si>
  <si>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</si>
  <si>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</si>
  <si>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</si>
  <si>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</si>
  <si>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</si>
  <si>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</si>
  <si>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</si>
  <si>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</si>
  <si>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</si>
  <si>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</si>
  <si>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</si>
  <si>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_1534320108884</t>
  </si>
  <si>
    <t>Float Plan Merge V2</t>
  </si>
  <si>
    <t>&lt;&lt;YOUR NAME&gt;&gt; - &lt;&lt;Date you plan to launch&gt;&gt; &lt;&lt;Time you plan to launch&gt;&gt;</t>
  </si>
  <si>
    <t>GOOG_DOC</t>
  </si>
  <si>
    <t>PDF</t>
  </si>
  <si>
    <t>["1su3rB04qHUixf_tRnHp0nQVP_nTB4Njl"]</t>
  </si>
  <si>
    <t>[]</t>
  </si>
  <si>
    <t>[{"headerMap":"Timestamp","value":"NOT NULL"}]</t>
  </si>
  <si>
    <t>MULTIPLE_OUTPUT</t>
  </si>
  <si>
    <t>[{"tag":"DateTimeLaunch","type":"STANDARD","details":{"isUnmapped":false,"headerMap":"Date you plan to launch"}},{"tag":"DateLaunch","type":"STANDARD","details":{"isUnmapped":false,"headerMap":"Date you plan to launch"}},{"tag":"TimeLaunch","type":"STANDARD","details":{"isUnmapped":false,"headerMap":"Time you plan to launch"}},{"tag":"EstTimeOffWater","type":"STANDARD","details":{"isUnmapped":false,"headerMap":"Estimated time off the water"}},{"tag":"Boat Box with Keys","type":"STANDARD","details":{"isUnmapped":false,"headerMap":" [Trailer Lights, Tire Pressure, Boat Box with Keys, Tool Kit, PFD's for every passenger, Type IV Throwable, Fuel, Battery, Radio/Cell Check, Anchor &amp; Line, Paddles and/or Push Pole, Boat Hook, First-Aid Kit, Whistle/Horn, Signal Devices, Fire Extinguisher, Navigation Lights]"}},{"tag":"Tool Kit","type":"STANDARD","details":{"isUnmapped":false,"headerMap":" [Tool Kit]"}},{"tag":"PFD's and Type IV throwable","type":"STANDARD","details":{"isUnmapped":false,"headerMap":" [PFD's and Type IV throwable]"}},{"tag":"Vessel","type":"STANDARD","details":{"isUnmapped":false,"headerMap":"Vessel Details"}},{"tag":"Fuel, Battery, and Radio/Cell Check","type":"STANDARD","details":{"isUnmapped":false,"headerMap":" [Fuel, Battery, and Radio/Cell Check]"}},{"tag":"NumCanoesKayaks","type":"STANDARD","details":{"isUnmapped":false,"headerMap":"If you selected Canoe(s) or Kayak(s), how many are you taking?"}},{"tag":"Anchor and Line","type":"STANDARD","details":{"isUnmapped":false,"headerMap":" [Anchor and Line]"}},{"tag":"Paddles, Push Pole","type":"STANDARD","details":{"isUnmapped":false,"headerMap":" [Paddles, Push Pole]"}},{"tag":"Boat Hook","type":"STANDARD","details":{"isUnmapped":false,"headerMap":" [Boat Hook]"}},{"tag":"TowVehicle","type":"STANDARD","details":{"isUnmapped":false,"headerMap":"Towing Vehicle"}},{"tag":"First-Aid Kit","type":"STANDARD","details":{"isUnmapped":false,"headerMap":" [First-Aid Kit]"}},{"tag":"Whistle/ Horn","type":"STANDARD","details":{"isUnmapped":false,"headerMap":" [Whistle/ Horn]"}},{"tag":"Signal Devices","type":"STANDARD","details":{"isUnmapped":false,"headerMap":" [Signal Devices]"}},{"tag":"CertOperators","type":"STANDARD","details":{"isUnmapped":false,"headerMap":"Who is (are) the Certified Operator(s)?"}},{"tag":"Fire Extinguisher","type":"STANDARD","details":{"isUnmapped":false,"headerMap":" [Fire Extinguisher]"}},{"tag":"OtherOnBoard","type":"STANDARD","details":{"isUnmapped":false,"headerMap":"Who is (are) the other individuals on-board?"}},{"tag":"Trailer and Boat Lights","type":"STANDARD","details":{"isUnmapped":false,"headerMap":" [Trailer and Boat Lights]"}},{"tag":"Tire Pressure","type":"STANDARD","details":{"isUnmapped":false,"headerMap":" [Tire Pressure]"}},{"tag":"PrimaryCaptain","type":"STANDARD","details":{"isUnmapped":false,"headerMap":"Who is the primary Captain?"}},{"tag":"LaunchSite","type":"STANDARD","details":{"isUnmapped":false,"headerMap":"BOAT RAMP"}},{"tag":"Destination","type":"STANDARD","details":{"isUnmapped":false,"headerMap":"Destination"}},{"tag":"ReturnOffice","type":"STANDARD","details":{"isUnmapped":false,"headerMap":"Time return to office (best estimate)"}},{"tag":"FirstLastName","type":"STANDARD","details":{"isUnmapped":false,"headerMap":"YOUR NAME"}},{"tag":"Dept","type":"STANDARD","details":{"isUnmapped":false,"headerMap":"Float Plan Holder"}},{"tag":"Timestamp","type":"STANDARD","details":{"isUnmapped":false,"headerMap":"Timestamp"}}]</t>
  </si>
  <si>
    <t>&lt;&lt;Supervisor Email&gt;&gt;,blythe.odzinski@floridadep.gov,stephanie.windham@floridadep.gov,lia.sansom@floridadep.gov</t>
  </si>
  <si>
    <t>&lt;&lt;YOUR EMAIL&gt;&gt;</t>
  </si>
  <si>
    <t>Float Plan for &lt;&lt;Who is the primary Captain?&gt;&gt; on - &lt;&lt;Date you plan to launch&gt;&gt; &lt;&lt;Time you plan to launch&gt;&gt;</t>
  </si>
  <si>
    <t>You are receiving the float plan for &lt;&lt;Who is the primary Captain?&gt;&gt; that has been filed by &lt;&lt;YOUR NAME&gt;&gt;.
For the person holding the float plan, please make sure to place your initials under the column AG and the actual time off the water under the column AH on the following Google Sheet (https://goo.gl/tX4GDA).</t>
  </si>
  <si>
    <t>2020-07-29T20:09:38.750Z</t>
  </si>
  <si>
    <t>2020-07-29T16:52:29.107Z</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</si>
</sst>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h&quot;:&quot;mm&quot; &quot;am/pm"/>
    <numFmt numFmtId="165" formatCode="M/d/yyyy"/>
    <numFmt numFmtId="166" formatCode="m/d/yy h:mm:ss"/>
    <numFmt numFmtId="167" formatCode="m/d/yyyy h:mm:ss"/>
    <numFmt numFmtId="168" formatCode="yyyy-mm-dd"/>
  </numFmts>
  <fonts count="12">
    <font>
      <sz val="10.0"/>
      <color rgb="FF000000"/>
      <name val="Arial"/>
    </font>
    <font>
      <b/>
    </font>
    <font>
      <b/>
      <color rgb="FF000000"/>
    </font>
    <font>
      <b/>
      <i/>
      <color rgb="FF000000"/>
    </font>
    <font/>
    <font>
      <u/>
      <color rgb="FF0000FF"/>
    </font>
    <font>
      <u/>
      <color rgb="FF0000FF"/>
    </font>
    <font>
      <color rgb="FFFFFFFF"/>
    </font>
    <font>
      <name val="Thread-000055d0-Id-00000009"/>
    </font>
    <font>
      <name val="Arial"/>
    </font>
    <font>
      <color rgb="FF000000"/>
      <name val="Arial"/>
    </font>
    <font>
      <u/>
      <color rgb="FF1155CC"/>
      <name val="Arial"/>
    </font>
  </fonts>
  <fills count="5">
    <fill>
      <patternFill patternType="none"/>
    </fill>
    <fill>
      <patternFill patternType="lightGray"/>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0"/>
    </xf>
    <xf borderId="0" fillId="0" fontId="1" numFmtId="164" xfId="0" applyFont="1" applyNumberFormat="1"/>
    <xf borderId="0" fillId="0" fontId="1" numFmtId="165" xfId="0" applyFont="1" applyNumberFormat="1"/>
    <xf borderId="0" fillId="0" fontId="1" numFmtId="164" xfId="0" applyFont="1" applyNumberFormat="1"/>
    <xf borderId="0" fillId="0" fontId="1" numFmtId="0" xfId="0" applyAlignment="1" applyFont="1">
      <alignment readingOrder="0" shrinkToFit="0" wrapText="0"/>
    </xf>
    <xf borderId="0" fillId="2" fontId="1" numFmtId="0" xfId="0" applyAlignment="1" applyFill="1" applyFont="1">
      <alignment readingOrder="0"/>
    </xf>
    <xf borderId="0" fillId="3" fontId="2" numFmtId="0" xfId="0" applyAlignment="1" applyFill="1" applyFont="1">
      <alignment readingOrder="0"/>
    </xf>
    <xf borderId="0" fillId="3" fontId="3" numFmtId="0" xfId="0" applyAlignment="1" applyFont="1">
      <alignment readingOrder="0"/>
    </xf>
    <xf borderId="0" fillId="0" fontId="4" numFmtId="166" xfId="0" applyFont="1" applyNumberFormat="1"/>
    <xf borderId="0" fillId="0" fontId="4" numFmtId="0" xfId="0" applyAlignment="1" applyFont="1">
      <alignment shrinkToFit="0" wrapText="0"/>
    </xf>
    <xf borderId="0" fillId="0" fontId="4" numFmtId="0" xfId="0" applyAlignment="1" applyFont="1">
      <alignment readingOrder="0"/>
    </xf>
    <xf borderId="0" fillId="0" fontId="4" numFmtId="164" xfId="0" applyFont="1" applyNumberFormat="1"/>
    <xf borderId="0" fillId="0" fontId="4" numFmtId="165" xfId="0" applyFont="1" applyNumberFormat="1"/>
    <xf borderId="0" fillId="0" fontId="4" numFmtId="164" xfId="0" applyFont="1" applyNumberFormat="1"/>
    <xf borderId="0" fillId="0" fontId="4" numFmtId="167" xfId="0" applyFont="1" applyNumberFormat="1"/>
    <xf borderId="0" fillId="2" fontId="4" numFmtId="0" xfId="0" applyAlignment="1" applyFont="1">
      <alignment readingOrder="0"/>
    </xf>
    <xf borderId="0" fillId="2" fontId="4" numFmtId="0" xfId="0" applyFont="1"/>
    <xf borderId="0" fillId="0" fontId="5" numFmtId="0" xfId="0" applyAlignment="1" applyFont="1">
      <alignment readingOrder="0"/>
    </xf>
    <xf borderId="0" fillId="0" fontId="6" numFmtId="0" xfId="0" applyFont="1"/>
    <xf borderId="0" fillId="2" fontId="7" numFmtId="0" xfId="0" applyAlignment="1" applyFont="1">
      <alignment readingOrder="0"/>
    </xf>
    <xf borderId="0" fillId="0" fontId="4" numFmtId="0" xfId="0" applyAlignment="1" applyFont="1">
      <alignment readingOrder="0" shrinkToFit="0" wrapText="0"/>
    </xf>
    <xf borderId="0" fillId="0" fontId="4" numFmtId="20" xfId="0" applyAlignment="1" applyFont="1" applyNumberFormat="1">
      <alignment readingOrder="0"/>
    </xf>
    <xf borderId="0" fillId="0" fontId="4" numFmtId="165" xfId="0" applyAlignment="1" applyFont="1" applyNumberFormat="1">
      <alignment readingOrder="0"/>
    </xf>
    <xf borderId="0" fillId="2" fontId="8" numFmtId="0" xfId="0" applyAlignment="1" applyFont="1">
      <alignment readingOrder="0"/>
    </xf>
    <xf borderId="0" fillId="0" fontId="4" numFmtId="167" xfId="0" applyAlignment="1" applyFont="1" applyNumberFormat="1">
      <alignment readingOrder="0"/>
    </xf>
    <xf borderId="0" fillId="0" fontId="4" numFmtId="14" xfId="0" applyAlignment="1" applyFont="1" applyNumberFormat="1">
      <alignment readingOrder="0"/>
    </xf>
    <xf borderId="0" fillId="0" fontId="4" numFmtId="46" xfId="0" applyAlignment="1" applyFont="1" applyNumberFormat="1">
      <alignment readingOrder="0"/>
    </xf>
    <xf borderId="0" fillId="0" fontId="4" numFmtId="19" xfId="0" applyAlignment="1" applyFont="1" applyNumberFormat="1">
      <alignment readingOrder="0"/>
    </xf>
    <xf borderId="0" fillId="0" fontId="9" numFmtId="0" xfId="0" applyAlignment="1" applyFont="1">
      <alignment vertical="bottom"/>
    </xf>
    <xf borderId="0" fillId="4" fontId="10" numFmtId="0" xfId="0" applyAlignment="1" applyFill="1" applyFont="1">
      <alignment horizontal="left" readingOrder="0"/>
    </xf>
    <xf borderId="0" fillId="0" fontId="4" numFmtId="0" xfId="0" applyAlignment="1" applyFont="1">
      <alignment readingOrder="0"/>
    </xf>
    <xf borderId="0" fillId="0" fontId="11" numFmtId="0" xfId="0" applyAlignment="1" applyFont="1">
      <alignment vertical="bottom"/>
    </xf>
    <xf borderId="0" fillId="0" fontId="4" numFmtId="166" xfId="0" applyAlignment="1" applyFont="1" applyNumberFormat="1">
      <alignment readingOrder="0"/>
    </xf>
    <xf borderId="0" fillId="0" fontId="4" numFmtId="168" xfId="0" applyAlignment="1" applyFont="1" applyNumberFormat="1">
      <alignment readingOrder="0"/>
    </xf>
    <xf borderId="0" fillId="0" fontId="4" numFmtId="0" xfId="0" applyFont="1"/>
  </cellXfs>
  <cellStyles count="1">
    <cellStyle xfId="0" name="Normal" builtinId="0"/>
  </cellStyles>
  <dxfs count="3">
    <dxf>
      <font/>
      <fill>
        <patternFill patternType="solid">
          <fgColor rgb="FFF4C7C3"/>
          <bgColor rgb="FFF4C7C3"/>
        </patternFill>
      </fill>
      <border/>
    </dxf>
    <dxf>
      <font/>
      <fill>
        <patternFill patternType="solid">
          <fgColor rgb="FFB7E1CD"/>
          <bgColor rgb="FFB7E1CD"/>
        </patternFill>
      </fill>
      <border/>
    </dxf>
    <dxf>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docs.google.com/document/d/16OYOj5TIsxB7aLpe8-WmMHmeLPl3WJceZcqhaNcR8ug/edit?usp=drivesdk" TargetMode="External"/><Relationship Id="rId194" Type="http://schemas.openxmlformats.org/officeDocument/2006/relationships/hyperlink" Target="https://docs.google.com/document/d/1UTMHhAq_kXygMb9yCTHtxEDXQXCiJxKdNDQMS38t11M/edit?usp=drivesdk" TargetMode="External"/><Relationship Id="rId193" Type="http://schemas.openxmlformats.org/officeDocument/2006/relationships/hyperlink" Target="https://docs.google.com/document/d/1w5yvrJDRg-YgyWDyeVMe6dpoKT5A2GMePvS1bvcmC00/edit?usp=drivesdk" TargetMode="External"/><Relationship Id="rId192" Type="http://schemas.openxmlformats.org/officeDocument/2006/relationships/hyperlink" Target="https://docs.google.com/document/d/1p7s5sR34YXc9wg1z-_VVivHlRGZkuTUZxMHhBUHtCco/edit?usp=drivesdk" TargetMode="External"/><Relationship Id="rId191" Type="http://schemas.openxmlformats.org/officeDocument/2006/relationships/hyperlink" Target="https://docs.google.com/document/d/16SdYODC-uCZ2zFLn33qfp7Qjty_GYbog-ssGQaMREx8/edit?usp=drivesdk" TargetMode="External"/><Relationship Id="rId187" Type="http://schemas.openxmlformats.org/officeDocument/2006/relationships/hyperlink" Target="https://docs.google.com/document/d/1urGKS6Hhgz61wxKnJxIwXPH6FT9q0n0PP04qBW5_huw/edit?usp=drivesdk" TargetMode="External"/><Relationship Id="rId186" Type="http://schemas.openxmlformats.org/officeDocument/2006/relationships/hyperlink" Target="https://docs.google.com/document/d/1YiWcFq3l08V3qBUS4JCJ18wDAAtAadOsJGTbNWJ7y0o/edit?usp=drivesdk" TargetMode="External"/><Relationship Id="rId185" Type="http://schemas.openxmlformats.org/officeDocument/2006/relationships/hyperlink" Target="https://docs.google.com/document/d/1YjoS9sKmNES22k8xi23oxX83WayzKLWesHbnmpWte98/edit?usp=drivesdk" TargetMode="External"/><Relationship Id="rId184" Type="http://schemas.openxmlformats.org/officeDocument/2006/relationships/hyperlink" Target="https://docs.google.com/document/d/1zstXvM6CwDhboX8ljkxSJeWbw2aJlIOMC9rK3xtsd2U/edit?usp=drivesdk" TargetMode="External"/><Relationship Id="rId189" Type="http://schemas.openxmlformats.org/officeDocument/2006/relationships/hyperlink" Target="https://docs.google.com/document/d/11wDe1iSta-uPiSj3aBwpM_PUcVB86619YC5CLL_mQ-I/edit?usp=drivesdk" TargetMode="External"/><Relationship Id="rId188" Type="http://schemas.openxmlformats.org/officeDocument/2006/relationships/hyperlink" Target="https://docs.google.com/document/d/1Uul-M4yHrQoQPnrQFZYN9DfqLTVHhiUvwWZpw-wNmWI/edit?usp=drivesdk" TargetMode="External"/><Relationship Id="rId183" Type="http://schemas.openxmlformats.org/officeDocument/2006/relationships/hyperlink" Target="https://docs.google.com/document/d/1h0R2PZU0rvgtqbs53JDBEKKuDogTM-nMHYHY7C7YB0Q/edit?usp=drivesdk" TargetMode="External"/><Relationship Id="rId182" Type="http://schemas.openxmlformats.org/officeDocument/2006/relationships/hyperlink" Target="https://docs.google.com/document/d/1MdfvTIYnceoqzhRGfam7t0apLcYPKCV83LbdbuAQAkg/edit?usp=drivesdk" TargetMode="External"/><Relationship Id="rId181" Type="http://schemas.openxmlformats.org/officeDocument/2006/relationships/hyperlink" Target="https://docs.google.com/document/d/1uWbC2LTTPyzZ9D7G8dbN75G0kC0n3ExQXQUhFHsruTY/edit?usp=drivesdk" TargetMode="External"/><Relationship Id="rId180" Type="http://schemas.openxmlformats.org/officeDocument/2006/relationships/hyperlink" Target="https://docs.google.com/document/d/1hauw2vE5xdSX1EdBY3STcNLUeeUqh_H2hN1zo1cocKU/edit?usp=drivesdk" TargetMode="External"/><Relationship Id="rId176" Type="http://schemas.openxmlformats.org/officeDocument/2006/relationships/hyperlink" Target="https://docs.google.com/document/d/1-6d6hvJWvO6BYtbO2WWaqb1in49kdbEkIdMZcbPaJuo/edit?usp=drivesdk" TargetMode="External"/><Relationship Id="rId297" Type="http://schemas.openxmlformats.org/officeDocument/2006/relationships/hyperlink" Target="https://docs.google.com/document/d/1LBlWKL2pKmxOCG6VVr5KzjV_Qs6EWYJnMRPZXBuCHyY/edit?usp=drivesdk" TargetMode="External"/><Relationship Id="rId175" Type="http://schemas.openxmlformats.org/officeDocument/2006/relationships/hyperlink" Target="https://docs.google.com/document/d/1WPXaA7dO7Ju4PLovG3d8P_hfoKL3mzHt2dO7NERh5Nc/edit?usp=drivesdk" TargetMode="External"/><Relationship Id="rId296" Type="http://schemas.openxmlformats.org/officeDocument/2006/relationships/hyperlink" Target="https://docs.google.com/document/d/1VJnXPJs-V6D3x8ovy_Zxak_KhMiACK6sxW9bc_Tpvk4/edit?usp=drivesdk" TargetMode="External"/><Relationship Id="rId174" Type="http://schemas.openxmlformats.org/officeDocument/2006/relationships/hyperlink" Target="https://docs.google.com/document/d/1UytU1qoyfwDOxvXCNFzuyxYJSlOMrr0F6BOQspPMTz0/edit?usp=drivesdk" TargetMode="External"/><Relationship Id="rId295" Type="http://schemas.openxmlformats.org/officeDocument/2006/relationships/hyperlink" Target="https://docs.google.com/document/d/1YLWiNhI8NozGXmYo5gZ2IVUl2kOr9Ek5uLEd8Mb9Y4s/edit?usp=drivesdk" TargetMode="External"/><Relationship Id="rId173" Type="http://schemas.openxmlformats.org/officeDocument/2006/relationships/hyperlink" Target="https://docs.google.com/document/d/1oCIbNyJwXRwNMINWHnLOK0AHi7aUYV5hxePSeCyfP2Q/edit?usp=drivesdk" TargetMode="External"/><Relationship Id="rId294" Type="http://schemas.openxmlformats.org/officeDocument/2006/relationships/hyperlink" Target="https://docs.google.com/document/d/1qfUcmR9cqqC24YrVwYMSNWmDE13w6gaXtQiKLuEI16A/edit?usp=drivesdk" TargetMode="External"/><Relationship Id="rId179" Type="http://schemas.openxmlformats.org/officeDocument/2006/relationships/hyperlink" Target="https://docs.google.com/document/d/1oTcfsWZOgZYgI5Fy-XeM-Rzu-vTXU288StIZED4uEX8/edit?usp=drivesdk" TargetMode="External"/><Relationship Id="rId178" Type="http://schemas.openxmlformats.org/officeDocument/2006/relationships/hyperlink" Target="https://docs.google.com/document/d/1A8RL1csPx-oiXdee1EdEvumxx2HabklDEO-iwGQ4XE4/edit?usp=drivesdk" TargetMode="External"/><Relationship Id="rId299" Type="http://schemas.openxmlformats.org/officeDocument/2006/relationships/hyperlink" Target="https://docs.google.com/document/d/1KgtsJJKzhgVyGWsX20RlzbAQfyhax9XMYyQYU7_jT3Q/edit?usp=drivesdk" TargetMode="External"/><Relationship Id="rId177" Type="http://schemas.openxmlformats.org/officeDocument/2006/relationships/hyperlink" Target="https://docs.google.com/document/d/1GVAYZH_XWuygN1DJkmLahy2vWDXRXeAZcQd7hsb812o/edit?usp=drivesdk" TargetMode="External"/><Relationship Id="rId298" Type="http://schemas.openxmlformats.org/officeDocument/2006/relationships/hyperlink" Target="https://docs.google.com/document/d/1oFfq4LU7d1zTf_pe0yQ81_jHV2i5KQRSdELtjM6PJvU/edit?usp=drivesdk" TargetMode="External"/><Relationship Id="rId198" Type="http://schemas.openxmlformats.org/officeDocument/2006/relationships/hyperlink" Target="https://docs.google.com/document/d/17RQ4Ys5vhUgH_js1ld3jCjcGkUV1G8rZmkNP458_zYM/edit?usp=drivesdk" TargetMode="External"/><Relationship Id="rId197" Type="http://schemas.openxmlformats.org/officeDocument/2006/relationships/hyperlink" Target="https://docs.google.com/document/d/1IaxkgNOqPzkSPHLaQxOsCa-xiQoIeRtfPOqC3I0c1oI/edit?usp=drivesdk" TargetMode="External"/><Relationship Id="rId196" Type="http://schemas.openxmlformats.org/officeDocument/2006/relationships/hyperlink" Target="https://docs.google.com/document/d/1gVI_jfcOWjzZEQMF4gbfgFQynt0Z5DO6MONlYJj8nUU/edit?usp=drivesdk" TargetMode="External"/><Relationship Id="rId195" Type="http://schemas.openxmlformats.org/officeDocument/2006/relationships/hyperlink" Target="https://docs.google.com/document/d/1SXZqdzN-q45bqHiSwks60gp_1yChmg6o0A3CtR_bRFY/edit?usp=drivesdk" TargetMode="External"/><Relationship Id="rId199" Type="http://schemas.openxmlformats.org/officeDocument/2006/relationships/hyperlink" Target="https://docs.google.com/document/d/1sp3x5m3NjyONG81qm62pZZCQIhwJORfCMNu2kAoMkJc/edit?usp=drivesdk" TargetMode="External"/><Relationship Id="rId150" Type="http://schemas.openxmlformats.org/officeDocument/2006/relationships/hyperlink" Target="https://docs.google.com/document/d/1JGMIP5SQ2ZMKd8eDucsvIls3aSK9Tt3z-nF29BgavLw/edit?usp=drivesdk" TargetMode="External"/><Relationship Id="rId271" Type="http://schemas.openxmlformats.org/officeDocument/2006/relationships/hyperlink" Target="https://docs.google.com/document/d/1UEl-2dca8hhWbxoBq3pZJzZcixkeZmJLnspPZQ9oT-Q/edit?usp=drivesdk" TargetMode="External"/><Relationship Id="rId392" Type="http://schemas.openxmlformats.org/officeDocument/2006/relationships/hyperlink" Target="https://docs.google.com/document/d/1osvIdgKYUEM3b9J7rEXHR3TOqEWzRRqJwFNEr4ZGZwk/edit?usp=drivesdk" TargetMode="External"/><Relationship Id="rId270" Type="http://schemas.openxmlformats.org/officeDocument/2006/relationships/hyperlink" Target="https://docs.google.com/document/d/1LBsjMCrOKskybnaVJZ8DrnF0haojvF7rUr38aeeaaBQ/edit?usp=drivesdk" TargetMode="External"/><Relationship Id="rId391" Type="http://schemas.openxmlformats.org/officeDocument/2006/relationships/hyperlink" Target="https://docs.google.com/document/d/1TTDgJwN76xiXWyDlFbbKJxZHE_M1_FnRC9jx-Hp0QS4/edit?usp=drivesdk" TargetMode="External"/><Relationship Id="rId390" Type="http://schemas.openxmlformats.org/officeDocument/2006/relationships/hyperlink" Target="https://docs.google.com/document/d/1Sf_4ILjN5K-5V3F6cTF8vBnLuPZyBmGl95mM0XiRX78/edit?usp=drivesdk" TargetMode="External"/><Relationship Id="rId1" Type="http://schemas.openxmlformats.org/officeDocument/2006/relationships/hyperlink" Target="https://drive.google.com/a/gtmnerr.org/file/d/1-xBJcM5t4rp1kF8CtiHFHCGIYOyemNCh/view?usp=drivesdk" TargetMode="External"/><Relationship Id="rId2" Type="http://schemas.openxmlformats.org/officeDocument/2006/relationships/hyperlink" Target="https://drive.google.com/a/gtmnerr.org/file/d/1PoGr328HmybT9p6Khc3j48PbR5wcYaea/view?usp=drivesdk" TargetMode="External"/><Relationship Id="rId3" Type="http://schemas.openxmlformats.org/officeDocument/2006/relationships/hyperlink" Target="https://drive.google.com/a/gtmnerr.org/file/d/1lZDSHrj3qsq_O52lhKl_J8Ol3Ppm2wpf/view?usp=drivesdk" TargetMode="External"/><Relationship Id="rId149" Type="http://schemas.openxmlformats.org/officeDocument/2006/relationships/hyperlink" Target="https://docs.google.com/document/d/1FPp7Ct0JiV_kWgKtlmLlCmGzPELIhER6zZ_PuQTEZXQ/edit?usp=drivesdk" TargetMode="External"/><Relationship Id="rId4" Type="http://schemas.openxmlformats.org/officeDocument/2006/relationships/hyperlink" Target="https://drive.google.com/a/gtmnerr.org/file/d/1QvAZ7R1p5_SFBt5mF93Am43VNlxMzFTn/view?usp=drivesdk" TargetMode="External"/><Relationship Id="rId148" Type="http://schemas.openxmlformats.org/officeDocument/2006/relationships/hyperlink" Target="https://docs.google.com/document/d/1L1XIyzHuHRQHoWUjLZVh96I0pkX6GW-koS18WeV4S5A/edit?usp=drivesdk" TargetMode="External"/><Relationship Id="rId269" Type="http://schemas.openxmlformats.org/officeDocument/2006/relationships/hyperlink" Target="https://docs.google.com/document/d/1_V2iYWUNuyPpcY9McAiWWBOBaQ-9nnGnLE3AXu3Ways/edit?usp=drivesdk" TargetMode="External"/><Relationship Id="rId9" Type="http://schemas.openxmlformats.org/officeDocument/2006/relationships/hyperlink" Target="https://drive.google.com/a/gtmnerr.org/file/d/1CqRffsFMJFT8y9LOWdRzM3m5rD9ZeP2D/view?usp=drivesdk" TargetMode="External"/><Relationship Id="rId143" Type="http://schemas.openxmlformats.org/officeDocument/2006/relationships/hyperlink" Target="https://docs.google.com/document/d/1h91QH6PngBZUaCNZ-MO08urM96IecrjSB_niSTukIOo/edit?usp=drivesdk" TargetMode="External"/><Relationship Id="rId264" Type="http://schemas.openxmlformats.org/officeDocument/2006/relationships/hyperlink" Target="https://docs.google.com/document/d/1g4e1jL6_o4Bnaqlw071EP28KdZfsft1fTcxM7y5K3hY/edit?usp=drivesdk" TargetMode="External"/><Relationship Id="rId385" Type="http://schemas.openxmlformats.org/officeDocument/2006/relationships/hyperlink" Target="https://docs.google.com/document/d/15IRTJxlG3VjfsXhPDtxtYTDiALUXkRoyVsHI6xd9aOE/edit?usp=drivesdk" TargetMode="External"/><Relationship Id="rId142" Type="http://schemas.openxmlformats.org/officeDocument/2006/relationships/hyperlink" Target="https://docs.google.com/document/d/1OeQTHLSFGSAT31agDkq7pmB0XfjKbGB3H-0rpdiqzEk/edit?usp=drivesdk" TargetMode="External"/><Relationship Id="rId263" Type="http://schemas.openxmlformats.org/officeDocument/2006/relationships/hyperlink" Target="https://docs.google.com/document/d/1T405mthEps_AdPOWw3Iy-nbrUnZ7A60jSwUoncMXVKg/edit?usp=drivesdk" TargetMode="External"/><Relationship Id="rId384" Type="http://schemas.openxmlformats.org/officeDocument/2006/relationships/hyperlink" Target="https://docs.google.com/document/d/1prWMueONgldddFzfRPQ9ygSaRH4jgTMVx9qL2sHIQOE/edit?usp=drivesdk" TargetMode="External"/><Relationship Id="rId141" Type="http://schemas.openxmlformats.org/officeDocument/2006/relationships/hyperlink" Target="https://docs.google.com/document/d/1JqTnJCbGjhbLNmpNm8MVKYBsWfwqFc2Spby_NHY6YBU/edit?usp=drivesdk" TargetMode="External"/><Relationship Id="rId262" Type="http://schemas.openxmlformats.org/officeDocument/2006/relationships/hyperlink" Target="https://docs.google.com/document/d/1Q9ML7tL-eCbAh36Z_OcvQHcpvugY7Asf2P4_F6COnTE/edit?usp=drivesdk" TargetMode="External"/><Relationship Id="rId383" Type="http://schemas.openxmlformats.org/officeDocument/2006/relationships/hyperlink" Target="https://docs.google.com/document/d/1_d5fECny22GGiNZdf1tqjhG5JV1OTtPAjBfXMp_UcRA/edit?usp=drivesdk" TargetMode="External"/><Relationship Id="rId140" Type="http://schemas.openxmlformats.org/officeDocument/2006/relationships/hyperlink" Target="https://docs.google.com/document/d/10B-Y9mtzPJLK-Vl1R2A-xzT2AB0jOcgS4S3pnj8j_Ks/edit?usp=drivesdk" TargetMode="External"/><Relationship Id="rId261" Type="http://schemas.openxmlformats.org/officeDocument/2006/relationships/hyperlink" Target="https://docs.google.com/document/d/1Si4U5YmHvfX7oP5-r6Jt3hFsP-8Kn9NMVMWY0BZp7kU/edit?usp=drivesdk" TargetMode="External"/><Relationship Id="rId382" Type="http://schemas.openxmlformats.org/officeDocument/2006/relationships/hyperlink" Target="https://docs.google.com/document/d/1BjOP-8VPoeoJ2NRkI-tiC7P49H282nx17wHC2CG2JIc/edit?usp=drivesdk" TargetMode="External"/><Relationship Id="rId5" Type="http://schemas.openxmlformats.org/officeDocument/2006/relationships/hyperlink" Target="https://drive.google.com/a/gtmnerr.org/file/d/1YinwlBsrG6skh50eUb96HFs4ROS8w5Vd/view?usp=drivesdk" TargetMode="External"/><Relationship Id="rId147" Type="http://schemas.openxmlformats.org/officeDocument/2006/relationships/hyperlink" Target="https://docs.google.com/document/d/165OlHMSD7QQspuLihMnA4iOz0DUxDdUqPxfmQ1cBeNs/edit?usp=drivesdk" TargetMode="External"/><Relationship Id="rId268" Type="http://schemas.openxmlformats.org/officeDocument/2006/relationships/hyperlink" Target="https://docs.google.com/document/d/190TNo4ZUiEWHJnPN5QI9eTlWaIaeW3i_-JNB6ri0AA4/edit?usp=drivesdk" TargetMode="External"/><Relationship Id="rId389" Type="http://schemas.openxmlformats.org/officeDocument/2006/relationships/hyperlink" Target="https://docs.google.com/document/d/1hRHCgSxbnv7hu6DeHUy5JI5pBcEgXO0l_jaGUl_e9dU/edit?usp=drivesdk" TargetMode="External"/><Relationship Id="rId6" Type="http://schemas.openxmlformats.org/officeDocument/2006/relationships/hyperlink" Target="https://drive.google.com/a/gtmnerr.org/file/d/1UDcTZ57HVMirRLXojC9fGFCmlWToZDMk/view?usp=drivesdk" TargetMode="External"/><Relationship Id="rId146" Type="http://schemas.openxmlformats.org/officeDocument/2006/relationships/hyperlink" Target="https://docs.google.com/document/d/1LuCtXJrW5W_uDwtAy3HfcI7oOa4lD8iG7UzSamPCoDk/edit?usp=drivesdk" TargetMode="External"/><Relationship Id="rId267" Type="http://schemas.openxmlformats.org/officeDocument/2006/relationships/hyperlink" Target="https://docs.google.com/document/d/1zlJ_Fo8-K64oCgIGfP5Aj5buqM1dyZx_BJk8QFySHVc/edit?usp=drivesdk" TargetMode="External"/><Relationship Id="rId388" Type="http://schemas.openxmlformats.org/officeDocument/2006/relationships/hyperlink" Target="https://docs.google.com/document/d/18_-rvKQZAj4zj-xu5XIOunNjjc1B25_eNVm9KFoW9Dk/edit?usp=drivesdk" TargetMode="External"/><Relationship Id="rId7" Type="http://schemas.openxmlformats.org/officeDocument/2006/relationships/hyperlink" Target="https://drive.google.com/a/gtmnerr.org/file/d/1jgjcWdO9z2WyqZPvktwTx42rtdLSC_0a/view?usp=drivesdk" TargetMode="External"/><Relationship Id="rId145" Type="http://schemas.openxmlformats.org/officeDocument/2006/relationships/hyperlink" Target="https://docs.google.com/document/d/1jLef7WH1ZWvUDuCPO5cYBeyKUgeRQ04zAG93ZEtwINk/edit?usp=drivesdk" TargetMode="External"/><Relationship Id="rId266" Type="http://schemas.openxmlformats.org/officeDocument/2006/relationships/hyperlink" Target="https://docs.google.com/document/d/1gYNhicIovTf1c9Zf3C3aODQwJQQizjlNU7MM4uM7Cq8/edit?usp=drivesdk" TargetMode="External"/><Relationship Id="rId387" Type="http://schemas.openxmlformats.org/officeDocument/2006/relationships/hyperlink" Target="https://docs.google.com/document/d/1CRc4j6HLo0xqlKMTTNdvh8YrHb0mUQt_MH11cR4wB04/edit?usp=drivesdk" TargetMode="External"/><Relationship Id="rId8" Type="http://schemas.openxmlformats.org/officeDocument/2006/relationships/hyperlink" Target="https://drive.google.com/a/gtmnerr.org/file/d/1xdZPUxBQL3Q04nu9hZKEqU5OAwvcXjY4/view?usp=drivesdk" TargetMode="External"/><Relationship Id="rId144" Type="http://schemas.openxmlformats.org/officeDocument/2006/relationships/hyperlink" Target="https://docs.google.com/document/d/1JRlYA77vV_VIb-S6I2VOgzFmlAaoJSMri79y4krYTeg/edit?usp=drivesdk" TargetMode="External"/><Relationship Id="rId265" Type="http://schemas.openxmlformats.org/officeDocument/2006/relationships/hyperlink" Target="https://docs.google.com/document/d/1vkQaUeNfFpD_o02fHgg_xTiGVFe9jSGR2yTxiIOVFIE/edit?usp=drivesdk" TargetMode="External"/><Relationship Id="rId386" Type="http://schemas.openxmlformats.org/officeDocument/2006/relationships/hyperlink" Target="https://docs.google.com/document/d/1M7xpibvSmVbgcBf-KshDdhZJdbWlKw_O9smFLdfK_xY/edit?usp=drivesdk" TargetMode="External"/><Relationship Id="rId260" Type="http://schemas.openxmlformats.org/officeDocument/2006/relationships/hyperlink" Target="https://docs.google.com/document/d/1eXlcmMIv9zUf7k-HL1ZFahKVKf9u1qFeaJAyflX6R20/edit?usp=drivesdk" TargetMode="External"/><Relationship Id="rId381" Type="http://schemas.openxmlformats.org/officeDocument/2006/relationships/hyperlink" Target="https://docs.google.com/document/d/15j64OI3l-9JOaYM-CSUcSma3Xa3KxC0IETHE3a7jyMY/edit?usp=drivesdk" TargetMode="External"/><Relationship Id="rId380" Type="http://schemas.openxmlformats.org/officeDocument/2006/relationships/hyperlink" Target="https://docs.google.com/document/d/1h83vbiy0qIUMEJu9na-S6xILq_JKNVe8nRk6se4XBmI/edit?usp=drivesdk" TargetMode="External"/><Relationship Id="rId139" Type="http://schemas.openxmlformats.org/officeDocument/2006/relationships/hyperlink" Target="https://docs.google.com/document/d/1YbcgZerdP1LVsxnkBb1fZoOvlgu2Id6KK0LNMU632hw/edit?usp=drivesdk" TargetMode="External"/><Relationship Id="rId138" Type="http://schemas.openxmlformats.org/officeDocument/2006/relationships/hyperlink" Target="https://docs.google.com/document/d/1KDK2Lyv_0BANy_IEzxkUFIoBnnXj9uvp7TxHIpYvUyk/edit?usp=drivesdk" TargetMode="External"/><Relationship Id="rId259" Type="http://schemas.openxmlformats.org/officeDocument/2006/relationships/hyperlink" Target="https://docs.google.com/document/d/1yVYWUcznor89rZKLN7JNHkOJi-hKAXwvKPawozANPrs/edit?usp=drivesdk" TargetMode="External"/><Relationship Id="rId137" Type="http://schemas.openxmlformats.org/officeDocument/2006/relationships/hyperlink" Target="https://docs.google.com/document/d/10rU4XDlqfzQWaY9r_oxgwKKaIF7s4-1zNcxL46nYc7c/edit?usp=drivesdk" TargetMode="External"/><Relationship Id="rId258" Type="http://schemas.openxmlformats.org/officeDocument/2006/relationships/hyperlink" Target="https://docs.google.com/document/d/1u7s5sF6N4c08VUpD9QaNfb9XH2JWFuYc9n9uv0nmrXs/edit?usp=drivesdk" TargetMode="External"/><Relationship Id="rId379" Type="http://schemas.openxmlformats.org/officeDocument/2006/relationships/hyperlink" Target="https://docs.google.com/document/d/1lEUCZ8jzWthvDEXI6Yb01Db7gioIfBmZbkRci61BKvw/edit?usp=drivesdk" TargetMode="External"/><Relationship Id="rId132" Type="http://schemas.openxmlformats.org/officeDocument/2006/relationships/hyperlink" Target="https://docs.google.com/document/d/1BEemg3yUgKS4kZmHueWdHy0Eq3TwI6BuvwXCR9oCHpE/edit?usp=drivesdk" TargetMode="External"/><Relationship Id="rId253" Type="http://schemas.openxmlformats.org/officeDocument/2006/relationships/hyperlink" Target="https://docs.google.com/document/d/1ukzotZXuW2ove_jHqRm504KzOsplPkmvul8G0QbKoMY/edit?usp=drivesdk" TargetMode="External"/><Relationship Id="rId374" Type="http://schemas.openxmlformats.org/officeDocument/2006/relationships/hyperlink" Target="https://docs.google.com/document/d/1Y7vwOzLhn0eXI5u7d9d732R4pzu7_c-q0K5-TwlcbW0/edit?usp=drivesdk" TargetMode="External"/><Relationship Id="rId495" Type="http://schemas.openxmlformats.org/officeDocument/2006/relationships/hyperlink" Target="https://docs.google.com/document/d/1Dt-ZmkYh9sJc_5nz2kHJYETzZcNnYCNSEdUHBi5zbLk/edit?usp=drivesdk" TargetMode="External"/><Relationship Id="rId131" Type="http://schemas.openxmlformats.org/officeDocument/2006/relationships/hyperlink" Target="https://docs.google.com/document/d/1L1Qa-gJZob4LNqDWn65q46mBvDTDwlLwU3zjXy1ncsw/edit?usp=drivesdk" TargetMode="External"/><Relationship Id="rId252" Type="http://schemas.openxmlformats.org/officeDocument/2006/relationships/hyperlink" Target="https://docs.google.com/document/d/1vdwGK0Z5I5-j4ULO9LCgVjXiYeUTqd_O3ikT0-SRIwA/edit?usp=drivesdk" TargetMode="External"/><Relationship Id="rId373" Type="http://schemas.openxmlformats.org/officeDocument/2006/relationships/hyperlink" Target="https://docs.google.com/document/d/1n-LG2HTy2qCWVs8L1YdkpPeRR8p2QgvCem4gUFsY-ls/edit?usp=drivesdk" TargetMode="External"/><Relationship Id="rId494" Type="http://schemas.openxmlformats.org/officeDocument/2006/relationships/hyperlink" Target="https://docs.google.com/document/d/1dTyYrnhwQjAX3sMStPl1AF6LrKuibSwBLYE9k-OH3q8/edit?usp=drivesdk" TargetMode="External"/><Relationship Id="rId130" Type="http://schemas.openxmlformats.org/officeDocument/2006/relationships/hyperlink" Target="https://docs.google.com/document/d/1vSRqTWP7CmpWxXBMw2pni-Z1VXWQUibiRPAhtbpU00M/edit?usp=drivesdk" TargetMode="External"/><Relationship Id="rId251" Type="http://schemas.openxmlformats.org/officeDocument/2006/relationships/hyperlink" Target="https://docs.google.com/document/d/1uCFtG0-wU4D5kQQg_2QZmZQcdgRoCiQDn3rZkEBvv04/edit?usp=drivesdk" TargetMode="External"/><Relationship Id="rId372" Type="http://schemas.openxmlformats.org/officeDocument/2006/relationships/hyperlink" Target="https://docs.google.com/document/d/1al6pBTAEsUyBSpAntmTSWLZzNIag_kw43aas-BmHQso/edit?usp=drivesdk" TargetMode="External"/><Relationship Id="rId493" Type="http://schemas.openxmlformats.org/officeDocument/2006/relationships/hyperlink" Target="https://docs.google.com/document/d/1mPnOS7jC8kvI2BlgVe8wKc6eNG8V-sYOC5x1OCtyzH4/edit?usp=drivesdk" TargetMode="External"/><Relationship Id="rId250" Type="http://schemas.openxmlformats.org/officeDocument/2006/relationships/hyperlink" Target="https://docs.google.com/document/d/1hzl70eQJdCH-lpArjQbSGfHA1SGjOSraKKhyqg58B68/edit?usp=drivesdk" TargetMode="External"/><Relationship Id="rId371" Type="http://schemas.openxmlformats.org/officeDocument/2006/relationships/hyperlink" Target="https://docs.google.com/document/d/1QYU0K6Bg_b60Qb0JUgvwx83i12Fa5B9QcOUKDlg8KR4/edit?usp=drivesdk" TargetMode="External"/><Relationship Id="rId492" Type="http://schemas.openxmlformats.org/officeDocument/2006/relationships/hyperlink" Target="https://docs.google.com/document/d/1xSdsO7dggDnMOeFIiLazDilZ_Y5BHrvlys2M7MHoxh8/edit?usp=drivesdk" TargetMode="External"/><Relationship Id="rId136" Type="http://schemas.openxmlformats.org/officeDocument/2006/relationships/hyperlink" Target="https://docs.google.com/document/d/1cZCSPnwhRfGhAyk0zgxcNQFgvBFuINflyXPMCG46zK4/edit?usp=drivesdk" TargetMode="External"/><Relationship Id="rId257" Type="http://schemas.openxmlformats.org/officeDocument/2006/relationships/hyperlink" Target="https://docs.google.com/document/d/1Jwwqnazwww9YKvWyHVkc7djKCR6FkjdvBevqEEgTxgc/edit?usp=drivesdk" TargetMode="External"/><Relationship Id="rId378" Type="http://schemas.openxmlformats.org/officeDocument/2006/relationships/hyperlink" Target="https://docs.google.com/document/d/1W0MUnKo0pddoDkyInqukilZfM2lV6gT-z8ANRIvhfzc/edit?usp=drivesdk" TargetMode="External"/><Relationship Id="rId499" Type="http://schemas.openxmlformats.org/officeDocument/2006/relationships/hyperlink" Target="https://docs.google.com/document/d/1OFTOfRzbVOT0chIp2JvpOjp3qyB-dRFsV1fMGvZ2YOc/edit?usp=drivesdk" TargetMode="External"/><Relationship Id="rId135" Type="http://schemas.openxmlformats.org/officeDocument/2006/relationships/hyperlink" Target="https://docs.google.com/document/d/19y2xBdaEYRCaUdOVOFVL8R13UVTXTgDmuMIsfnSUrpc/edit?usp=drivesdk" TargetMode="External"/><Relationship Id="rId256" Type="http://schemas.openxmlformats.org/officeDocument/2006/relationships/hyperlink" Target="https://docs.google.com/document/d/1TyLRb51S5K0bKOXgD50rIy_6EfG9cLwNzFQtV53qkSg/edit?usp=drivesdk" TargetMode="External"/><Relationship Id="rId377" Type="http://schemas.openxmlformats.org/officeDocument/2006/relationships/hyperlink" Target="https://docs.google.com/document/d/1tSD6e648rzgMuzDP9hhqwOSc2wFY4LzC4gX0xMLr3mM/edit?usp=drivesdk" TargetMode="External"/><Relationship Id="rId498" Type="http://schemas.openxmlformats.org/officeDocument/2006/relationships/hyperlink" Target="https://docs.google.com/document/d/1Cjb2-AzU_NBOyur8SA9JrJCvulKVrrmuAbi3ag8a9ck/edit?usp=drivesdk" TargetMode="External"/><Relationship Id="rId134" Type="http://schemas.openxmlformats.org/officeDocument/2006/relationships/hyperlink" Target="https://docs.google.com/document/d/1XgPHyLVaetsiT9yAxWjsIn05pUXXzoUT6oXrjFlL0YY/edit?usp=drivesdk" TargetMode="External"/><Relationship Id="rId255" Type="http://schemas.openxmlformats.org/officeDocument/2006/relationships/hyperlink" Target="https://docs.google.com/document/d/1j4CjBxVsEV7eiXaAaDkQ54i3LKlo5QbAlHvFo8FQYLI/edit?usp=drivesdk" TargetMode="External"/><Relationship Id="rId376" Type="http://schemas.openxmlformats.org/officeDocument/2006/relationships/hyperlink" Target="https://docs.google.com/document/d/1_FZkLDX6cpRq0sc7kubw9q1L4r-RNeHr1SqbZ9kcYEw/edit?usp=drivesdk" TargetMode="External"/><Relationship Id="rId497" Type="http://schemas.openxmlformats.org/officeDocument/2006/relationships/hyperlink" Target="https://docs.google.com/document/d/1OnbxaTXeSky7m3PTiGynbpPIuXLU4Lrrsd-orTI5bB4/edit?usp=drivesdk" TargetMode="External"/><Relationship Id="rId133" Type="http://schemas.openxmlformats.org/officeDocument/2006/relationships/hyperlink" Target="https://docs.google.com/document/d/13L1BLRxELDJtkWSeTmCGPwxwpJo_bGihEn16D1Ndh94/edit?usp=drivesdk" TargetMode="External"/><Relationship Id="rId254" Type="http://schemas.openxmlformats.org/officeDocument/2006/relationships/hyperlink" Target="https://docs.google.com/document/d/1oHYrfxnlmihGFpWtZ-1v641ONBZilcpq2UIDfKsPFDs/edit?usp=drivesdk" TargetMode="External"/><Relationship Id="rId375" Type="http://schemas.openxmlformats.org/officeDocument/2006/relationships/hyperlink" Target="https://docs.google.com/document/d/1yjeYvgPYir5ZjPhpr6dgyr3QLWQtzniq9SwDgTcD6K4/edit?usp=drivesdk" TargetMode="External"/><Relationship Id="rId496" Type="http://schemas.openxmlformats.org/officeDocument/2006/relationships/hyperlink" Target="https://docs.google.com/document/d/1309XjGptEng1kObv6mfBGIue6lck8JxZZAAQB143m_Y/edit?usp=drivesdk" TargetMode="External"/><Relationship Id="rId172" Type="http://schemas.openxmlformats.org/officeDocument/2006/relationships/hyperlink" Target="https://docs.google.com/document/d/1Ro8NJhnFBHEkHT8r9UkoHcGushyxmf7T7UxF2d3EPTo/edit?usp=drivesdk" TargetMode="External"/><Relationship Id="rId293" Type="http://schemas.openxmlformats.org/officeDocument/2006/relationships/hyperlink" Target="https://docs.google.com/document/d/1vh9SYwexF7o-MJsnwZb4b3TupfyrNa39KjhqGok5m9c/edit?usp=drivesdk" TargetMode="External"/><Relationship Id="rId171" Type="http://schemas.openxmlformats.org/officeDocument/2006/relationships/hyperlink" Target="https://docs.google.com/document/d/1kbvT1CsqWVSgIaGJKDYhYIm_4ojgiC2OS4qGLdNc4tI/edit?usp=drivesdk" TargetMode="External"/><Relationship Id="rId292" Type="http://schemas.openxmlformats.org/officeDocument/2006/relationships/hyperlink" Target="https://docs.google.com/document/d/164X_Qm-57KZWpDwSlzujouQd4VaB5hOiv035HofNRW4/edit?usp=drivesdk" TargetMode="External"/><Relationship Id="rId170" Type="http://schemas.openxmlformats.org/officeDocument/2006/relationships/hyperlink" Target="https://docs.google.com/document/d/1PL271tW_lqAUNom36USh5xQ5-3Fx9KBM5GmY4JnYfd4/edit?usp=drivesdk" TargetMode="External"/><Relationship Id="rId291" Type="http://schemas.openxmlformats.org/officeDocument/2006/relationships/hyperlink" Target="https://docs.google.com/document/d/1nBWzBiDSsyiR3ju6LhrlU1ZVjn_PV5JBs4--S8E4a3Q/edit?usp=drivesdk" TargetMode="External"/><Relationship Id="rId290" Type="http://schemas.openxmlformats.org/officeDocument/2006/relationships/hyperlink" Target="https://docs.google.com/document/d/1EYWgKjtFQfT6Aj2PtcKOQtTPMo2fy52Im86yup5t7eA/edit?usp=drivesdk" TargetMode="External"/><Relationship Id="rId165" Type="http://schemas.openxmlformats.org/officeDocument/2006/relationships/hyperlink" Target="https://docs.google.com/document/d/1Hfjuh-87HyMgDwCqQ1yxd7fH8nLij__YzoKp6Zt-A88/edit?usp=drivesdk" TargetMode="External"/><Relationship Id="rId286" Type="http://schemas.openxmlformats.org/officeDocument/2006/relationships/hyperlink" Target="https://docs.google.com/document/d/14h26rC8fooKg2LUPrRqgDafgqZqTt7bXcBEoYTV6AwQ/edit?usp=drivesdk" TargetMode="External"/><Relationship Id="rId164" Type="http://schemas.openxmlformats.org/officeDocument/2006/relationships/hyperlink" Target="https://docs.google.com/document/d/17M5r-E0k9v_FKlTFq_QQgPbH7eVdZ0U53IGJR24U6D0/edit?usp=drivesdk" TargetMode="External"/><Relationship Id="rId285" Type="http://schemas.openxmlformats.org/officeDocument/2006/relationships/hyperlink" Target="https://docs.google.com/document/d/1pj9crTN-CZHYzkL4JhT9dLlzLTPl3Fqv8RKEmTo6R1g/edit?usp=drivesdk" TargetMode="External"/><Relationship Id="rId163" Type="http://schemas.openxmlformats.org/officeDocument/2006/relationships/hyperlink" Target="https://docs.google.com/document/d/1Gx8Cm5JStNGnczb9BENMG9AfAMxlxOh8pLjeAEIKSJ8/edit?usp=drivesdk" TargetMode="External"/><Relationship Id="rId284" Type="http://schemas.openxmlformats.org/officeDocument/2006/relationships/hyperlink" Target="https://docs.google.com/document/d/1Nk9n5eyGbsbIoXNmGFa0tJ56gRlGDnbkMU66Pzi_7zQ/edit?usp=drivesdk" TargetMode="External"/><Relationship Id="rId162" Type="http://schemas.openxmlformats.org/officeDocument/2006/relationships/hyperlink" Target="https://docs.google.com/document/d/1HISdHTEExN4zHmyd24EnNJE9re7ldowomCTkQ-w64zU/edit?usp=drivesdk" TargetMode="External"/><Relationship Id="rId283" Type="http://schemas.openxmlformats.org/officeDocument/2006/relationships/hyperlink" Target="https://docs.google.com/document/d/1dCEu2hsgN4CNpOXcvJv99aq_Gid7YoqeBDIpSpkQ4nU/edit?usp=drivesdk" TargetMode="External"/><Relationship Id="rId169" Type="http://schemas.openxmlformats.org/officeDocument/2006/relationships/hyperlink" Target="https://docs.google.com/document/d/1633f9rTaCMPyS4IZy7tFzPfoCMpeoOCM4AqFBr6ZdaU/edit?usp=drivesdk" TargetMode="External"/><Relationship Id="rId168" Type="http://schemas.openxmlformats.org/officeDocument/2006/relationships/hyperlink" Target="https://docs.google.com/document/d/1i7gzGMRtKsIfqsAqJWP2driUwJ2sHFfr9kkmwR3CAzc/edit?usp=drivesdk" TargetMode="External"/><Relationship Id="rId289" Type="http://schemas.openxmlformats.org/officeDocument/2006/relationships/hyperlink" Target="https://docs.google.com/document/d/15x4EVSZ10MXuaxM4ij4M29WzWjxQAM3oj70GOLrnxF0/edit?usp=drivesdk" TargetMode="External"/><Relationship Id="rId167" Type="http://schemas.openxmlformats.org/officeDocument/2006/relationships/hyperlink" Target="https://docs.google.com/document/d/19Pl4hL-nT5KCVnZ4JEMGc1icTwYZpi4m7pzITqh2Uto/edit?usp=drivesdk" TargetMode="External"/><Relationship Id="rId288" Type="http://schemas.openxmlformats.org/officeDocument/2006/relationships/hyperlink" Target="https://docs.google.com/document/d/1qA0BXQylOFUw2Hvi7IhmXc7q1Hw-adob7CuuwLH6Z1g/edit?usp=drivesdk" TargetMode="External"/><Relationship Id="rId166" Type="http://schemas.openxmlformats.org/officeDocument/2006/relationships/hyperlink" Target="https://docs.google.com/document/d/1OdROVKVnWNppbGnZBe8XQx4EcpL1Z_wheLxqjEAAvaY/edit?usp=drivesdk" TargetMode="External"/><Relationship Id="rId287" Type="http://schemas.openxmlformats.org/officeDocument/2006/relationships/hyperlink" Target="https://docs.google.com/document/d/1vYPfTu_pYzTS1kX81IUb2Yn5ePGYoFRClmcO458xK2w/edit?usp=drivesdk" TargetMode="External"/><Relationship Id="rId161" Type="http://schemas.openxmlformats.org/officeDocument/2006/relationships/hyperlink" Target="https://docs.google.com/document/d/1Rrrw9hXvd2dswIm7DTQzp7Bj3bZQddXoz6ZiVQaAymE/edit?usp=drivesdk" TargetMode="External"/><Relationship Id="rId282" Type="http://schemas.openxmlformats.org/officeDocument/2006/relationships/hyperlink" Target="https://docs.google.com/document/d/1AE-X1g5JwYwKIewk8HKwamVWj8F3gqOdlwE6ACEbgo8/edit?usp=drivesdk" TargetMode="External"/><Relationship Id="rId160" Type="http://schemas.openxmlformats.org/officeDocument/2006/relationships/hyperlink" Target="https://docs.google.com/document/d/1wHN4Cbsn47rCWCLLPwvhvv0RSpz-ejSy8O1YNICpliM/edit?usp=drivesdk" TargetMode="External"/><Relationship Id="rId281" Type="http://schemas.openxmlformats.org/officeDocument/2006/relationships/hyperlink" Target="https://docs.google.com/document/d/1TGJKwqK7tl-baAbH_IHsAK1BxN4w_NGJpCrIFFEFTWI/edit?usp=drivesdk" TargetMode="External"/><Relationship Id="rId280" Type="http://schemas.openxmlformats.org/officeDocument/2006/relationships/hyperlink" Target="https://docs.google.com/document/d/1oALdN25ww9lJ48fXJMH1m20lIQx2AKySaSRbjgF26Cc/edit?usp=drivesdk" TargetMode="External"/><Relationship Id="rId159" Type="http://schemas.openxmlformats.org/officeDocument/2006/relationships/hyperlink" Target="https://docs.google.com/document/d/1s3JiwQ-KWulWysULpBhqbwpxDkxCnkakIu_ciCP-aHE/edit?usp=drivesdk" TargetMode="External"/><Relationship Id="rId154" Type="http://schemas.openxmlformats.org/officeDocument/2006/relationships/hyperlink" Target="https://docs.google.com/document/d/1KDW4JIx-TDLtUs2oIxpu-004J3DLKclKRdUK1ysIZ4w/edit?usp=drivesdk" TargetMode="External"/><Relationship Id="rId275" Type="http://schemas.openxmlformats.org/officeDocument/2006/relationships/hyperlink" Target="https://docs.google.com/document/d/1jQmJ2nmws9NbG4unV8L7tknjhGikOp5Wp60WoX0r9SU/edit?usp=drivesdk" TargetMode="External"/><Relationship Id="rId396" Type="http://schemas.openxmlformats.org/officeDocument/2006/relationships/hyperlink" Target="https://docs.google.com/document/d/1t6d4J_pxyGT889qf1VeYKuL_8J9rkyvXI5kFVzGtp5A/edit?usp=drivesdk" TargetMode="External"/><Relationship Id="rId153" Type="http://schemas.openxmlformats.org/officeDocument/2006/relationships/hyperlink" Target="https://docs.google.com/document/d/1ZNjLR5XjuWTsIS-2tFfq5tQYsgGh-MACWxn2ZoDEOuU/edit?usp=drivesdk" TargetMode="External"/><Relationship Id="rId274" Type="http://schemas.openxmlformats.org/officeDocument/2006/relationships/hyperlink" Target="https://docs.google.com/document/d/1hNWRIRHrwQ2y_KjvuP6GF3lI-qpLwHP1zU8ba6Th2A8/edit?usp=drivesdk" TargetMode="External"/><Relationship Id="rId395" Type="http://schemas.openxmlformats.org/officeDocument/2006/relationships/hyperlink" Target="https://docs.google.com/document/d/17Sljgu1FaFjQKGdaD1c81vRCgs0R4l8zXXHwviylLbc/edit?usp=drivesdk" TargetMode="External"/><Relationship Id="rId152" Type="http://schemas.openxmlformats.org/officeDocument/2006/relationships/hyperlink" Target="https://docs.google.com/document/d/1vhbaWsznObDXbxBjYZJm-c5mH0w0JZvCBOp-BzfpDKI/edit?usp=drivesdk" TargetMode="External"/><Relationship Id="rId273" Type="http://schemas.openxmlformats.org/officeDocument/2006/relationships/hyperlink" Target="https://docs.google.com/document/d/1pqnHvRBe93jYVA63NlfI2hkZWWO8LEXrZ0jP21_TsIw/edit?usp=drivesdk" TargetMode="External"/><Relationship Id="rId394" Type="http://schemas.openxmlformats.org/officeDocument/2006/relationships/hyperlink" Target="https://docs.google.com/document/d/128yGHiKh6RHRa87fgjOY9jOg9ivCVWoJzv7lAX_ujHQ/edit?usp=drivesdk" TargetMode="External"/><Relationship Id="rId151" Type="http://schemas.openxmlformats.org/officeDocument/2006/relationships/hyperlink" Target="https://docs.google.com/document/d/1RDmcLZdwMIRHDuujQWjczrbdq11SFvJ7BvyZZWaLJ_M/edit?usp=drivesdk" TargetMode="External"/><Relationship Id="rId272" Type="http://schemas.openxmlformats.org/officeDocument/2006/relationships/hyperlink" Target="https://docs.google.com/document/d/1tRygHe_g-Mb2L8SiXS2htKn66bxuHvsx3mLZX6RrvRw/edit?usp=drivesdk" TargetMode="External"/><Relationship Id="rId393" Type="http://schemas.openxmlformats.org/officeDocument/2006/relationships/hyperlink" Target="https://docs.google.com/document/d/1Fqg_cuyQPGZb6fNX36CPl90RsxTwCIBXz0rmsCxC0Bw/edit?usp=drivesdk" TargetMode="External"/><Relationship Id="rId158" Type="http://schemas.openxmlformats.org/officeDocument/2006/relationships/hyperlink" Target="https://docs.google.com/document/d/1RX_gUfr2Cwzo06Md2uxfQ1lOEGgjQtJf8J9lleJZCOQ/edit?usp=drivesdk" TargetMode="External"/><Relationship Id="rId279" Type="http://schemas.openxmlformats.org/officeDocument/2006/relationships/hyperlink" Target="https://docs.google.com/document/d/10yd_QWoX4-uGTi1hSALQIVk7-NQdFiPnAMvkiRZydsQ/edit?usp=drivesdk" TargetMode="External"/><Relationship Id="rId157" Type="http://schemas.openxmlformats.org/officeDocument/2006/relationships/hyperlink" Target="https://docs.google.com/document/d/1yRmCu21DibXxTmzuabRnKsTEkg4ImN6YDeiFUo9b1mQ/edit?usp=drivesdk" TargetMode="External"/><Relationship Id="rId278" Type="http://schemas.openxmlformats.org/officeDocument/2006/relationships/hyperlink" Target="https://docs.google.com/document/d/1QxaRdHvDAJbUR2d5Aif51DAoEGlkAzlCnhkf3ioW5X8/edit?usp=drivesdk" TargetMode="External"/><Relationship Id="rId399" Type="http://schemas.openxmlformats.org/officeDocument/2006/relationships/hyperlink" Target="https://docs.google.com/document/d/1VaWJIE3K1kYxS9ekiUDrgSvi82MS4ihWUVx1sk6R0Yk/edit?usp=drivesdk" TargetMode="External"/><Relationship Id="rId156" Type="http://schemas.openxmlformats.org/officeDocument/2006/relationships/hyperlink" Target="https://docs.google.com/document/d/1Piq9pUUSz179ys6kT1N1gc9p86TbMAxgV-Uv5HnwE5E/edit?usp=drivesdk" TargetMode="External"/><Relationship Id="rId277" Type="http://schemas.openxmlformats.org/officeDocument/2006/relationships/hyperlink" Target="https://docs.google.com/document/d/1QBSxmJEW8haI9t5gOvOxhfJQdjnU8UExtzvNGSdRJeU/edit?usp=drivesdk" TargetMode="External"/><Relationship Id="rId398" Type="http://schemas.openxmlformats.org/officeDocument/2006/relationships/hyperlink" Target="https://docs.google.com/document/d/1lpL-hACJ0SZheqs2xwrGh_IJID2VnoX1qU7kXTxNXF4/edit?usp=drivesdk" TargetMode="External"/><Relationship Id="rId155" Type="http://schemas.openxmlformats.org/officeDocument/2006/relationships/hyperlink" Target="https://docs.google.com/document/d/1Qu9mmZmTv01KNWghm6u4OGUV88UmBjkTWh1ifHFSkZg/edit?usp=drivesdk" TargetMode="External"/><Relationship Id="rId276" Type="http://schemas.openxmlformats.org/officeDocument/2006/relationships/hyperlink" Target="https://docs.google.com/document/d/1nwRxq9QzMWOE6F4rVgHmRuocKZ9SkDOahsobebfl3uQ/edit?usp=drivesdk" TargetMode="External"/><Relationship Id="rId397" Type="http://schemas.openxmlformats.org/officeDocument/2006/relationships/hyperlink" Target="https://docs.google.com/document/d/1ZdD5urJCsgWVyivnfEYQGGfYEd6NlfeS7KymF33zbS8/edit?usp=drivesdk" TargetMode="External"/><Relationship Id="rId40" Type="http://schemas.openxmlformats.org/officeDocument/2006/relationships/hyperlink" Target="https://docs.google.com/document/d/1xPjlL2XpuJuVs9bhlQHaVaBJvaUVRrAiSl6QpD-EBQQ/edit?usp=drivesdk" TargetMode="External"/><Relationship Id="rId42" Type="http://schemas.openxmlformats.org/officeDocument/2006/relationships/hyperlink" Target="https://docs.google.com/document/d/1-UbK8hMJUW_5g5Rku1FY9ewcvvUW5AHNrwKQATrchv4/edit?usp=drivesdk" TargetMode="External"/><Relationship Id="rId41" Type="http://schemas.openxmlformats.org/officeDocument/2006/relationships/hyperlink" Target="https://docs.google.com/document/d/1Z8dAn-NJRpmpNLlG1zkbjukS7RuYIXNvx0IZ730X_Lk/edit?usp=drivesdk" TargetMode="External"/><Relationship Id="rId44" Type="http://schemas.openxmlformats.org/officeDocument/2006/relationships/hyperlink" Target="https://docs.google.com/document/d/1QBVhj8T9wlvA9MtmpE0nIHEBCK43PFkjVDTBjO99NHM/edit?usp=drivesdk" TargetMode="External"/><Relationship Id="rId43" Type="http://schemas.openxmlformats.org/officeDocument/2006/relationships/hyperlink" Target="https://docs.google.com/document/d/1WsrMwbtq1vkTBudK_ew-NbpNttOyEo3T3Yuj3AdKLcs/edit?usp=drivesdk" TargetMode="External"/><Relationship Id="rId46" Type="http://schemas.openxmlformats.org/officeDocument/2006/relationships/hyperlink" Target="https://docs.google.com/document/d/1GGxNyt9MBnblp9Zx3L_z8an_bzsgGlS6W15cDVnm3fk/edit?usp=drivesdk" TargetMode="External"/><Relationship Id="rId45" Type="http://schemas.openxmlformats.org/officeDocument/2006/relationships/hyperlink" Target="https://docs.google.com/document/d/18xsY3dGulHPGl_CAhmxP1foemiasC677-RRywmPh4mc/edit?usp=drivesdk" TargetMode="External"/><Relationship Id="rId509" Type="http://schemas.openxmlformats.org/officeDocument/2006/relationships/hyperlink" Target="https://docs.google.com/document/d/1RJLYcS9IsMyhVVNWNhAD2e09aoyEC06a4739oiXVskI/edit?usp=drivesdk" TargetMode="External"/><Relationship Id="rId508" Type="http://schemas.openxmlformats.org/officeDocument/2006/relationships/hyperlink" Target="https://docs.google.com/document/d/1fXMWL0MZGV41kK88Fec-z8NpdovkfB2-VJnskCTii8Y/edit?usp=drivesdk" TargetMode="External"/><Relationship Id="rId503" Type="http://schemas.openxmlformats.org/officeDocument/2006/relationships/hyperlink" Target="https://docs.google.com/document/d/1sorxRew_pzwegTFEaF7rvDo2cZ-5GSHY1uilWuQtjWQ/edit?usp=drivesdk" TargetMode="External"/><Relationship Id="rId502" Type="http://schemas.openxmlformats.org/officeDocument/2006/relationships/hyperlink" Target="https://docs.google.com/document/d/1wBMLTcTzN9Zqq0u-IaOJHhOFQmOphW-iC0VzVbo5WnI/edit?usp=drivesdk" TargetMode="External"/><Relationship Id="rId501" Type="http://schemas.openxmlformats.org/officeDocument/2006/relationships/hyperlink" Target="https://docs.google.com/document/d/178BSnhvFwmawHY74F6CtrmORuUcjGy0ztrYJWIOp00s/edit?usp=drivesdk" TargetMode="External"/><Relationship Id="rId500" Type="http://schemas.openxmlformats.org/officeDocument/2006/relationships/hyperlink" Target="https://docs.google.com/document/d/1iz2Vel11zSDZsiIc26uFzdHrE5PzaLzl9KuvA_T_xSg/edit?usp=drivesdk" TargetMode="External"/><Relationship Id="rId507" Type="http://schemas.openxmlformats.org/officeDocument/2006/relationships/hyperlink" Target="https://docs.google.com/document/d/1X9wfvTORjybGnVdhkI654jew_V9OeuF-Dtd6PT2PZgc/edit?usp=drivesdk" TargetMode="External"/><Relationship Id="rId506" Type="http://schemas.openxmlformats.org/officeDocument/2006/relationships/hyperlink" Target="https://docs.google.com/document/d/1m1C7qH-RvtISodVTzFnc0zCfaESvlpdUWqL7qXa2jAI/edit?usp=drivesdk" TargetMode="External"/><Relationship Id="rId505" Type="http://schemas.openxmlformats.org/officeDocument/2006/relationships/hyperlink" Target="https://docs.google.com/document/d/1LKiFdPF2xoMtV-oMNwqBiUn6ICyiGtn1tnknYxYQ9Ls/edit?usp=drivesdk" TargetMode="External"/><Relationship Id="rId504" Type="http://schemas.openxmlformats.org/officeDocument/2006/relationships/hyperlink" Target="https://docs.google.com/document/d/1_E6_g5iposFy2WcBX--JAtTlDMw8mQI9CnaZjAGUTc4/edit?usp=drivesdk" TargetMode="External"/><Relationship Id="rId48" Type="http://schemas.openxmlformats.org/officeDocument/2006/relationships/hyperlink" Target="https://docs.google.com/document/d/1_BU8DyN37-pP7dXayBuVa2UgN4SSVZhJ2PswBb3iWpA/edit?usp=drivesdk" TargetMode="External"/><Relationship Id="rId47" Type="http://schemas.openxmlformats.org/officeDocument/2006/relationships/hyperlink" Target="https://docs.google.com/document/d/1Meihg5Jrur5EeX5nc6SpgFu2CqSqHvOVRaDjMu8Kzjw/edit?usp=drivesdk" TargetMode="External"/><Relationship Id="rId49" Type="http://schemas.openxmlformats.org/officeDocument/2006/relationships/hyperlink" Target="https://docs.google.com/document/d/1_99TZLD-k-C9EsSVpSJNccEWzt4WrxyVPB59pY1zq1c/edit?usp=drivesdk" TargetMode="External"/><Relationship Id="rId31" Type="http://schemas.openxmlformats.org/officeDocument/2006/relationships/hyperlink" Target="https://docs.google.com/document/d/1aRzzSkR4_IR2TrYGXtPq9lf_h_sywa9CZFinxHZ5IvA/edit?usp=drivesdk" TargetMode="External"/><Relationship Id="rId30" Type="http://schemas.openxmlformats.org/officeDocument/2006/relationships/hyperlink" Target="https://docs.google.com/document/d/1v_EdmdvVGzhAN3sdHRshOKc3HcBBu2-dgl8Cd4de5UM/edit?usp=drivesdk" TargetMode="External"/><Relationship Id="rId33" Type="http://schemas.openxmlformats.org/officeDocument/2006/relationships/hyperlink" Target="https://docs.google.com/document/d/1YVH9hAY0Il0DCK6rFfBHIM-B2FMeHXQEEJUjpA6N7-U/edit?usp=drivesdk" TargetMode="External"/><Relationship Id="rId32" Type="http://schemas.openxmlformats.org/officeDocument/2006/relationships/hyperlink" Target="https://docs.google.com/document/d/1UxSihKYLLd3ptxsJHs_8U8O3j5OHfzHKbjnt5FECBbs/edit?usp=drivesdk" TargetMode="External"/><Relationship Id="rId35" Type="http://schemas.openxmlformats.org/officeDocument/2006/relationships/hyperlink" Target="https://docs.google.com/document/d/1NVKICve706r0YkCzp__mT8BDMJdF4QnbOgxRSabgmKc/edit?usp=drivesdk" TargetMode="External"/><Relationship Id="rId34" Type="http://schemas.openxmlformats.org/officeDocument/2006/relationships/hyperlink" Target="https://docs.google.com/document/d/12huri7tFQSawQjEXKj8ob1-TqT9eABr2dmxojMW4czY/edit?usp=drivesdk" TargetMode="External"/><Relationship Id="rId37" Type="http://schemas.openxmlformats.org/officeDocument/2006/relationships/hyperlink" Target="https://docs.google.com/document/d/1ZYCXLV6gt2oXgWl9Ziwcxz8bjA1d5w_O5I7Ap6ZOB2M/edit?usp=drivesdk" TargetMode="External"/><Relationship Id="rId36" Type="http://schemas.openxmlformats.org/officeDocument/2006/relationships/hyperlink" Target="https://docs.google.com/document/d/1As9djMbo-ypJ-TIGH9yy3dPkMxR0WI1KMjZ3T-YgY3o/edit?usp=drivesdk" TargetMode="External"/><Relationship Id="rId39" Type="http://schemas.openxmlformats.org/officeDocument/2006/relationships/hyperlink" Target="https://docs.google.com/document/d/1_HH9Z8-j5vEDahK3SVVb5cw1dwoAO7QFzxqAWGE-CnI/edit?usp=drivesdk" TargetMode="External"/><Relationship Id="rId38" Type="http://schemas.openxmlformats.org/officeDocument/2006/relationships/hyperlink" Target="https://docs.google.com/document/d/10nnniawQVtJWr1j6dGtxHYuaPvjUZS_oEzRZ6f249BE/edit?usp=drivesdk" TargetMode="External"/><Relationship Id="rId20" Type="http://schemas.openxmlformats.org/officeDocument/2006/relationships/hyperlink" Target="https://docs.google.com/document/d/1JEa1CEgHyehbkiQb0UeiGakohFPxlUdscuddwbzrIxE/edit?usp=drivesdk" TargetMode="External"/><Relationship Id="rId22" Type="http://schemas.openxmlformats.org/officeDocument/2006/relationships/hyperlink" Target="https://docs.google.com/document/d/1cZgdQ9Bkry7GfAi9UtVtg27Em-ne__SFXnsOQWLIXOg/edit?usp=drivesdk" TargetMode="External"/><Relationship Id="rId21" Type="http://schemas.openxmlformats.org/officeDocument/2006/relationships/hyperlink" Target="https://docs.google.com/document/d/1JFryXOw2InmmGmXxxzshvZNk4sdpEONK7hn7Y_AqJRE/edit?usp=drivesdk" TargetMode="External"/><Relationship Id="rId24" Type="http://schemas.openxmlformats.org/officeDocument/2006/relationships/hyperlink" Target="https://docs.google.com/document/d/11JZf3cCy2oWzUnb0sX9zgzWgWoI2_8xAwaHHjF2yHkM/edit?usp=drivesdk" TargetMode="External"/><Relationship Id="rId23" Type="http://schemas.openxmlformats.org/officeDocument/2006/relationships/hyperlink" Target="https://docs.google.com/document/d/141YwKW4KI8Q1dzT2ZpYz1hJTIpHl_K-P_b2fL-FVL80/edit?usp=drivesdk" TargetMode="External"/><Relationship Id="rId409" Type="http://schemas.openxmlformats.org/officeDocument/2006/relationships/hyperlink" Target="https://docs.google.com/document/d/1LC1IYvAnDIH6sgJDDdHDIbOJPCKDdI8tSBH5EYeaN9I/edit?usp=drivesdk" TargetMode="External"/><Relationship Id="rId404" Type="http://schemas.openxmlformats.org/officeDocument/2006/relationships/hyperlink" Target="https://docs.google.com/document/d/1_EblonXbm1yhjT1MEa_-F031_IGkFPSW7vWvu5Hsklg/edit?usp=drivesdk" TargetMode="External"/><Relationship Id="rId403" Type="http://schemas.openxmlformats.org/officeDocument/2006/relationships/hyperlink" Target="https://docs.google.com/document/d/163XConguxRmfEJiz0qqtWQl8czIMwg0PZ_dbBQWiVoE/edit?usp=drivesdk" TargetMode="External"/><Relationship Id="rId402" Type="http://schemas.openxmlformats.org/officeDocument/2006/relationships/hyperlink" Target="https://docs.google.com/document/d/172vVxwop84YvNDb_72vQKInQJ2qcjf8BrLZ6GTgNcTo/edit?usp=drivesdk" TargetMode="External"/><Relationship Id="rId401" Type="http://schemas.openxmlformats.org/officeDocument/2006/relationships/hyperlink" Target="https://docs.google.com/document/d/1lKFj_Q6V3_7Ks5Z3aYgaiu-zNZ1Tcvga3effVH7ur7o/edit?usp=drivesdk" TargetMode="External"/><Relationship Id="rId408" Type="http://schemas.openxmlformats.org/officeDocument/2006/relationships/hyperlink" Target="https://docs.google.com/document/d/1OPJyWfnlaorB8XlVsMWimPBNc-pOQRB-7mepBOTyZ_U/edit?usp=drivesdk" TargetMode="External"/><Relationship Id="rId407" Type="http://schemas.openxmlformats.org/officeDocument/2006/relationships/hyperlink" Target="https://docs.google.com/document/d/1qZ-a0BeL3hRyRq4l3YXrwKyyqKN5gkchWbLgF1XfHNo/edit?usp=drivesdk" TargetMode="External"/><Relationship Id="rId406" Type="http://schemas.openxmlformats.org/officeDocument/2006/relationships/hyperlink" Target="https://docs.google.com/document/d/1IKbSBBabOKlmi4SgTvDk2__OUMhoNNZui34H6pmKKbs/edit?usp=drivesdk" TargetMode="External"/><Relationship Id="rId405" Type="http://schemas.openxmlformats.org/officeDocument/2006/relationships/hyperlink" Target="https://docs.google.com/document/d/1kHlAOqzXYOdFmF5mwK116zmtf-WGoNyKYM7eg3XI8fI/edit?usp=drivesdk" TargetMode="External"/><Relationship Id="rId26" Type="http://schemas.openxmlformats.org/officeDocument/2006/relationships/hyperlink" Target="https://docs.google.com/document/d/1pqxIs0u3K7GhvcOKvyC8IjsZWvGnhWY4BbRyjvR0EHs/edit?usp=drivesdk" TargetMode="External"/><Relationship Id="rId25" Type="http://schemas.openxmlformats.org/officeDocument/2006/relationships/hyperlink" Target="https://docs.google.com/document/d/1eL5Q6SNkiPmg7jIbli2gKBq4HNhYtjpYK0Xasr2D1E4/edit?usp=drivesdk" TargetMode="External"/><Relationship Id="rId28" Type="http://schemas.openxmlformats.org/officeDocument/2006/relationships/hyperlink" Target="https://docs.google.com/document/d/15XlgdKXD7KIdSk2IIAY4JghUF2KIMnTCytAv-cTrJKA/edit?usp=drivesdk" TargetMode="External"/><Relationship Id="rId27" Type="http://schemas.openxmlformats.org/officeDocument/2006/relationships/hyperlink" Target="https://docs.google.com/document/d/1o_kh_Z-U6_tGhTgiT0C3Z1YHstpG_03KK-kY2lq7ebs/edit?usp=drivesdk" TargetMode="External"/><Relationship Id="rId400" Type="http://schemas.openxmlformats.org/officeDocument/2006/relationships/hyperlink" Target="https://docs.google.com/document/d/1gYnYcrd2vVUnyywSfLpzSXQMaeBhGeh-LmrYZ9gNiQs/edit?usp=drivesdk" TargetMode="External"/><Relationship Id="rId29" Type="http://schemas.openxmlformats.org/officeDocument/2006/relationships/hyperlink" Target="https://docs.google.com/document/d/1v2wrRH98Mb6W56K8yPZheM1Zp9pKLMkjPI3HLleM2-E/edit?usp=drivesdk" TargetMode="External"/><Relationship Id="rId11" Type="http://schemas.openxmlformats.org/officeDocument/2006/relationships/hyperlink" Target="https://drive.google.com/a/gtmnerr.org/file/d/1wwbmFLgI3rXytEVbNoq8P0VpSeSlZpZt/view?usp=drivesdk" TargetMode="External"/><Relationship Id="rId10" Type="http://schemas.openxmlformats.org/officeDocument/2006/relationships/hyperlink" Target="https://drive.google.com/a/gtmnerr.org/file/d/1VQkdorZRbfabc3AEa7o8ja86ZuyLfsIJ/view?usp=drivesdk" TargetMode="External"/><Relationship Id="rId13" Type="http://schemas.openxmlformats.org/officeDocument/2006/relationships/hyperlink" Target="https://drive.google.com/a/gtmnerr.org/file/d/1xtziDCcDw8NcS5SRk_17AU3Q8TKpQ1Z4/view?usp=drivesdk" TargetMode="External"/><Relationship Id="rId12" Type="http://schemas.openxmlformats.org/officeDocument/2006/relationships/hyperlink" Target="https://drive.google.com/a/gtmnerr.org/file/d/1PS5YPza6b0J9agPHBVTnWxTfvhLIFch7/view?usp=drivesdk" TargetMode="External"/><Relationship Id="rId514" Type="http://schemas.openxmlformats.org/officeDocument/2006/relationships/hyperlink" Target="https://docs.google.com/document/d/1aYmJ0p8fesI4eujF2xZto-P721vPgu_tdrmmxkLjpus/edit?usp=drivesdk" TargetMode="External"/><Relationship Id="rId513" Type="http://schemas.openxmlformats.org/officeDocument/2006/relationships/hyperlink" Target="https://docs.google.com/document/d/141L8UhKJis0YSYB7-3YSCuAa6cFHq5iBXy0kgXy5xOI/edit?usp=drivesdk" TargetMode="External"/><Relationship Id="rId512" Type="http://schemas.openxmlformats.org/officeDocument/2006/relationships/hyperlink" Target="https://docs.google.com/document/d/1byzPSWRScHvsiX5XKkYHTFEcYBwG1NT4fDZv-yHyYEk/edit?usp=drivesdk" TargetMode="External"/><Relationship Id="rId511" Type="http://schemas.openxmlformats.org/officeDocument/2006/relationships/hyperlink" Target="https://docs.google.com/document/d/14oulgEg-yJPFmQSY4bD3bdsJ4sA8mYaLqVL8UtUMh5E/edit?usp=drivesdk" TargetMode="External"/><Relationship Id="rId516" Type="http://schemas.openxmlformats.org/officeDocument/2006/relationships/drawing" Target="../drawings/drawing1.xml"/><Relationship Id="rId515" Type="http://schemas.openxmlformats.org/officeDocument/2006/relationships/hyperlink" Target="https://docs.google.com/document/d/15R6KDcAgMg4g32JX0yb0OtN7Ba7cEz3LJa5uRR2T0aA/edit?usp=drivesdk" TargetMode="External"/><Relationship Id="rId15" Type="http://schemas.openxmlformats.org/officeDocument/2006/relationships/hyperlink" Target="https://drive.google.com/a/gtmnerr.org/file/d/1iSoKHDcZ4JzQNG4JwzRoVeKu0BXy7IBM/view?usp=drivesdk" TargetMode="External"/><Relationship Id="rId14" Type="http://schemas.openxmlformats.org/officeDocument/2006/relationships/hyperlink" Target="https://drive.google.com/a/gtmnerr.org/file/d/1dZ2zFneiLNJ-LVQ0meYVs4oB71EuzBH6/view?usp=drivesdk" TargetMode="External"/><Relationship Id="rId17" Type="http://schemas.openxmlformats.org/officeDocument/2006/relationships/hyperlink" Target="https://docs.google.com/document/d/1lvnFSpiVYr6imjfOlWlxPW2ouTpS9jO0pAxu4_Njk7M/edit?usp=drivesdk" TargetMode="External"/><Relationship Id="rId16" Type="http://schemas.openxmlformats.org/officeDocument/2006/relationships/hyperlink" Target="https://drive.google.com/a/gtmnerr.org/file/d/1X-tbMcKrUC7VZG_2B5PruW_7lMpu_1vI/view?usp=drivesdk" TargetMode="External"/><Relationship Id="rId19" Type="http://schemas.openxmlformats.org/officeDocument/2006/relationships/hyperlink" Target="https://docs.google.com/document/d/1xUIhT2sRTDOWmpUEFwaZu47fXh5-6Kw9MpWVOIypX_Y/edit?usp=drivesdk" TargetMode="External"/><Relationship Id="rId510" Type="http://schemas.openxmlformats.org/officeDocument/2006/relationships/hyperlink" Target="https://docs.google.com/document/d/1nN7xLUceiqkgIR5qXSYfcLXQYVdvjss9mABDETalDM0/edit?usp=drivesdk" TargetMode="External"/><Relationship Id="rId18" Type="http://schemas.openxmlformats.org/officeDocument/2006/relationships/hyperlink" Target="https://docs.google.com/document/d/1yuciw9UAQC0hXjE6C7ODRboAy7GXEhKwmAu3V1IstVw/edit?usp=drivesdk" TargetMode="External"/><Relationship Id="rId84" Type="http://schemas.openxmlformats.org/officeDocument/2006/relationships/hyperlink" Target="https://docs.google.com/document/d/1BaYGUmqVMqP7K6yogEN7JA9Puier9G8taRo2F6LjQ64/edit?usp=drivesdk" TargetMode="External"/><Relationship Id="rId83" Type="http://schemas.openxmlformats.org/officeDocument/2006/relationships/hyperlink" Target="https://docs.google.com/document/d/1Yf58Vo3igrV_L3FTGJfaglDeuNiDkG2mScsf6Af2oGg/edit?usp=drivesdk" TargetMode="External"/><Relationship Id="rId86" Type="http://schemas.openxmlformats.org/officeDocument/2006/relationships/hyperlink" Target="https://docs.google.com/document/d/1cg_61x0Prb1H5bL7SShihaJ8nyb-k-Re1xSmZMw8yHQ/edit?usp=drivesdk" TargetMode="External"/><Relationship Id="rId85" Type="http://schemas.openxmlformats.org/officeDocument/2006/relationships/hyperlink" Target="https://docs.google.com/document/d/1tlC1SwEUPLpFXpij-oCM2rMilZlFExtd_0xZd7qUeZM/edit?usp=drivesdk" TargetMode="External"/><Relationship Id="rId88" Type="http://schemas.openxmlformats.org/officeDocument/2006/relationships/hyperlink" Target="https://docs.google.com/document/d/1DymsQ1HeGPgIcWUJTZNcP4_6Zo3y4_qnZSDka3MTvQk/edit?usp=drivesdk" TargetMode="External"/><Relationship Id="rId87" Type="http://schemas.openxmlformats.org/officeDocument/2006/relationships/hyperlink" Target="https://docs.google.com/document/d/1g6-SDWzTDxEaT_6esAFl7Ag0FmdmW2RSeVn4yz_-SWI/edit?usp=drivesdk" TargetMode="External"/><Relationship Id="rId89" Type="http://schemas.openxmlformats.org/officeDocument/2006/relationships/hyperlink" Target="https://docs.google.com/document/d/1M1nSKDRh8KbBXalT-n5-pUJ-LMgc4RpRlvCNRApVBRo/edit?usp=drivesdk" TargetMode="External"/><Relationship Id="rId80" Type="http://schemas.openxmlformats.org/officeDocument/2006/relationships/hyperlink" Target="https://docs.google.com/document/d/1B2B_zzU6VYd5JQ-56maF2bnECN2oN8ZVlQhWEyzl5pg/edit?usp=drivesdk" TargetMode="External"/><Relationship Id="rId82" Type="http://schemas.openxmlformats.org/officeDocument/2006/relationships/hyperlink" Target="https://docs.google.com/document/d/1hYRN2pBVHw4Yusqyy9lepzKzhEppwr8z0-qaMhE2DYQ/edit?usp=drivesdk" TargetMode="External"/><Relationship Id="rId81" Type="http://schemas.openxmlformats.org/officeDocument/2006/relationships/hyperlink" Target="https://docs.google.com/document/d/1_Jz1cLc_0eyZ6COebIUYyR_BuSj6Ej0LPmwxx-PUG2s/edit?usp=drivesdk" TargetMode="External"/><Relationship Id="rId73" Type="http://schemas.openxmlformats.org/officeDocument/2006/relationships/hyperlink" Target="https://docs.google.com/document/d/1g5f9yPdc6uaO_l9y9K3YLZPe5ak-o0BxRUX5eZ2dmP0/edit?usp=drivesdk" TargetMode="External"/><Relationship Id="rId72" Type="http://schemas.openxmlformats.org/officeDocument/2006/relationships/hyperlink" Target="https://docs.google.com/document/d/1B6fzv88D5-nJ8bnEEW7BlQPXBFnv4G5EWzrYGS9Jm9w/edit?usp=drivesdk" TargetMode="External"/><Relationship Id="rId75" Type="http://schemas.openxmlformats.org/officeDocument/2006/relationships/hyperlink" Target="https://docs.google.com/document/d/1acVIuNRHP6o9EhpjLyK7BPUBmQo2wAa7dSOlClJFeIA/edit?usp=drivesdk" TargetMode="External"/><Relationship Id="rId74" Type="http://schemas.openxmlformats.org/officeDocument/2006/relationships/hyperlink" Target="https://docs.google.com/document/d/1FGSJu50WpKVPQMMjfQsJgZFm6YVlPd9AmbZ7l5n8PbY/edit?usp=drivesdk" TargetMode="External"/><Relationship Id="rId77" Type="http://schemas.openxmlformats.org/officeDocument/2006/relationships/hyperlink" Target="https://docs.google.com/document/d/1cWHC30uCG8clysPvFjcXE45CuDzXqmgLp_YEJ8TY14o/edit?usp=drivesdk" TargetMode="External"/><Relationship Id="rId76" Type="http://schemas.openxmlformats.org/officeDocument/2006/relationships/hyperlink" Target="https://docs.google.com/document/d/1wU-ztvrplHNJ3Wq6k-7vP1L8aMRqh_hvA2p-U5wWUF0/edit?usp=drivesdk" TargetMode="External"/><Relationship Id="rId79" Type="http://schemas.openxmlformats.org/officeDocument/2006/relationships/hyperlink" Target="https://docs.google.com/document/d/1Gyx9ROaTKWuy-76rkui4kE2dTnRUDtMTJAqKpXUVmj4/edit?usp=drivesdk" TargetMode="External"/><Relationship Id="rId78" Type="http://schemas.openxmlformats.org/officeDocument/2006/relationships/hyperlink" Target="https://docs.google.com/document/d/15JSaSCbxrJwu6kwkLTnDA9-lYy2XQUHFjS2JiRUKLGM/edit?usp=drivesdk" TargetMode="External"/><Relationship Id="rId71" Type="http://schemas.openxmlformats.org/officeDocument/2006/relationships/hyperlink" Target="https://docs.google.com/document/d/1fdR1XrqTv5cgCvbuRnVbbi9FDd6k8Mk-S0hm8LSStSE/edit?usp=drivesdk" TargetMode="External"/><Relationship Id="rId70" Type="http://schemas.openxmlformats.org/officeDocument/2006/relationships/hyperlink" Target="https://docs.google.com/document/d/1StEQUgg0DdG61MF8-4mfq09rrv9NLcT7qfqHE2eQsnQ/edit?usp=drivesdk" TargetMode="External"/><Relationship Id="rId62" Type="http://schemas.openxmlformats.org/officeDocument/2006/relationships/hyperlink" Target="https://docs.google.com/document/d/1v7q-IULNLh2s7jlsl-iuhE7Fi_UIkWYnjOZQaPhKCSs/edit?usp=drivesdk" TargetMode="External"/><Relationship Id="rId61" Type="http://schemas.openxmlformats.org/officeDocument/2006/relationships/hyperlink" Target="https://docs.google.com/document/d/18sH7tpcvRVPrnvu5INSV_e-yIKj2uGcQozGVLnx_pZU/edit?usp=drivesdk" TargetMode="External"/><Relationship Id="rId64" Type="http://schemas.openxmlformats.org/officeDocument/2006/relationships/hyperlink" Target="https://docs.google.com/document/d/1ntrs6YFpK78CyX3JOrufebLGk1XUDopFAGN4tHmjzSY/edit?usp=drivesdk" TargetMode="External"/><Relationship Id="rId63" Type="http://schemas.openxmlformats.org/officeDocument/2006/relationships/hyperlink" Target="https://docs.google.com/document/d/1L0kzkzO3R_dAJCQe55pzE_QXkWNAsyj-X0rnm0gVaQY/edit?usp=drivesdk" TargetMode="External"/><Relationship Id="rId66" Type="http://schemas.openxmlformats.org/officeDocument/2006/relationships/hyperlink" Target="https://docs.google.com/document/d/1XauK_Lwrv1Qt95jY2ZpwtpyOvOLtQrABuSS55AExW6U/edit?usp=drivesdk" TargetMode="External"/><Relationship Id="rId65" Type="http://schemas.openxmlformats.org/officeDocument/2006/relationships/hyperlink" Target="https://docs.google.com/document/d/1FpILXcPLEtzulcfVT6SGTL70ibQT75O0hb2ZfXmGgmI/edit?usp=drivesdk" TargetMode="External"/><Relationship Id="rId68" Type="http://schemas.openxmlformats.org/officeDocument/2006/relationships/hyperlink" Target="https://docs.google.com/document/d/1XiMLRnysfffxhmnRhmieWEnwz45lXHcfCtEJfVr3uy4/edit?usp=drivesdk" TargetMode="External"/><Relationship Id="rId67" Type="http://schemas.openxmlformats.org/officeDocument/2006/relationships/hyperlink" Target="https://docs.google.com/document/d/1jQ1Oq7IYAKkafOHydGGQLYmkCHw1ud0uqub5wzV9okc/edit?usp=drivesdk" TargetMode="External"/><Relationship Id="rId60" Type="http://schemas.openxmlformats.org/officeDocument/2006/relationships/hyperlink" Target="https://docs.google.com/document/d/1KwWbRZ0rfVkD6cgG4sahSuTzc2waIBHIwhs9aelaYeM/edit?usp=drivesdk" TargetMode="External"/><Relationship Id="rId69" Type="http://schemas.openxmlformats.org/officeDocument/2006/relationships/hyperlink" Target="https://docs.google.com/document/d/1qsBp188AIvYYa7bWDNtbtdNGEWYhVYQXnzAKQ6cwFU4/edit?usp=drivesdk" TargetMode="External"/><Relationship Id="rId51" Type="http://schemas.openxmlformats.org/officeDocument/2006/relationships/hyperlink" Target="https://docs.google.com/document/d/1f4rCTUh5g2HKvT37iHIzLi2xkFwrlxrV8ZlB-EPRd_0/edit?usp=drivesdk" TargetMode="External"/><Relationship Id="rId50" Type="http://schemas.openxmlformats.org/officeDocument/2006/relationships/hyperlink" Target="https://docs.google.com/document/d/1OT1kes3CIgU0ZoBNEpPtzP0zZ3y229Cg9-mTm6wn5UM/edit?usp=drivesdk" TargetMode="External"/><Relationship Id="rId53" Type="http://schemas.openxmlformats.org/officeDocument/2006/relationships/hyperlink" Target="https://docs.google.com/document/d/1nhihx7WUJyq9xrne-IuE8z6M1bOCmJPhlEGshsFWGQU/edit?usp=drivesdk" TargetMode="External"/><Relationship Id="rId52" Type="http://schemas.openxmlformats.org/officeDocument/2006/relationships/hyperlink" Target="https://docs.google.com/document/d/1omI7AifJyv7VBder7xWpamlAqbP_DccSbkNyJKL1wJk/edit?usp=drivesdk" TargetMode="External"/><Relationship Id="rId55" Type="http://schemas.openxmlformats.org/officeDocument/2006/relationships/hyperlink" Target="https://docs.google.com/document/d/1Ad-FJGyHWoa6R8teeyJx_5DdPsF8CvyTVaG0dnm6hzA/edit?usp=drivesdk" TargetMode="External"/><Relationship Id="rId54" Type="http://schemas.openxmlformats.org/officeDocument/2006/relationships/hyperlink" Target="https://docs.google.com/document/d/14xL-FgR87Xdn5S8WoYx0_em_jRQvOEXqyE9kNUhAwZs/edit?usp=drivesdk" TargetMode="External"/><Relationship Id="rId57" Type="http://schemas.openxmlformats.org/officeDocument/2006/relationships/hyperlink" Target="https://docs.google.com/document/d/1segsGRdC7iRishkJwC9X3suCxEE9-PDWq8OEnJz3WW4/edit?usp=drivesdk" TargetMode="External"/><Relationship Id="rId56" Type="http://schemas.openxmlformats.org/officeDocument/2006/relationships/hyperlink" Target="https://docs.google.com/document/d/1ZVWr_QqAdt-Iz7q9i3GNK8i0lyZgwCCfyxmlR1hJwkw/edit?usp=drivesdk" TargetMode="External"/><Relationship Id="rId59" Type="http://schemas.openxmlformats.org/officeDocument/2006/relationships/hyperlink" Target="https://docs.google.com/document/d/1zx2ToY0GcjujicDXZiUTnvQUpIp0-oiJuQlUByUuEXk/edit?usp=drivesdk" TargetMode="External"/><Relationship Id="rId58" Type="http://schemas.openxmlformats.org/officeDocument/2006/relationships/hyperlink" Target="https://docs.google.com/document/d/1YErNHz-z5auJhRmMWf7quuIOf99gflm67GG5yE4XHtw/edit?usp=drivesdk" TargetMode="External"/><Relationship Id="rId107" Type="http://schemas.openxmlformats.org/officeDocument/2006/relationships/hyperlink" Target="https://docs.google.com/document/d/1V_UjvbS_4beIAIbGI2rknHAZN_bkiraEkuj6Ua6mwWE/edit?usp=drivesdk" TargetMode="External"/><Relationship Id="rId228" Type="http://schemas.openxmlformats.org/officeDocument/2006/relationships/hyperlink" Target="https://docs.google.com/document/d/1Wg9Zp0UHwlUm4go4IGLILI0V5u0WvC2wzcoeNBDzINg/edit?usp=drivesdk" TargetMode="External"/><Relationship Id="rId349" Type="http://schemas.openxmlformats.org/officeDocument/2006/relationships/hyperlink" Target="https://docs.google.com/document/d/1A0N0MGKq44r4WVGGlz3AGJmeioeR0rtdAgdYTyR479E/edit?usp=drivesdk" TargetMode="External"/><Relationship Id="rId106" Type="http://schemas.openxmlformats.org/officeDocument/2006/relationships/hyperlink" Target="https://docs.google.com/document/d/1FbfrpXrmysodX8qvntPP4u8abx1oSvLdYgvdnAhlqV4/edit?usp=drivesdk" TargetMode="External"/><Relationship Id="rId227" Type="http://schemas.openxmlformats.org/officeDocument/2006/relationships/hyperlink" Target="https://docs.google.com/document/d/14pAUYwsaSmzX3501xXPXCLv9Bc9CBsp_aTg69Fj2q_c/edit?usp=drivesdk" TargetMode="External"/><Relationship Id="rId348" Type="http://schemas.openxmlformats.org/officeDocument/2006/relationships/hyperlink" Target="https://docs.google.com/document/d/17A4uRgXYnvF9AqyKS1BltihQdj9B2XvMFNMWZqS165M/edit?usp=drivesdk" TargetMode="External"/><Relationship Id="rId469" Type="http://schemas.openxmlformats.org/officeDocument/2006/relationships/hyperlink" Target="https://docs.google.com/document/d/1ZNiHciiuxCGN-TrD_Oge6bnmI0cb_1j_xs7GOnxOotw/edit?usp=drivesdk" TargetMode="External"/><Relationship Id="rId105" Type="http://schemas.openxmlformats.org/officeDocument/2006/relationships/hyperlink" Target="https://docs.google.com/document/d/1-b6Gewks7v19ieHsXcoC8h0jDEWW_u_gOcnr1iFkHVU/edit?usp=drivesdk" TargetMode="External"/><Relationship Id="rId226" Type="http://schemas.openxmlformats.org/officeDocument/2006/relationships/hyperlink" Target="https://docs.google.com/document/d/1vmmHbbEKOlfRp-_iKH2vKvCl0CVCLNAqtyyG8zrDGGo/edit?usp=drivesdk" TargetMode="External"/><Relationship Id="rId347" Type="http://schemas.openxmlformats.org/officeDocument/2006/relationships/hyperlink" Target="https://docs.google.com/document/d/1XcVFZzDY85Qnprn6bdjN8xHXM896AB5RZfyIW2kUNRc/edit?usp=drivesdk" TargetMode="External"/><Relationship Id="rId468" Type="http://schemas.openxmlformats.org/officeDocument/2006/relationships/hyperlink" Target="https://docs.google.com/document/d/1eWQd0y-2Ifc1Jo3GIVsL30Yze6kP_BNpjmRFsdCugbA/edit?usp=drivesdk" TargetMode="External"/><Relationship Id="rId104" Type="http://schemas.openxmlformats.org/officeDocument/2006/relationships/hyperlink" Target="https://docs.google.com/document/d/1q53uSpEdchRnj-Rtxaj4hDDzRXe32da2SRUUmKfdEYs/edit?usp=drivesdk" TargetMode="External"/><Relationship Id="rId225" Type="http://schemas.openxmlformats.org/officeDocument/2006/relationships/hyperlink" Target="https://docs.google.com/document/d/1eml75LLBrnwv1nCwBu_-OJNxHvJ3ubC1U_W3NBu9nRM/edit?usp=drivesdk" TargetMode="External"/><Relationship Id="rId346" Type="http://schemas.openxmlformats.org/officeDocument/2006/relationships/hyperlink" Target="https://docs.google.com/document/d/1_ixFUqqY3pBFYyko_LJxme1mlZsxKkUiApejiVxk4Vk/edit?usp=drivesdk" TargetMode="External"/><Relationship Id="rId467" Type="http://schemas.openxmlformats.org/officeDocument/2006/relationships/hyperlink" Target="https://docs.google.com/document/d/18ueYMCS9PuEcdj5e2Dexz71bQVfSkZh4Jcpu8cHWIEU/edit?usp=drivesdk" TargetMode="External"/><Relationship Id="rId109" Type="http://schemas.openxmlformats.org/officeDocument/2006/relationships/hyperlink" Target="https://docs.google.com/document/d/1XqXDCS49mMlYjyDJhRRyb2rd--vYYMQZl9cTt1SyJXY/edit?usp=drivesdk" TargetMode="External"/><Relationship Id="rId108" Type="http://schemas.openxmlformats.org/officeDocument/2006/relationships/hyperlink" Target="https://docs.google.com/document/d/1FoCPEaVaT4-aS9Qr0r4nW6zlRTuDNZoJ3QoyHDTqm4A/edit?usp=drivesdk" TargetMode="External"/><Relationship Id="rId229" Type="http://schemas.openxmlformats.org/officeDocument/2006/relationships/hyperlink" Target="https://docs.google.com/document/d/1sDmDyYMJ_Z6YauBF7BJ7lbIu9r7ZI3aH4vnfTBeQ-Is/edit?usp=drivesdk" TargetMode="External"/><Relationship Id="rId220" Type="http://schemas.openxmlformats.org/officeDocument/2006/relationships/hyperlink" Target="https://docs.google.com/document/d/1itUqLCg4quoRnKKQPLsV-rj3IX1_eBmEhbjlCHZeqlc/edit?usp=drivesdk" TargetMode="External"/><Relationship Id="rId341" Type="http://schemas.openxmlformats.org/officeDocument/2006/relationships/hyperlink" Target="https://docs.google.com/document/d/1CvkBjFbxX2vq9UR6Nu2rTcNsfr1a8UDMyRu0D7wuXhg/edit?usp=drivesdk" TargetMode="External"/><Relationship Id="rId462" Type="http://schemas.openxmlformats.org/officeDocument/2006/relationships/hyperlink" Target="https://docs.google.com/document/d/1cRqHYijxrV4_pPbX7RD-5IfiCLeFdjnQzlrF8IOye4A/edit?usp=drivesdk" TargetMode="External"/><Relationship Id="rId340" Type="http://schemas.openxmlformats.org/officeDocument/2006/relationships/hyperlink" Target="https://docs.google.com/document/d/1llt-6l9NzJX6gjQSBbMbdkVYI69LprJx27c3azv2kbo/edit?usp=drivesdk" TargetMode="External"/><Relationship Id="rId461" Type="http://schemas.openxmlformats.org/officeDocument/2006/relationships/hyperlink" Target="https://docs.google.com/document/d/1ht4KR4PwKwVAbilS9T0Jtztvf1v3rhtaFwZhObvyNLw/edit?usp=drivesdk" TargetMode="External"/><Relationship Id="rId460" Type="http://schemas.openxmlformats.org/officeDocument/2006/relationships/hyperlink" Target="https://docs.google.com/document/d/1RHiYVjY9-4YF0lckv35EaQ4iFUfcAeZtNCiaiKv_ifE/edit?usp=drivesdk" TargetMode="External"/><Relationship Id="rId103" Type="http://schemas.openxmlformats.org/officeDocument/2006/relationships/hyperlink" Target="https://docs.google.com/document/d/1LabdHmssr2wUehcOV54gssrkT8MfwEnxZTasLs1gtgo/edit?usp=drivesdk" TargetMode="External"/><Relationship Id="rId224" Type="http://schemas.openxmlformats.org/officeDocument/2006/relationships/hyperlink" Target="https://docs.google.com/document/d/1Yt2HD3iejFIbR5_nzxBX4oSXL467Y0dEFPeCK--9RKY/edit?usp=drivesdk" TargetMode="External"/><Relationship Id="rId345" Type="http://schemas.openxmlformats.org/officeDocument/2006/relationships/hyperlink" Target="https://docs.google.com/document/d/17-ejbLkrYmuOCBKs8rnXdpzSNQId2GnwAk45L75Y62U/edit?usp=drivesdk" TargetMode="External"/><Relationship Id="rId466" Type="http://schemas.openxmlformats.org/officeDocument/2006/relationships/hyperlink" Target="https://docs.google.com/document/d/10Pq2dFcd8rSR6s3ZPl55x0eCQEeN13hjFpn0InKn-zA/edit?usp=drivesdk" TargetMode="External"/><Relationship Id="rId102" Type="http://schemas.openxmlformats.org/officeDocument/2006/relationships/hyperlink" Target="https://docs.google.com/document/d/1Xqh3FggsY2bltRwZowLuBS6_e56PQHzyI4rVU95A2Zg/edit?usp=drivesdk" TargetMode="External"/><Relationship Id="rId223" Type="http://schemas.openxmlformats.org/officeDocument/2006/relationships/hyperlink" Target="https://docs.google.com/document/d/1vjgkI4Lfj1nbvK_7qvSxeRdAub1lhBKrshH59fnzSM4/edit?usp=drivesdk" TargetMode="External"/><Relationship Id="rId344" Type="http://schemas.openxmlformats.org/officeDocument/2006/relationships/hyperlink" Target="https://docs.google.com/document/d/1VFwoXvxUp9esJMS9AjQJUjDLucKnSGwDdiqVmF5mxvQ/edit?usp=drivesdk" TargetMode="External"/><Relationship Id="rId465" Type="http://schemas.openxmlformats.org/officeDocument/2006/relationships/hyperlink" Target="https://docs.google.com/document/d/1mRsg8UU1_qBmth7c0i0zK_eqLA777I_HlUDbnNeoAu8/edit?usp=drivesdk" TargetMode="External"/><Relationship Id="rId101" Type="http://schemas.openxmlformats.org/officeDocument/2006/relationships/hyperlink" Target="https://docs.google.com/document/d/1ERbNqlmZ7cO96gpNW3hInnDf7lFEo276aaUSKUXyTaw/edit?usp=drivesdk" TargetMode="External"/><Relationship Id="rId222" Type="http://schemas.openxmlformats.org/officeDocument/2006/relationships/hyperlink" Target="https://docs.google.com/document/d/1f2_RdO7f651I6OZS4bfi5p2XdGlREoePCDX_MNDvHz0/edit?usp=drivesdk" TargetMode="External"/><Relationship Id="rId343" Type="http://schemas.openxmlformats.org/officeDocument/2006/relationships/hyperlink" Target="https://docs.google.com/document/d/1waXJaaxuMbyg-WQ34-bf7iNATV2Cu-MmkLtMWtKzsvc/edit?usp=drivesdk" TargetMode="External"/><Relationship Id="rId464" Type="http://schemas.openxmlformats.org/officeDocument/2006/relationships/hyperlink" Target="https://docs.google.com/document/d/1SOV0UdB55rp9XaUmInRbqKUHRSOAHs5qFw6sitgs6Wk/edit?usp=drivesdk" TargetMode="External"/><Relationship Id="rId100" Type="http://schemas.openxmlformats.org/officeDocument/2006/relationships/hyperlink" Target="https://docs.google.com/document/d/1Zr-dHoYFPh8hWNtbTV1mMdu01l2o95lPBKDPC730sdw/edit?usp=drivesdk" TargetMode="External"/><Relationship Id="rId221" Type="http://schemas.openxmlformats.org/officeDocument/2006/relationships/hyperlink" Target="https://docs.google.com/document/d/1bAeE-YdJ3DaWyl_d93o31dCFP2fpmOBW8VVlRCpTtr8/edit?usp=drivesdk" TargetMode="External"/><Relationship Id="rId342" Type="http://schemas.openxmlformats.org/officeDocument/2006/relationships/hyperlink" Target="https://docs.google.com/document/d/11x0CkR3ktEFIujcLW_1aRWhBz7-fh-ehKWEqiRQ6-Bs/edit?usp=drivesdk" TargetMode="External"/><Relationship Id="rId463" Type="http://schemas.openxmlformats.org/officeDocument/2006/relationships/hyperlink" Target="https://docs.google.com/document/d/1bJjngFVPOFzo5ER4E-G5LhmHysIoL1jI-vCNoprStLg/edit?usp=drivesdk" TargetMode="External"/><Relationship Id="rId217" Type="http://schemas.openxmlformats.org/officeDocument/2006/relationships/hyperlink" Target="https://docs.google.com/document/d/14VlWjsETlFQ2d5qk_szZ5WONt_dxnNxiUZBzsMiNW10/edit?usp=drivesdk" TargetMode="External"/><Relationship Id="rId338" Type="http://schemas.openxmlformats.org/officeDocument/2006/relationships/hyperlink" Target="https://docs.google.com/document/d/1PicdNXXQZ-9U5WxAltsBvLegzKfGcnA5Rh_W_l0A7Ss/edit?usp=drivesdk" TargetMode="External"/><Relationship Id="rId459" Type="http://schemas.openxmlformats.org/officeDocument/2006/relationships/hyperlink" Target="https://docs.google.com/document/d/1exSR_49qEXTDF3RI0mOobFnMhkRjTAvhT5YDX3nR2bY/edit?usp=drivesdk" TargetMode="External"/><Relationship Id="rId216" Type="http://schemas.openxmlformats.org/officeDocument/2006/relationships/hyperlink" Target="https://docs.google.com/document/d/1fSs9eCOq3hWlcEUsnZCYxYLdt3MBFViSiMNmwpFrbqo/edit?usp=drivesdk" TargetMode="External"/><Relationship Id="rId337" Type="http://schemas.openxmlformats.org/officeDocument/2006/relationships/hyperlink" Target="https://docs.google.com/document/d/14fkCLW9hj_7t4_UA1zwCoY5Xee29jCtOYN7O8CObxMM/edit?usp=drivesdk" TargetMode="External"/><Relationship Id="rId458" Type="http://schemas.openxmlformats.org/officeDocument/2006/relationships/hyperlink" Target="https://docs.google.com/document/d/1F8W1BsCvrmv-v2LIuvU9wyI3HOyz_vu6ru4jTZf1DCY/edit?usp=drivesdk" TargetMode="External"/><Relationship Id="rId215" Type="http://schemas.openxmlformats.org/officeDocument/2006/relationships/hyperlink" Target="https://docs.google.com/document/d/1cLJrO_7vYjsC5Las3DO7HiNkHwUoPLtkT1XEBLKwk2I/edit?usp=drivesdk" TargetMode="External"/><Relationship Id="rId336" Type="http://schemas.openxmlformats.org/officeDocument/2006/relationships/hyperlink" Target="https://docs.google.com/document/d/15hEqU8nv3aRpQI8ho-4D11gMDcOtqzF6M5xm45xB7GM/edit?usp=drivesdk" TargetMode="External"/><Relationship Id="rId457" Type="http://schemas.openxmlformats.org/officeDocument/2006/relationships/hyperlink" Target="https://docs.google.com/document/d/1rxH0rJ98dJK4X5bbJaoAGGflljfPw1gwfQL6B2O0ksM/edit?usp=drivesdk" TargetMode="External"/><Relationship Id="rId214" Type="http://schemas.openxmlformats.org/officeDocument/2006/relationships/hyperlink" Target="https://docs.google.com/document/d/1GOBsFESX6f9qZ6TPdcc-u6UgUVmptfCcKPpgKqBe1ww/edit?usp=drivesdk" TargetMode="External"/><Relationship Id="rId335" Type="http://schemas.openxmlformats.org/officeDocument/2006/relationships/hyperlink" Target="https://docs.google.com/document/d/157atlnV4PfNUXltB_9nowSR6oPh6zVU7PPouDkoFvdw/edit?usp=drivesdk" TargetMode="External"/><Relationship Id="rId456" Type="http://schemas.openxmlformats.org/officeDocument/2006/relationships/hyperlink" Target="https://docs.google.com/document/d/1QddUwrZdJV4ixLSWPW4dMpr5PP4hsvdstW26I4rlJwE/edit?usp=drivesdk" TargetMode="External"/><Relationship Id="rId219" Type="http://schemas.openxmlformats.org/officeDocument/2006/relationships/hyperlink" Target="https://docs.google.com/document/d/1R42heGi2q08QFfpu_TBe529dTzIeq4zdK5DrHcNnHbY/edit?usp=drivesdk" TargetMode="External"/><Relationship Id="rId218" Type="http://schemas.openxmlformats.org/officeDocument/2006/relationships/hyperlink" Target="https://docs.google.com/document/d/1Vt0pUicYELfU8R8zAnYq1oBkEo08TQq0YR1IqW-z6do/edit?usp=drivesdk" TargetMode="External"/><Relationship Id="rId339" Type="http://schemas.openxmlformats.org/officeDocument/2006/relationships/hyperlink" Target="https://docs.google.com/document/d/113DLTrCCyaw_Y3on57xBfNQ45zZm907eJeve6z6J0rk/edit?usp=drivesdk" TargetMode="External"/><Relationship Id="rId330" Type="http://schemas.openxmlformats.org/officeDocument/2006/relationships/hyperlink" Target="https://docs.google.com/document/d/1KcgaayyBJ7F6uQm0nvdHRmo9_83OCOz8oj2qRca9CDM/edit?usp=drivesdk" TargetMode="External"/><Relationship Id="rId451" Type="http://schemas.openxmlformats.org/officeDocument/2006/relationships/hyperlink" Target="https://docs.google.com/document/d/1t_HbU2KMIckKkFaXHUZlIFIY1bDLUHLlTkApJ2_oJx8/edit?usp=drivesdk" TargetMode="External"/><Relationship Id="rId450" Type="http://schemas.openxmlformats.org/officeDocument/2006/relationships/hyperlink" Target="https://docs.google.com/document/d/1QJ8qppcBqpikeIHSEle2xykj56OYREhWCr7N0Svg7Gw/edit?usp=drivesdk" TargetMode="External"/><Relationship Id="rId213" Type="http://schemas.openxmlformats.org/officeDocument/2006/relationships/hyperlink" Target="https://docs.google.com/document/d/1CUCpLehHRWB0zqBa_QILwFpQoJRVitx2XHWrEXyFSLw/edit?usp=drivesdk" TargetMode="External"/><Relationship Id="rId334" Type="http://schemas.openxmlformats.org/officeDocument/2006/relationships/hyperlink" Target="https://docs.google.com/document/d/18J_oMGg9KxP1sUZubTUlVkgQbIimvibwL5Y_dskUwx4/edit?usp=drivesdk" TargetMode="External"/><Relationship Id="rId455" Type="http://schemas.openxmlformats.org/officeDocument/2006/relationships/hyperlink" Target="https://docs.google.com/document/d/17DpJQQVWVYncHaLGLqF9eLNSJ1q7pYx7n6G7Wv-Qn8Y/edit?usp=drivesdk" TargetMode="External"/><Relationship Id="rId212" Type="http://schemas.openxmlformats.org/officeDocument/2006/relationships/hyperlink" Target="https://docs.google.com/document/d/1ySdWIilTOg-yyMQjktbgZWwdRIY5MumEp3vG29GzdsE/edit?usp=drivesdk" TargetMode="External"/><Relationship Id="rId333" Type="http://schemas.openxmlformats.org/officeDocument/2006/relationships/hyperlink" Target="https://docs.google.com/document/d/17k__OhYheTr3nYbx5FarCqsKPH8rt5B5IyLMdHihyxo/edit?usp=drivesdk" TargetMode="External"/><Relationship Id="rId454" Type="http://schemas.openxmlformats.org/officeDocument/2006/relationships/hyperlink" Target="https://docs.google.com/document/d/1PYruXjtnmoBwol6V6flRUmAVDTT2ew1vRytwXaJ8-S0/edit?usp=drivesdk" TargetMode="External"/><Relationship Id="rId211" Type="http://schemas.openxmlformats.org/officeDocument/2006/relationships/hyperlink" Target="https://docs.google.com/document/d/1VxyoSgDSUY1xZ5RK1eus2n0CN5AUTnIlYoMgzyp0JHQ/edit?usp=drivesdk" TargetMode="External"/><Relationship Id="rId332" Type="http://schemas.openxmlformats.org/officeDocument/2006/relationships/hyperlink" Target="https://docs.google.com/document/d/1sG4FS2pAmky1WC9QNvN3opCN2KZ3liAWKRz-jnsPPrY/edit?usp=drivesdk" TargetMode="External"/><Relationship Id="rId453" Type="http://schemas.openxmlformats.org/officeDocument/2006/relationships/hyperlink" Target="https://docs.google.com/document/d/1e08sBtJqFFpwenXSA3mAXTmmgBTa13oAmwQ_-AZbT-o/edit?usp=drivesdk" TargetMode="External"/><Relationship Id="rId210" Type="http://schemas.openxmlformats.org/officeDocument/2006/relationships/hyperlink" Target="https://docs.google.com/document/d/14k-y4LM7_8qVmY3d7q2kykDV05hX-vJ64NitEnXnQnc/edit?usp=drivesdk" TargetMode="External"/><Relationship Id="rId331" Type="http://schemas.openxmlformats.org/officeDocument/2006/relationships/hyperlink" Target="https://docs.google.com/document/d/117UlOtSgj_kq7O1HZU85eiTPSysmyUGc-U29QvcaS3M/edit?usp=drivesdk" TargetMode="External"/><Relationship Id="rId452" Type="http://schemas.openxmlformats.org/officeDocument/2006/relationships/hyperlink" Target="https://docs.google.com/document/d/1P2c3NmveEvGKnZfUU2uvh3ndH8ul-gQOW4t1mqVBDUc/edit?usp=drivesdk" TargetMode="External"/><Relationship Id="rId370" Type="http://schemas.openxmlformats.org/officeDocument/2006/relationships/hyperlink" Target="https://docs.google.com/document/d/13H-CpRkpjg-LceS1ZdSkL48440YBkAfc0YrhA4v9dnk/edit?usp=drivesdk" TargetMode="External"/><Relationship Id="rId491" Type="http://schemas.openxmlformats.org/officeDocument/2006/relationships/hyperlink" Target="https://docs.google.com/document/d/1Fuxke1GPjmZmDti8kKZfOZoBG-lB5O6fQPlKVYK6pdI/edit?usp=drivesdk" TargetMode="External"/><Relationship Id="rId490" Type="http://schemas.openxmlformats.org/officeDocument/2006/relationships/hyperlink" Target="https://docs.google.com/document/d/1YX75KOVPU6rdPBgbPB-1WHfNjmb2BsEEb3dUR5-WNS8/edit?usp=drivesdk" TargetMode="External"/><Relationship Id="rId129" Type="http://schemas.openxmlformats.org/officeDocument/2006/relationships/hyperlink" Target="https://docs.google.com/document/d/1dbUQc-0YRcUCWv4ZLuAiuh-szs2P71qMm4cR0NVclQw/edit?usp=drivesdk" TargetMode="External"/><Relationship Id="rId128" Type="http://schemas.openxmlformats.org/officeDocument/2006/relationships/hyperlink" Target="https://docs.google.com/document/d/1cwjqEBUaX4TZ2uiNweLlEFnrIqkIxDij-KCrl3jgdSs/edit?usp=drivesdk" TargetMode="External"/><Relationship Id="rId249" Type="http://schemas.openxmlformats.org/officeDocument/2006/relationships/hyperlink" Target="https://docs.google.com/document/d/1Sn9bVL2GIklcZRZgPcVrs4YIzFCqYYDAXCMJVl9B1R0/edit?usp=drivesdk" TargetMode="External"/><Relationship Id="rId127" Type="http://schemas.openxmlformats.org/officeDocument/2006/relationships/hyperlink" Target="https://docs.google.com/document/d/19gtAry6vLFmaQvsDWVMoI53O_6Z53p6xfjK01wQTQ_Y/edit?usp=drivesdk" TargetMode="External"/><Relationship Id="rId248" Type="http://schemas.openxmlformats.org/officeDocument/2006/relationships/hyperlink" Target="https://docs.google.com/document/d/1I5BcUrGICWQ1wd-pOkEzau0SJ4sOIRHp-C2jzuUxtbg/edit?usp=drivesdk" TargetMode="External"/><Relationship Id="rId369" Type="http://schemas.openxmlformats.org/officeDocument/2006/relationships/hyperlink" Target="https://docs.google.com/document/d/1T1xgt2ahMRDccE_WEFm_45PLgPC27Ub_s2m5i78_c2Q/edit?usp=drivesdk" TargetMode="External"/><Relationship Id="rId126" Type="http://schemas.openxmlformats.org/officeDocument/2006/relationships/hyperlink" Target="https://docs.google.com/document/d/1LQqlIwHGCF52aRRtJim0ILCgeeS8U4NH2xgD9iHPfTc/edit?usp=drivesdk" TargetMode="External"/><Relationship Id="rId247" Type="http://schemas.openxmlformats.org/officeDocument/2006/relationships/hyperlink" Target="https://docs.google.com/document/d/1AfS58goBppKK1dhcQ15scXNHmkmINsEIlKN629Yv3FA/edit?usp=drivesdk" TargetMode="External"/><Relationship Id="rId368" Type="http://schemas.openxmlformats.org/officeDocument/2006/relationships/hyperlink" Target="https://docs.google.com/document/d/1_OnavftpgaDV9tNWiIoIvKJWpdcg19g3rscONyVRkDo/edit?usp=drivesdk" TargetMode="External"/><Relationship Id="rId489" Type="http://schemas.openxmlformats.org/officeDocument/2006/relationships/hyperlink" Target="https://docs.google.com/document/d/1FKui5boxPY6pfdmYNthCze8TyBroadTSUwD9x_BkpMc/edit?usp=drivesdk" TargetMode="External"/><Relationship Id="rId121" Type="http://schemas.openxmlformats.org/officeDocument/2006/relationships/hyperlink" Target="https://docs.google.com/document/d/1horU_i0hM4yRqRXVdDj8o-byRvvnkNKOrgAhhkzyH94/edit?usp=drivesdk" TargetMode="External"/><Relationship Id="rId242" Type="http://schemas.openxmlformats.org/officeDocument/2006/relationships/hyperlink" Target="https://docs.google.com/document/d/1Dzim86Y4YGT_YVul2rHTGacthfweWnqj2ROmmM8TFk0/edit?usp=drivesdk" TargetMode="External"/><Relationship Id="rId363" Type="http://schemas.openxmlformats.org/officeDocument/2006/relationships/hyperlink" Target="https://docs.google.com/document/d/1JowoqJjlGGOkTTrpZAL3e8PWLUS-yZZHWCQCIh7zT0w/edit?usp=drivesdk" TargetMode="External"/><Relationship Id="rId484" Type="http://schemas.openxmlformats.org/officeDocument/2006/relationships/hyperlink" Target="https://docs.google.com/document/d/1s9l85XooOHcl3JjhuW9mrAkWSXGvDtchsQtTw8Orqo4/edit?usp=drivesdk" TargetMode="External"/><Relationship Id="rId120" Type="http://schemas.openxmlformats.org/officeDocument/2006/relationships/hyperlink" Target="https://docs.google.com/document/d/1pOCINOcEnSuc-joWQ1QIg6quFm4xBtL_1Iljg7H-ldU/edit?usp=drivesdk" TargetMode="External"/><Relationship Id="rId241" Type="http://schemas.openxmlformats.org/officeDocument/2006/relationships/hyperlink" Target="https://docs.google.com/document/d/1L1BhSBkasbBc33FaIlGEUy1QJoKlaM_Jtc_EQeyB6rE/edit?usp=drivesdk" TargetMode="External"/><Relationship Id="rId362" Type="http://schemas.openxmlformats.org/officeDocument/2006/relationships/hyperlink" Target="https://docs.google.com/document/d/1a_HZ0U1E4XkOCKRPrQgoKZZY19dqXs-pCBV4X0YTWX8/edit?usp=drivesdk" TargetMode="External"/><Relationship Id="rId483" Type="http://schemas.openxmlformats.org/officeDocument/2006/relationships/hyperlink" Target="https://docs.google.com/document/d/1hfXJFXH3E1tUX8F2g62JVGeOxbDa7Lp7WOe8Xek4Lnc/edit?usp=drivesdk" TargetMode="External"/><Relationship Id="rId240" Type="http://schemas.openxmlformats.org/officeDocument/2006/relationships/hyperlink" Target="https://docs.google.com/document/d/1VtQ18zcO7flR4xUlRI4xlQwk7HLbxifr5GREZNqxXeE/edit?usp=drivesdk" TargetMode="External"/><Relationship Id="rId361" Type="http://schemas.openxmlformats.org/officeDocument/2006/relationships/hyperlink" Target="https://docs.google.com/document/d/1qxj8kHphmaIWg1tKrIOUvKkGlR3JL7DkmWriw0FlSr0/edit?usp=drivesdk" TargetMode="External"/><Relationship Id="rId482" Type="http://schemas.openxmlformats.org/officeDocument/2006/relationships/hyperlink" Target="https://docs.google.com/document/d/1ya1ParIBtADBD_jkTpK00xrw3nvRI4NjwiCkgp2NY8k/edit?usp=drivesdk" TargetMode="External"/><Relationship Id="rId360" Type="http://schemas.openxmlformats.org/officeDocument/2006/relationships/hyperlink" Target="https://docs.google.com/document/d/1CnmyIB1CMEK3y8oTsG8VVvIk28_ZM3rcS_hbz0BaXpM/edit?usp=drivesdk" TargetMode="External"/><Relationship Id="rId481" Type="http://schemas.openxmlformats.org/officeDocument/2006/relationships/hyperlink" Target="https://docs.google.com/document/d/18sqgyQ0lpg1V9eMGG7WJ7vmIQ_dgCxVILr4C4__E4IU/edit?usp=drivesdk" TargetMode="External"/><Relationship Id="rId125" Type="http://schemas.openxmlformats.org/officeDocument/2006/relationships/hyperlink" Target="https://docs.google.com/document/d/13cBA5zcD8QJszQ_sgnLYt3r_hQFmNxCM9ctlDrF2yaI/edit?usp=drivesdk" TargetMode="External"/><Relationship Id="rId246" Type="http://schemas.openxmlformats.org/officeDocument/2006/relationships/hyperlink" Target="https://docs.google.com/document/d/1zpiiQnRk_ny2eghst2yO43NK7mtn9wSbSuVWKqfFa1w/edit?usp=drivesdk" TargetMode="External"/><Relationship Id="rId367" Type="http://schemas.openxmlformats.org/officeDocument/2006/relationships/hyperlink" Target="https://docs.google.com/document/d/1i0dCUy4yeQ9EZHTLMk-Eqs7L_Kd-gV0olElUP-cbPpQ/edit?usp=drivesdk" TargetMode="External"/><Relationship Id="rId488" Type="http://schemas.openxmlformats.org/officeDocument/2006/relationships/hyperlink" Target="https://docs.google.com/document/d/164-ZNfriHZGOF3Ng0KgkJ2IITAy5FFA293vbwC-uTPc/edit?usp=drivesdk" TargetMode="External"/><Relationship Id="rId124" Type="http://schemas.openxmlformats.org/officeDocument/2006/relationships/hyperlink" Target="https://docs.google.com/document/d/1o5u6URG4eEL0bZO7Pcc_tA0H2uas6Y_qmD-HJgPbqg4/edit?usp=drivesdk" TargetMode="External"/><Relationship Id="rId245" Type="http://schemas.openxmlformats.org/officeDocument/2006/relationships/hyperlink" Target="https://docs.google.com/document/d/1dGjXr-f0fBAgpju4CycNigpwZYO7y6akkSw-DyY80Hg/edit?usp=drivesdk" TargetMode="External"/><Relationship Id="rId366" Type="http://schemas.openxmlformats.org/officeDocument/2006/relationships/hyperlink" Target="https://docs.google.com/document/d/1R67aWa6YbeD9LJQCyYhLFFgo-n7BFuc4yGofXLj2i4s/edit?usp=drivesdk" TargetMode="External"/><Relationship Id="rId487" Type="http://schemas.openxmlformats.org/officeDocument/2006/relationships/hyperlink" Target="https://docs.google.com/document/d/1FXSJezVUTVrGBPpx3QrS2ASXwEakTDADX67cWCoa9q0/edit?usp=drivesdk" TargetMode="External"/><Relationship Id="rId123" Type="http://schemas.openxmlformats.org/officeDocument/2006/relationships/hyperlink" Target="https://docs.google.com/document/d/18a8HUQtBa0oDSzts9fdeoJSPbEzLp3lUXgyOK0PBc3I/edit?usp=drivesdk" TargetMode="External"/><Relationship Id="rId244" Type="http://schemas.openxmlformats.org/officeDocument/2006/relationships/hyperlink" Target="https://docs.google.com/document/d/1hBWPvOMDWDX1__sfEInbaoUfl4W3yrdgE2duMe0b6N8/edit?usp=drivesdk" TargetMode="External"/><Relationship Id="rId365" Type="http://schemas.openxmlformats.org/officeDocument/2006/relationships/hyperlink" Target="https://docs.google.com/document/d/1Nkj7T_FeDiyVW9nQImrjvRaLtq2W7lwf3wsxD_brvdg/edit?usp=drivesdk" TargetMode="External"/><Relationship Id="rId486" Type="http://schemas.openxmlformats.org/officeDocument/2006/relationships/hyperlink" Target="https://docs.google.com/document/d/1sioxX_7kAwKiYd29kdqEacmGxR4147m8O-gc6jdOMEk/edit?usp=drivesdk" TargetMode="External"/><Relationship Id="rId122" Type="http://schemas.openxmlformats.org/officeDocument/2006/relationships/hyperlink" Target="https://docs.google.com/document/d/1cwuPEokQaH8ROzsr7i8PtwhzKFzoCSG6aC6VvMPnr4c/edit?usp=drivesdk" TargetMode="External"/><Relationship Id="rId243" Type="http://schemas.openxmlformats.org/officeDocument/2006/relationships/hyperlink" Target="https://docs.google.com/document/d/1mBCEfKk4M0GnmEfttHkg7DYLU8NC9VAAZ_0zCFxBuws/edit?usp=drivesdk" TargetMode="External"/><Relationship Id="rId364" Type="http://schemas.openxmlformats.org/officeDocument/2006/relationships/hyperlink" Target="https://docs.google.com/document/d/1Weo71KyE42pJv6eQho_VuZl_I_N1oT_tQDYaPUWJgXg/edit?usp=drivesdk" TargetMode="External"/><Relationship Id="rId485" Type="http://schemas.openxmlformats.org/officeDocument/2006/relationships/hyperlink" Target="https://docs.google.com/document/d/1ZrYUuVw7eqkXKsFKh5X-XrXKTleWrzXt9HOCbjZ0qpA/edit?usp=drivesdk" TargetMode="External"/><Relationship Id="rId95" Type="http://schemas.openxmlformats.org/officeDocument/2006/relationships/hyperlink" Target="https://docs.google.com/document/d/1WiDFrx4D7wDtTG7xhG56FExYdRv-4DwwdP-wvUsnRMc/edit?usp=drivesdk" TargetMode="External"/><Relationship Id="rId94" Type="http://schemas.openxmlformats.org/officeDocument/2006/relationships/hyperlink" Target="https://docs.google.com/document/d/1gFmRMe2zpH3j4wfW__4Oo9qMajLX3jmZ0kcbMSYh65A/edit?usp=drivesdk" TargetMode="External"/><Relationship Id="rId97" Type="http://schemas.openxmlformats.org/officeDocument/2006/relationships/hyperlink" Target="https://docs.google.com/document/d/17sdCynz09IpAwVH5o8CprezXdWWPeoNhVJw4691Iw8A/edit?usp=drivesdk" TargetMode="External"/><Relationship Id="rId96" Type="http://schemas.openxmlformats.org/officeDocument/2006/relationships/hyperlink" Target="https://docs.google.com/document/d/1c5DkI6jJ5VBQm3EWgcA563cNGIBizGgTtaIKGIJ2dE8/edit?usp=drivesdk" TargetMode="External"/><Relationship Id="rId99" Type="http://schemas.openxmlformats.org/officeDocument/2006/relationships/hyperlink" Target="https://docs.google.com/document/d/1UoUokpEmpx5df0h6r4uANvSRcZZUW8I676NwUPCYPfg/edit?usp=drivesdk" TargetMode="External"/><Relationship Id="rId480" Type="http://schemas.openxmlformats.org/officeDocument/2006/relationships/hyperlink" Target="https://docs.google.com/document/d/1lhvDJUqQ6VbuHFWCSjOTx-d-WCodZhXGqGuhuyYPnIo/edit?usp=drivesdk" TargetMode="External"/><Relationship Id="rId98" Type="http://schemas.openxmlformats.org/officeDocument/2006/relationships/hyperlink" Target="https://docs.google.com/document/d/1ewslJEYMYiLWpQVfKwKUIdB5aER5uzJ2SHLwyC5bnho/edit?usp=drivesdk" TargetMode="External"/><Relationship Id="rId91" Type="http://schemas.openxmlformats.org/officeDocument/2006/relationships/hyperlink" Target="https://docs.google.com/document/d/1_xpbSdAQxiV952g8DEviihzsJ9JvdoIja7XikkzE2jM/edit?usp=drivesdk" TargetMode="External"/><Relationship Id="rId90" Type="http://schemas.openxmlformats.org/officeDocument/2006/relationships/hyperlink" Target="https://docs.google.com/document/d/18ANL2EAsbj-9X5mz0tRj4YzFgnSMdKPwDfVJotzLaHQ/edit?usp=drivesdk" TargetMode="External"/><Relationship Id="rId93" Type="http://schemas.openxmlformats.org/officeDocument/2006/relationships/hyperlink" Target="https://docs.google.com/document/d/1_f4X9tN9ILtz5QvdB_rIlrFD1AFhQW601asBRe7AfEg/edit?usp=drivesdk" TargetMode="External"/><Relationship Id="rId92" Type="http://schemas.openxmlformats.org/officeDocument/2006/relationships/hyperlink" Target="https://docs.google.com/document/d/1CEf7cA2GIPp1xy65JDmnWfxQvW39taVTsOsaX1Ue6ho/edit?usp=drivesdk" TargetMode="External"/><Relationship Id="rId118" Type="http://schemas.openxmlformats.org/officeDocument/2006/relationships/hyperlink" Target="https://docs.google.com/document/d/17DVNObsevh1PglvOtUWG2_f9xR1DhwO97Kb9C_lXeyg/edit?usp=drivesdk" TargetMode="External"/><Relationship Id="rId239" Type="http://schemas.openxmlformats.org/officeDocument/2006/relationships/hyperlink" Target="https://docs.google.com/document/d/1jnJsXS29HDOhrHeQq8n7gliU6CgrEEMc5ofm0gMZrKk/edit?usp=drivesdk" TargetMode="External"/><Relationship Id="rId117" Type="http://schemas.openxmlformats.org/officeDocument/2006/relationships/hyperlink" Target="https://docs.google.com/document/d/1yedKFixA69V0VtSDY7-I0SVCLPtcIuBrNsPWlFA5t0Q/edit?usp=drivesdk" TargetMode="External"/><Relationship Id="rId238" Type="http://schemas.openxmlformats.org/officeDocument/2006/relationships/hyperlink" Target="https://docs.google.com/document/d/1CE7RpdJaTh2JD6fLOPYtoqWGdMGQ2c8KX9dL8l5pYSk/edit?usp=drivesdk" TargetMode="External"/><Relationship Id="rId359" Type="http://schemas.openxmlformats.org/officeDocument/2006/relationships/hyperlink" Target="https://docs.google.com/document/d/1LTJH8ulRvbXzhhYPuyDroEp7Q2546Kpw3GyUZ3Rj3OQ/edit?usp=drivesdk" TargetMode="External"/><Relationship Id="rId116" Type="http://schemas.openxmlformats.org/officeDocument/2006/relationships/hyperlink" Target="https://docs.google.com/document/d/1uWaH_X62R2Liuv1Udb-7AgjTcZgYdkQkjrG1FW0qql4/edit?usp=drivesdk" TargetMode="External"/><Relationship Id="rId237" Type="http://schemas.openxmlformats.org/officeDocument/2006/relationships/hyperlink" Target="https://docs.google.com/document/d/1odhTpTLuy9rmKb4m7VExrlFUjNvK50mcGTUs0hW18L8/edit?usp=drivesdk" TargetMode="External"/><Relationship Id="rId358" Type="http://schemas.openxmlformats.org/officeDocument/2006/relationships/hyperlink" Target="https://docs.google.com/document/d/1BAinsbnizosXnxABViaWb-GWFCx3cHjCFySCLmnYpts/edit?usp=drivesdk" TargetMode="External"/><Relationship Id="rId479" Type="http://schemas.openxmlformats.org/officeDocument/2006/relationships/hyperlink" Target="https://docs.google.com/document/d/1sdZXFy4O1v4OgayNenBQ6cwwXuCx4MWi_3l287LgZlE/edit?usp=drivesdk" TargetMode="External"/><Relationship Id="rId115" Type="http://schemas.openxmlformats.org/officeDocument/2006/relationships/hyperlink" Target="https://docs.google.com/document/d/1hlaZ7sS4mysE6nV8d7dJ53WrBvYx2rjjVBaLtrkEUXE/edit?usp=drivesdk" TargetMode="External"/><Relationship Id="rId236" Type="http://schemas.openxmlformats.org/officeDocument/2006/relationships/hyperlink" Target="https://docs.google.com/document/d/16vjClCoqC7m3akVttcJyh9s3Hbn-CzZ-MyVW-Lji67g/edit?usp=drivesdk" TargetMode="External"/><Relationship Id="rId357" Type="http://schemas.openxmlformats.org/officeDocument/2006/relationships/hyperlink" Target="https://docs.google.com/document/d/1gzBZ5HfQJnnJWXvG5NS6oS9z2fy4WrO3XnzB6x8mkYc/edit?usp=drivesdk" TargetMode="External"/><Relationship Id="rId478" Type="http://schemas.openxmlformats.org/officeDocument/2006/relationships/hyperlink" Target="https://docs.google.com/document/d/1Q3RnEnYWyufu63NNQ7-DOQFAqeNUadnCOGapTsd72fs/edit?usp=drivesdk" TargetMode="External"/><Relationship Id="rId119" Type="http://schemas.openxmlformats.org/officeDocument/2006/relationships/hyperlink" Target="https://docs.google.com/document/d/1vK2OVKgBHmbnDyydJiI28-r72XA9d-1diz04IeBEKo4/edit?usp=drivesdk" TargetMode="External"/><Relationship Id="rId110" Type="http://schemas.openxmlformats.org/officeDocument/2006/relationships/hyperlink" Target="https://docs.google.com/document/d/12qKaqDTA40f8qxQAUU_wtTRdEwjpjOsa3wmJ7Cm-CR0/edit?usp=drivesdk" TargetMode="External"/><Relationship Id="rId231" Type="http://schemas.openxmlformats.org/officeDocument/2006/relationships/hyperlink" Target="https://docs.google.com/document/d/1SSjQWnl-mwCpqOXHeWdGBalJD7IGHDPVfgJa0kDIzdE/edit?usp=drivesdk" TargetMode="External"/><Relationship Id="rId352" Type="http://schemas.openxmlformats.org/officeDocument/2006/relationships/hyperlink" Target="https://docs.google.com/document/d/1DbejGbhJM7OWl5fFkV9jQyRGb9Sziytoa1OTAioADpQ/edit?usp=drivesdk" TargetMode="External"/><Relationship Id="rId473" Type="http://schemas.openxmlformats.org/officeDocument/2006/relationships/hyperlink" Target="https://docs.google.com/document/d/1ySb_Wf_HDbpc0L6WS7Fvxm7BA3n0qsprVE5boNnOhyE/edit?usp=drivesdk" TargetMode="External"/><Relationship Id="rId230" Type="http://schemas.openxmlformats.org/officeDocument/2006/relationships/hyperlink" Target="https://docs.google.com/document/d/1MF4XTFcMuFaeeAGZvcZGTrRDTufu4yqULGm4wOzvNHk/edit?usp=drivesdk" TargetMode="External"/><Relationship Id="rId351" Type="http://schemas.openxmlformats.org/officeDocument/2006/relationships/hyperlink" Target="https://docs.google.com/document/d/1bJrBzE-p53jYgZXJ7d09hgLAWsK4ad1EDQSCTIFLbx8/edit?usp=drivesdk" TargetMode="External"/><Relationship Id="rId472" Type="http://schemas.openxmlformats.org/officeDocument/2006/relationships/hyperlink" Target="https://docs.google.com/document/d/14ChhDbWuhFadEfgUpMMpRE-DlfOhS-DAKG-MgVEaWf4/edit?usp=drivesdk" TargetMode="External"/><Relationship Id="rId350" Type="http://schemas.openxmlformats.org/officeDocument/2006/relationships/hyperlink" Target="https://docs.google.com/document/d/1yjBfH6H6zIFAi5tn-uHL0_Gz62OBYgYXcoJvx0NpG70/edit?usp=drivesdk" TargetMode="External"/><Relationship Id="rId471" Type="http://schemas.openxmlformats.org/officeDocument/2006/relationships/hyperlink" Target="https://docs.google.com/document/d/1MWTFNf0Lhv2c92QgArvO22rI85RTsw1fU_8zSFOmfMY/edit?usp=drivesdk" TargetMode="External"/><Relationship Id="rId470" Type="http://schemas.openxmlformats.org/officeDocument/2006/relationships/hyperlink" Target="https://docs.google.com/document/d/1RKPchjyB_hbgCE_J8a9xDp9Nf5vICKyLYAqyTEmWwYQ/edit?usp=drivesdk" TargetMode="External"/><Relationship Id="rId114" Type="http://schemas.openxmlformats.org/officeDocument/2006/relationships/hyperlink" Target="https://docs.google.com/document/d/1kJHcvyhgyIpKw8P9mBqauadO_E-MGaX1yx9HngVDcEU/edit?usp=drivesdk" TargetMode="External"/><Relationship Id="rId235" Type="http://schemas.openxmlformats.org/officeDocument/2006/relationships/hyperlink" Target="https://docs.google.com/document/d/1TJtSa6lbULLrc9i4aU81PsSx6hsWL8HJ2uszk5W7kv8/edit?usp=drivesdk" TargetMode="External"/><Relationship Id="rId356" Type="http://schemas.openxmlformats.org/officeDocument/2006/relationships/hyperlink" Target="https://docs.google.com/document/d/1xJ9T5reUjpXl3feP0fqVH6FQi3ovB4PsTEfdY2ZNAcA/edit?usp=drivesdk" TargetMode="External"/><Relationship Id="rId477" Type="http://schemas.openxmlformats.org/officeDocument/2006/relationships/hyperlink" Target="https://docs.google.com/document/d/1wWWw2_W3NFYQsTK6GU3NuVWpTJA30Wc6ARtYZq28A-8/edit?usp=drivesdk" TargetMode="External"/><Relationship Id="rId113" Type="http://schemas.openxmlformats.org/officeDocument/2006/relationships/hyperlink" Target="https://docs.google.com/document/d/1O7zNwJ7tD7cHfDAv1vY8YMgIs28bfzrPCLqAZVh0D54/edit?usp=drivesdk" TargetMode="External"/><Relationship Id="rId234" Type="http://schemas.openxmlformats.org/officeDocument/2006/relationships/hyperlink" Target="https://docs.google.com/document/d/1THJY9npUUObsa_EIxEJih_JhyMtxohl0xQnwoTdyRVE/edit?usp=drivesdk" TargetMode="External"/><Relationship Id="rId355" Type="http://schemas.openxmlformats.org/officeDocument/2006/relationships/hyperlink" Target="https://docs.google.com/document/d/1c3oIBDOSh2u6pFvXb4E_3APsR9Lem7S_3eSczmJQrGg/edit?usp=drivesdk" TargetMode="External"/><Relationship Id="rId476" Type="http://schemas.openxmlformats.org/officeDocument/2006/relationships/hyperlink" Target="https://docs.google.com/document/d/1Sn_beP3kbP-m30Ouz34BZDqRb6UrdvloQgVA8tVVrJg/edit?usp=drivesdk" TargetMode="External"/><Relationship Id="rId112" Type="http://schemas.openxmlformats.org/officeDocument/2006/relationships/hyperlink" Target="https://docs.google.com/document/d/1Lmr6ukcytK5A4BRLAWOczZ0_erfF7eQyrndmyQl55_4/edit?usp=drivesdk" TargetMode="External"/><Relationship Id="rId233" Type="http://schemas.openxmlformats.org/officeDocument/2006/relationships/hyperlink" Target="https://docs.google.com/document/d/1iJsN9moJpH-rG7n8WmHd_EvVphFOsQgH3l5bndDInzo/edit?usp=drivesdk" TargetMode="External"/><Relationship Id="rId354" Type="http://schemas.openxmlformats.org/officeDocument/2006/relationships/hyperlink" Target="https://docs.google.com/document/d/1Z3xYCrnpat_lvHHxFDMS8j1Zd0EyO6PwPk4_SrgvZEg/edit?usp=drivesdk" TargetMode="External"/><Relationship Id="rId475" Type="http://schemas.openxmlformats.org/officeDocument/2006/relationships/hyperlink" Target="https://docs.google.com/document/d/1bvXVf8WmVpH3pfe3D8ofkoXxKTDl4PJARSkF_Gv3FGY/edit?usp=drivesdk" TargetMode="External"/><Relationship Id="rId111" Type="http://schemas.openxmlformats.org/officeDocument/2006/relationships/hyperlink" Target="https://docs.google.com/document/d/1n6ckOJjtT5Kbqv-5GwvO7IK8Y_xs2-jWe9dPvarxoEo/edit?usp=drivesdk" TargetMode="External"/><Relationship Id="rId232" Type="http://schemas.openxmlformats.org/officeDocument/2006/relationships/hyperlink" Target="https://docs.google.com/document/d/13swHtX7gKJbnmI4FTAIM1Ytz2fAZaljKFxQgPpMXl7w/edit?usp=drivesdk" TargetMode="External"/><Relationship Id="rId353" Type="http://schemas.openxmlformats.org/officeDocument/2006/relationships/hyperlink" Target="https://docs.google.com/document/d/1qIaFzaKCnPb1lZek9agDPwVAvyZMEizaSV_xR-V6yDE/edit?usp=drivesdk" TargetMode="External"/><Relationship Id="rId474" Type="http://schemas.openxmlformats.org/officeDocument/2006/relationships/hyperlink" Target="https://docs.google.com/document/d/1BD_3j3XqESf1MagD8d-LlTnX-jUffHUZziRlz10u5WA/edit?usp=drivesdk" TargetMode="External"/><Relationship Id="rId305" Type="http://schemas.openxmlformats.org/officeDocument/2006/relationships/hyperlink" Target="https://docs.google.com/document/d/1uTQ3cRptrbH2rU6bifYJQOp03goG-mR9xEJElr8rAvw/edit?usp=drivesdk" TargetMode="External"/><Relationship Id="rId426" Type="http://schemas.openxmlformats.org/officeDocument/2006/relationships/hyperlink" Target="https://docs.google.com/document/d/1vr68pb_4DSQ2K_rUzUyFGyXqreH2BWPTyvGlQ3QgH5g/edit?usp=drivesdk" TargetMode="External"/><Relationship Id="rId304" Type="http://schemas.openxmlformats.org/officeDocument/2006/relationships/hyperlink" Target="https://docs.google.com/document/d/1Obn3valZ5ZFWEdYba74PwGZ9qtkhWraIPZUu6aHGrnU/edit?usp=drivesdk" TargetMode="External"/><Relationship Id="rId425" Type="http://schemas.openxmlformats.org/officeDocument/2006/relationships/hyperlink" Target="https://docs.google.com/document/d/1nm0g3cHNcN8q6vpEqBQxuQ23aekuvwwuSIK_-z3m66M/edit?usp=drivesdk" TargetMode="External"/><Relationship Id="rId303" Type="http://schemas.openxmlformats.org/officeDocument/2006/relationships/hyperlink" Target="https://docs.google.com/document/d/1qXtK3oH7DmcQDkV7PcKHYbDz7zDrjKI0qG6ostGLO4o/edit?usp=drivesdk" TargetMode="External"/><Relationship Id="rId424" Type="http://schemas.openxmlformats.org/officeDocument/2006/relationships/hyperlink" Target="https://docs.google.com/document/d/1pWK2QB9i5Z5g8copLcUu0qRLufMVCIWz1GjpKGk2rrc/edit?usp=drivesdk" TargetMode="External"/><Relationship Id="rId302" Type="http://schemas.openxmlformats.org/officeDocument/2006/relationships/hyperlink" Target="https://docs.google.com/document/d/1Lj3Corcrdfv8NhADDnB5MnFLc80Lp1cbT2jtyOaAzZg/edit?usp=drivesdk" TargetMode="External"/><Relationship Id="rId423" Type="http://schemas.openxmlformats.org/officeDocument/2006/relationships/hyperlink" Target="https://docs.google.com/document/d/1NYFBa2d_xJ4JGqNufDWqoEfYErT_YP-ItFLdDxsGPoY/edit?usp=drivesdk" TargetMode="External"/><Relationship Id="rId309" Type="http://schemas.openxmlformats.org/officeDocument/2006/relationships/hyperlink" Target="https://docs.google.com/document/d/1qfBh_O_GEYX9iCz3WJwlITP89zxKCd3VjFTCB8EEAZE/edit?usp=drivesdk" TargetMode="External"/><Relationship Id="rId308" Type="http://schemas.openxmlformats.org/officeDocument/2006/relationships/hyperlink" Target="https://docs.google.com/document/d/1fsp2VE6J3eq1qlBaOs9_c3VwCKjWu0Kv5nHjHXrgkIw/edit?usp=drivesdk" TargetMode="External"/><Relationship Id="rId429" Type="http://schemas.openxmlformats.org/officeDocument/2006/relationships/hyperlink" Target="https://docs.google.com/document/d/1dYLg8a56TpS3ThfTK-kkrtwivojDdKrEDFi-Db6t4m8/edit?usp=drivesdk" TargetMode="External"/><Relationship Id="rId307" Type="http://schemas.openxmlformats.org/officeDocument/2006/relationships/hyperlink" Target="https://docs.google.com/document/d/1i930KaeCQlWUDAixF0akElGqD6KN0UM1R3AMA3CzBgU/edit?usp=drivesdk" TargetMode="External"/><Relationship Id="rId428" Type="http://schemas.openxmlformats.org/officeDocument/2006/relationships/hyperlink" Target="https://docs.google.com/document/d/15riDRQddFewoCtebM5b3K6E6ZRdQtOvmuVhW4mV5b2w/edit?usp=drivesdk" TargetMode="External"/><Relationship Id="rId306" Type="http://schemas.openxmlformats.org/officeDocument/2006/relationships/hyperlink" Target="https://docs.google.com/document/d/1aBGvsEHCirIyyRknTERtRhpAFTNHS0JnXUlFaT1v4cE/edit?usp=drivesdk" TargetMode="External"/><Relationship Id="rId427" Type="http://schemas.openxmlformats.org/officeDocument/2006/relationships/hyperlink" Target="https://docs.google.com/document/d/1HSV531QesEHaEoEg2JNly_qNU43bFBGSW6qae_3nnUQ/edit?usp=drivesdk" TargetMode="External"/><Relationship Id="rId301" Type="http://schemas.openxmlformats.org/officeDocument/2006/relationships/hyperlink" Target="https://docs.google.com/document/d/1O2axMQA5xDTQpskdWm80p09JuUPVL5tfWcrGdGzBO5k/edit?usp=drivesdk" TargetMode="External"/><Relationship Id="rId422" Type="http://schemas.openxmlformats.org/officeDocument/2006/relationships/hyperlink" Target="https://docs.google.com/document/d/1P-w6hP0JJ9aHdnVtE_cy6KvZFgiNy7248mQ9lxxED0E/edit?usp=drivesdk" TargetMode="External"/><Relationship Id="rId300" Type="http://schemas.openxmlformats.org/officeDocument/2006/relationships/hyperlink" Target="https://docs.google.com/document/d/1d2XWI0EjkYtmDxCVNlEHb93pARhb9WKgiaWv_9QPQ1I/edit?usp=drivesdk" TargetMode="External"/><Relationship Id="rId421" Type="http://schemas.openxmlformats.org/officeDocument/2006/relationships/hyperlink" Target="https://docs.google.com/document/d/1vxcCLU2G787dd9A-0n4xk2kuYKjTA12u0o60lx1iN80/edit?usp=drivesdk" TargetMode="External"/><Relationship Id="rId420" Type="http://schemas.openxmlformats.org/officeDocument/2006/relationships/hyperlink" Target="https://docs.google.com/document/d/1YcHhKdoml0dFm_B8BUS-a7DkgHQdzwhNiPXIvKAZZZQ/edit?usp=drivesdk" TargetMode="External"/><Relationship Id="rId415" Type="http://schemas.openxmlformats.org/officeDocument/2006/relationships/hyperlink" Target="https://docs.google.com/document/d/1VRt0LSeu7WyUk5Y7qIS1MvLNZbbwax7OHCqNDHhV_5I/edit?usp=drivesdk" TargetMode="External"/><Relationship Id="rId414" Type="http://schemas.openxmlformats.org/officeDocument/2006/relationships/hyperlink" Target="https://docs.google.com/document/d/1JWAEHsDzvl7pbzZIbe-Lnfe9jqYcORBAu_2CLinmP9I/edit?usp=drivesdk" TargetMode="External"/><Relationship Id="rId413" Type="http://schemas.openxmlformats.org/officeDocument/2006/relationships/hyperlink" Target="https://docs.google.com/document/d/1sv52haYJAAYeV34nrDRRcelkEHhfK9YUVlfLYziSVak/edit?usp=drivesdk" TargetMode="External"/><Relationship Id="rId412" Type="http://schemas.openxmlformats.org/officeDocument/2006/relationships/hyperlink" Target="https://docs.google.com/document/d/1zuFEsKkrq9M6ZGAYBwp5wojo8R4vd7PN6fTx65IXQLA/edit?usp=drivesdk" TargetMode="External"/><Relationship Id="rId419" Type="http://schemas.openxmlformats.org/officeDocument/2006/relationships/hyperlink" Target="https://docs.google.com/document/d/1uIaj-Gpp7jUBol4xzTQxvQ0pO5aT50zo_NhfC8bR37g/edit?usp=drivesdk" TargetMode="External"/><Relationship Id="rId418" Type="http://schemas.openxmlformats.org/officeDocument/2006/relationships/hyperlink" Target="https://docs.google.com/document/d/1SY1AFQABS1m_0urwA1wQqKcjqLgVxHFlzqV64VS0i00/edit?usp=drivesdk" TargetMode="External"/><Relationship Id="rId417" Type="http://schemas.openxmlformats.org/officeDocument/2006/relationships/hyperlink" Target="https://docs.google.com/document/d/1k0IdqPD1MwqAUXUbNoCmwSxEsgGIxR9bse9b6Hn5OQA/edit?usp=drivesdk" TargetMode="External"/><Relationship Id="rId416" Type="http://schemas.openxmlformats.org/officeDocument/2006/relationships/hyperlink" Target="https://docs.google.com/document/d/1NYiCZEIo7QdI_MM5AwnxQK2cMAuJkE80A2NIC2gwWG0/edit?usp=drivesdk" TargetMode="External"/><Relationship Id="rId411" Type="http://schemas.openxmlformats.org/officeDocument/2006/relationships/hyperlink" Target="https://docs.google.com/document/d/1NN0E003fhNBJAqT_4wA1n1fHv_OIrnwXZ5Cod5eNRaQ/edit?usp=drivesdk" TargetMode="External"/><Relationship Id="rId410" Type="http://schemas.openxmlformats.org/officeDocument/2006/relationships/hyperlink" Target="https://docs.google.com/document/d/1txL1NkJIk-erA6B1p-O-zeeuqlFx5VgDXw_om0hByYQ/edit?usp=drivesdk" TargetMode="External"/><Relationship Id="rId206" Type="http://schemas.openxmlformats.org/officeDocument/2006/relationships/hyperlink" Target="https://docs.google.com/document/d/1y2UDORHMpvgGxnWKusUow10nn0yr4r-KxQFkrbWVVDg/edit?usp=drivesdk" TargetMode="External"/><Relationship Id="rId327" Type="http://schemas.openxmlformats.org/officeDocument/2006/relationships/hyperlink" Target="https://docs.google.com/a/gtmnerr.org/document/d/11Q1zngHv0-P5AsO1ZgZYteXWIjY4Pp94rg3HG76Vfhk/edit?usp=drivesdk" TargetMode="External"/><Relationship Id="rId448" Type="http://schemas.openxmlformats.org/officeDocument/2006/relationships/hyperlink" Target="https://docs.google.com/document/d/1I2AtTZU48vr_j58JnQ7CCqEsOX1W59aS-zCtRzHyvls/edit?usp=drivesdk" TargetMode="External"/><Relationship Id="rId205" Type="http://schemas.openxmlformats.org/officeDocument/2006/relationships/hyperlink" Target="https://docs.google.com/document/d/1BNVX05cr1434PSG7V5_vi5xdcMP9K4I0Om0n38jVaK0/edit?usp=drivesdk" TargetMode="External"/><Relationship Id="rId326" Type="http://schemas.openxmlformats.org/officeDocument/2006/relationships/hyperlink" Target="https://docs.google.com/document/d/1mAuPt1x3SC6PF8ujlRcp2_FSebhAGV02h612BkmlcNs/edit?usp=drivesdk" TargetMode="External"/><Relationship Id="rId447" Type="http://schemas.openxmlformats.org/officeDocument/2006/relationships/hyperlink" Target="https://docs.google.com/document/d/1GJCy6Iex1X0y338RB7zPqTEUS_P0oXSt368XSaXCcXo/edit?usp=drivesdk" TargetMode="External"/><Relationship Id="rId204" Type="http://schemas.openxmlformats.org/officeDocument/2006/relationships/hyperlink" Target="https://docs.google.com/document/d/1ySIzZqkUgYZOnUT2s6MMktH4mDF9DGVF0uvVl5xf4BM/edit?usp=drivesdk" TargetMode="External"/><Relationship Id="rId325" Type="http://schemas.openxmlformats.org/officeDocument/2006/relationships/hyperlink" Target="https://docs.google.com/document/d/1YMJWkZrunPkqcijQlnoJEDDw7X8P59lFxv9qbVzbaSY/edit?usp=drivesdk" TargetMode="External"/><Relationship Id="rId446" Type="http://schemas.openxmlformats.org/officeDocument/2006/relationships/hyperlink" Target="https://docs.google.com/document/d/1Bpf7ojuRWo8Q2ilNRXfOzVHky-n3dnqdoLkTMDrGvlI/edit?usp=drivesdk" TargetMode="External"/><Relationship Id="rId203" Type="http://schemas.openxmlformats.org/officeDocument/2006/relationships/hyperlink" Target="https://docs.google.com/document/d/1ashMolhPpUl0A5fQ5JeXWD9xog1UFTWMtXS3rIJnr9I/edit?usp=drivesdk" TargetMode="External"/><Relationship Id="rId324" Type="http://schemas.openxmlformats.org/officeDocument/2006/relationships/hyperlink" Target="https://docs.google.com/document/d/1l4E_ZfLzH_eFlbh_M4aNR8syJtRhBDp7zPqitvKaIG0/edit?usp=drivesdk" TargetMode="External"/><Relationship Id="rId445" Type="http://schemas.openxmlformats.org/officeDocument/2006/relationships/hyperlink" Target="https://docs.google.com/document/d/141-rvnc8rquWsEyt7uGttPzhVWom2_hCURpb5ShysQk/edit?usp=drivesdk" TargetMode="External"/><Relationship Id="rId209" Type="http://schemas.openxmlformats.org/officeDocument/2006/relationships/hyperlink" Target="https://docs.google.com/document/d/1XZEg-gWWPTOj9opQYdpz_9DxyzyU6y5Gp45RZpWYD4Q/edit?usp=drivesdk" TargetMode="External"/><Relationship Id="rId208" Type="http://schemas.openxmlformats.org/officeDocument/2006/relationships/hyperlink" Target="https://docs.google.com/document/d/1Sid9zj_P_dXtirRpSMOa44APDNbBmBxfUhLaW12NacM/edit?usp=drivesdk" TargetMode="External"/><Relationship Id="rId329" Type="http://schemas.openxmlformats.org/officeDocument/2006/relationships/hyperlink" Target="https://docs.google.com/document/d/1RWIKtoOaMeyPaIs4hJT3bwRUK1PkwCCzdMFo1k4GAxk/edit?usp=drivesdk" TargetMode="External"/><Relationship Id="rId207" Type="http://schemas.openxmlformats.org/officeDocument/2006/relationships/hyperlink" Target="https://docs.google.com/document/d/14yTxW_f-O_a2XG44MuzS7iWl79ZZNjt9kb-KH_PVWqg/edit?usp=drivesdk" TargetMode="External"/><Relationship Id="rId328" Type="http://schemas.openxmlformats.org/officeDocument/2006/relationships/hyperlink" Target="https://docs.google.com/document/d/1PSs6PJxfHNvQL0Gdx2FpaTy-9EKgmxmmCEUvK9qcJiU/edit?usp=drivesdk" TargetMode="External"/><Relationship Id="rId449" Type="http://schemas.openxmlformats.org/officeDocument/2006/relationships/hyperlink" Target="https://docs.google.com/document/d/1ul8UQMETh26VSjI04pzTDRAA7H0Qdpy0QDoLfZHiKdQ/edit?usp=drivesdk" TargetMode="External"/><Relationship Id="rId440" Type="http://schemas.openxmlformats.org/officeDocument/2006/relationships/hyperlink" Target="https://docs.google.com/document/d/1mNPO_GyVd2u4ik4BLnp61fbd_8_ai6qHicV6GLDH8k8/edit?usp=drivesdk" TargetMode="External"/><Relationship Id="rId202" Type="http://schemas.openxmlformats.org/officeDocument/2006/relationships/hyperlink" Target="https://docs.google.com/document/d/1wCwibueR_wcJviqe1JCJpLlTRhJP87kkXm9YSbcKdXU/edit?usp=drivesdk" TargetMode="External"/><Relationship Id="rId323" Type="http://schemas.openxmlformats.org/officeDocument/2006/relationships/hyperlink" Target="https://docs.google.com/document/d/1tLgUiv4bcn2V_cgRKNu_zZ5FGT2YBAuPzKuqiAXm0co/edit?usp=drivesdk" TargetMode="External"/><Relationship Id="rId444" Type="http://schemas.openxmlformats.org/officeDocument/2006/relationships/hyperlink" Target="https://docs.google.com/document/d/1RhI2g82fbFAKOgTn73GYXSoJOtPGjCugxGRLUVIJdgE/edit?usp=drivesdk" TargetMode="External"/><Relationship Id="rId201" Type="http://schemas.openxmlformats.org/officeDocument/2006/relationships/hyperlink" Target="https://docs.google.com/document/d/1BlhUooj52_5Yvz462SxTIX6_-Pjdb3OHBRmrvl_Ls6A/edit?usp=drivesdk" TargetMode="External"/><Relationship Id="rId322" Type="http://schemas.openxmlformats.org/officeDocument/2006/relationships/hyperlink" Target="https://docs.google.com/document/d/1nsjrzaiK-XGxSSZHB42jsZNNYxbyV3RJtQXB9v-oEB4/edit?usp=drivesdk" TargetMode="External"/><Relationship Id="rId443" Type="http://schemas.openxmlformats.org/officeDocument/2006/relationships/hyperlink" Target="https://docs.google.com/document/d/1LGB0_A8ZWtOqleEzjTfQHtsoVacH_5UR0QbIFYLaSwY/edit?usp=drivesdk" TargetMode="External"/><Relationship Id="rId200" Type="http://schemas.openxmlformats.org/officeDocument/2006/relationships/hyperlink" Target="https://docs.google.com/document/d/1-LNoiYtth3TFidddGkp-DIB0m_Gtbagw1nKdq4vBdXE/edit?usp=drivesdk" TargetMode="External"/><Relationship Id="rId321" Type="http://schemas.openxmlformats.org/officeDocument/2006/relationships/hyperlink" Target="https://docs.google.com/document/d/1UHxq4c6sGkIXHA_Cj_Kx_dd2yABgFStnfCZ4va8AwCQ/edit?usp=drivesdk" TargetMode="External"/><Relationship Id="rId442" Type="http://schemas.openxmlformats.org/officeDocument/2006/relationships/hyperlink" Target="https://docs.google.com/document/d/1ZpHNgTfwEUWpacFvXODvASHbr6p2nOLQFoJ0GljaYLs/edit?usp=drivesdk" TargetMode="External"/><Relationship Id="rId320" Type="http://schemas.openxmlformats.org/officeDocument/2006/relationships/hyperlink" Target="https://docs.google.com/document/d/1E9aNIH6mCOOIwAQV51kZmcxa6B48JuJxjrm7UDpXd2w/edit?usp=drivesdk" TargetMode="External"/><Relationship Id="rId441" Type="http://schemas.openxmlformats.org/officeDocument/2006/relationships/hyperlink" Target="https://docs.google.com/document/d/1ePCO4KHagTKnQfElL5MNB80sbs6Ckddhbe23E2ORdR4/edit?usp=drivesdk" TargetMode="External"/><Relationship Id="rId316" Type="http://schemas.openxmlformats.org/officeDocument/2006/relationships/hyperlink" Target="https://docs.google.com/document/d/1i6f7kHhOK6gs1CovzkHGRW2qcF_O4PSMw6GEfKJFoiI/edit?usp=drivesdk" TargetMode="External"/><Relationship Id="rId437" Type="http://schemas.openxmlformats.org/officeDocument/2006/relationships/hyperlink" Target="https://docs.google.com/document/d/1GzkY8izK06JsClfLYPWUgMRmQ1z2XstFMkeF9ixlJuU/edit?usp=drivesdk" TargetMode="External"/><Relationship Id="rId315" Type="http://schemas.openxmlformats.org/officeDocument/2006/relationships/hyperlink" Target="https://docs.google.com/document/d/19iCCJZ_O23GPhy55Pb4Tax0fp71UZC6HAdOjd8p_lds/edit?usp=drivesdk" TargetMode="External"/><Relationship Id="rId436" Type="http://schemas.openxmlformats.org/officeDocument/2006/relationships/hyperlink" Target="https://docs.google.com/document/d/1m-gcMOonRqpC2CRrsxi78JIIPqqWlY38V9zr7EZlAqE/edit?usp=drivesdk" TargetMode="External"/><Relationship Id="rId314" Type="http://schemas.openxmlformats.org/officeDocument/2006/relationships/hyperlink" Target="https://docs.google.com/document/d/1iIShRcHBMX9s2p9ixcmfD63N4BNpzZOhUMopEgZXVXU/edit?usp=drivesdk" TargetMode="External"/><Relationship Id="rId435" Type="http://schemas.openxmlformats.org/officeDocument/2006/relationships/hyperlink" Target="https://docs.google.com/document/d/1TfKfUlB6Fa99T2erVf-h8lic_B7WvdB6pl8P347q30k/edit?usp=drivesdk" TargetMode="External"/><Relationship Id="rId313" Type="http://schemas.openxmlformats.org/officeDocument/2006/relationships/hyperlink" Target="https://docs.google.com/document/d/1DEEZagV5EBkLzROR_9oxeIWIQiNWeE6h9eGZvDKJGBc/edit?usp=drivesdk" TargetMode="External"/><Relationship Id="rId434" Type="http://schemas.openxmlformats.org/officeDocument/2006/relationships/hyperlink" Target="https://docs.google.com/document/d/166DeXIgY-PkIiQZNK8YR4ZysxCR-mcL5zODZFyoTbHY/edit?usp=drivesdk" TargetMode="External"/><Relationship Id="rId319" Type="http://schemas.openxmlformats.org/officeDocument/2006/relationships/hyperlink" Target="https://docs.google.com/document/d/1jxJbOyJ-efuz4tHXDy8L3GTN2d42synPAf0a9KwhPj4/edit?usp=drivesdk" TargetMode="External"/><Relationship Id="rId318" Type="http://schemas.openxmlformats.org/officeDocument/2006/relationships/hyperlink" Target="https://docs.google.com/document/d/1dcxw6xlXtPDlo4G3zVliHM7eYEMWU9U5ZU03DGzm4Y4/edit?usp=drivesdk" TargetMode="External"/><Relationship Id="rId439" Type="http://schemas.openxmlformats.org/officeDocument/2006/relationships/hyperlink" Target="https://docs.google.com/document/d/1q2m23PjSyDH6cKMBxl2b-8RlAo5GVdJl2Ouenx5a5uo/edit?usp=drivesdk" TargetMode="External"/><Relationship Id="rId317" Type="http://schemas.openxmlformats.org/officeDocument/2006/relationships/hyperlink" Target="https://docs.google.com/document/d/1Id6Jld1KzxQlELFCsAZGsrQF5n3rtGtVgl9NJOHfP_4/edit?usp=drivesdk" TargetMode="External"/><Relationship Id="rId438" Type="http://schemas.openxmlformats.org/officeDocument/2006/relationships/hyperlink" Target="https://docs.google.com/document/d/1Lso36k1FWGmJAnvnNYjIBwRDm4Ef21ZOWQtvphNocP4/edit?usp=drivesdk" TargetMode="External"/><Relationship Id="rId312" Type="http://schemas.openxmlformats.org/officeDocument/2006/relationships/hyperlink" Target="https://docs.google.com/document/d/1MyR0KwbVK6DLOQXHSWopn30pPwPKufzUXd-DVwHJfoc/edit?usp=drivesdk" TargetMode="External"/><Relationship Id="rId433" Type="http://schemas.openxmlformats.org/officeDocument/2006/relationships/hyperlink" Target="https://docs.google.com/document/d/1cooWly9CdWRCoCXhOkU5l07MF3gtnaqhh5Nb1u9tu_s/edit?usp=drivesdk" TargetMode="External"/><Relationship Id="rId311" Type="http://schemas.openxmlformats.org/officeDocument/2006/relationships/hyperlink" Target="https://docs.google.com/document/d/1fe-2hVqu4qRXiK7uZpdjNWbt09bbNO2CMjpLNLRqic4/edit?usp=drivesdk" TargetMode="External"/><Relationship Id="rId432" Type="http://schemas.openxmlformats.org/officeDocument/2006/relationships/hyperlink" Target="https://docs.google.com/document/d/15pl5c0Q7XZuL6VPAZlgrx280SO-_yYzrHSEimuYcJPo/edit?usp=drivesdk" TargetMode="External"/><Relationship Id="rId310" Type="http://schemas.openxmlformats.org/officeDocument/2006/relationships/hyperlink" Target="https://docs.google.com/document/d/1ZCXGxgcM0SMf47GDz2P2nEKQwWPen_IopWAdo9gZUe8/edit?usp=drivesdk" TargetMode="External"/><Relationship Id="rId431" Type="http://schemas.openxmlformats.org/officeDocument/2006/relationships/hyperlink" Target="https://docs.google.com/document/d/1fV7ujv8mdM-qcN_Fc0mQNchgUTDr7W6eeg26ipk9aYg/edit?usp=drivesdk" TargetMode="External"/><Relationship Id="rId430" Type="http://schemas.openxmlformats.org/officeDocument/2006/relationships/hyperlink" Target="https://docs.google.com/document/d/1bOaRA6MwXwyJSUPqm-CvsNbw2NERAY_Pxr7kt3N14PE/edit?usp=drivesdk"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docs.google.com/document/d/16OYOj5TIsxB7aLpe8-WmMHmeLPl3WJceZcqhaNcR8ug/edit?usp=drivesdk" TargetMode="External"/><Relationship Id="rId194" Type="http://schemas.openxmlformats.org/officeDocument/2006/relationships/hyperlink" Target="https://docs.google.com/document/d/1UTMHhAq_kXygMb9yCTHtxEDXQXCiJxKdNDQMS38t11M/edit?usp=drivesdk" TargetMode="External"/><Relationship Id="rId193" Type="http://schemas.openxmlformats.org/officeDocument/2006/relationships/hyperlink" Target="https://docs.google.com/document/d/1w5yvrJDRg-YgyWDyeVMe6dpoKT5A2GMePvS1bvcmC00/edit?usp=drivesdk" TargetMode="External"/><Relationship Id="rId192" Type="http://schemas.openxmlformats.org/officeDocument/2006/relationships/hyperlink" Target="https://docs.google.com/document/d/1p7s5sR34YXc9wg1z-_VVivHlRGZkuTUZxMHhBUHtCco/edit?usp=drivesdk" TargetMode="External"/><Relationship Id="rId191" Type="http://schemas.openxmlformats.org/officeDocument/2006/relationships/hyperlink" Target="https://docs.google.com/document/d/16SdYODC-uCZ2zFLn33qfp7Qjty_GYbog-ssGQaMREx8/edit?usp=drivesdk" TargetMode="External"/><Relationship Id="rId187" Type="http://schemas.openxmlformats.org/officeDocument/2006/relationships/hyperlink" Target="https://docs.google.com/document/d/1urGKS6Hhgz61wxKnJxIwXPH6FT9q0n0PP04qBW5_huw/edit?usp=drivesdk" TargetMode="External"/><Relationship Id="rId186" Type="http://schemas.openxmlformats.org/officeDocument/2006/relationships/hyperlink" Target="https://docs.google.com/document/d/1YiWcFq3l08V3qBUS4JCJ18wDAAtAadOsJGTbNWJ7y0o/edit?usp=drivesdk" TargetMode="External"/><Relationship Id="rId185" Type="http://schemas.openxmlformats.org/officeDocument/2006/relationships/hyperlink" Target="https://docs.google.com/document/d/1YjoS9sKmNES22k8xi23oxX83WayzKLWesHbnmpWte98/edit?usp=drivesdk" TargetMode="External"/><Relationship Id="rId184" Type="http://schemas.openxmlformats.org/officeDocument/2006/relationships/hyperlink" Target="https://docs.google.com/document/d/1zstXvM6CwDhboX8ljkxSJeWbw2aJlIOMC9rK3xtsd2U/edit?usp=drivesdk" TargetMode="External"/><Relationship Id="rId189" Type="http://schemas.openxmlformats.org/officeDocument/2006/relationships/hyperlink" Target="https://docs.google.com/document/d/11wDe1iSta-uPiSj3aBwpM_PUcVB86619YC5CLL_mQ-I/edit?usp=drivesdk" TargetMode="External"/><Relationship Id="rId188" Type="http://schemas.openxmlformats.org/officeDocument/2006/relationships/hyperlink" Target="https://docs.google.com/document/d/1Uul-M4yHrQoQPnrQFZYN9DfqLTVHhiUvwWZpw-wNmWI/edit?usp=drivesdk" TargetMode="External"/><Relationship Id="rId183" Type="http://schemas.openxmlformats.org/officeDocument/2006/relationships/hyperlink" Target="https://docs.google.com/document/d/1h0R2PZU0rvgtqbs53JDBEKKuDogTM-nMHYHY7C7YB0Q/edit?usp=drivesdk" TargetMode="External"/><Relationship Id="rId182" Type="http://schemas.openxmlformats.org/officeDocument/2006/relationships/hyperlink" Target="https://docs.google.com/document/d/1MdfvTIYnceoqzhRGfam7t0apLcYPKCV83LbdbuAQAkg/edit?usp=drivesdk" TargetMode="External"/><Relationship Id="rId181" Type="http://schemas.openxmlformats.org/officeDocument/2006/relationships/hyperlink" Target="https://docs.google.com/document/d/1uWbC2LTTPyzZ9D7G8dbN75G0kC0n3ExQXQUhFHsruTY/edit?usp=drivesdk" TargetMode="External"/><Relationship Id="rId180" Type="http://schemas.openxmlformats.org/officeDocument/2006/relationships/hyperlink" Target="https://docs.google.com/document/d/1hauw2vE5xdSX1EdBY3STcNLUeeUqh_H2hN1zo1cocKU/edit?usp=drivesdk" TargetMode="External"/><Relationship Id="rId176" Type="http://schemas.openxmlformats.org/officeDocument/2006/relationships/hyperlink" Target="https://docs.google.com/document/d/1-6d6hvJWvO6BYtbO2WWaqb1in49kdbEkIdMZcbPaJuo/edit?usp=drivesdk" TargetMode="External"/><Relationship Id="rId297" Type="http://schemas.openxmlformats.org/officeDocument/2006/relationships/hyperlink" Target="https://docs.google.com/document/d/1LBlWKL2pKmxOCG6VVr5KzjV_Qs6EWYJnMRPZXBuCHyY/edit?usp=drivesdk" TargetMode="External"/><Relationship Id="rId175" Type="http://schemas.openxmlformats.org/officeDocument/2006/relationships/hyperlink" Target="https://docs.google.com/document/d/1WPXaA7dO7Ju4PLovG3d8P_hfoKL3mzHt2dO7NERh5Nc/edit?usp=drivesdk" TargetMode="External"/><Relationship Id="rId296" Type="http://schemas.openxmlformats.org/officeDocument/2006/relationships/hyperlink" Target="https://docs.google.com/document/d/1VJnXPJs-V6D3x8ovy_Zxak_KhMiACK6sxW9bc_Tpvk4/edit?usp=drivesdk" TargetMode="External"/><Relationship Id="rId174" Type="http://schemas.openxmlformats.org/officeDocument/2006/relationships/hyperlink" Target="https://docs.google.com/document/d/1UytU1qoyfwDOxvXCNFzuyxYJSlOMrr0F6BOQspPMTz0/edit?usp=drivesdk" TargetMode="External"/><Relationship Id="rId295" Type="http://schemas.openxmlformats.org/officeDocument/2006/relationships/hyperlink" Target="https://docs.google.com/document/d/1YLWiNhI8NozGXmYo5gZ2IVUl2kOr9Ek5uLEd8Mb9Y4s/edit?usp=drivesdk" TargetMode="External"/><Relationship Id="rId173" Type="http://schemas.openxmlformats.org/officeDocument/2006/relationships/hyperlink" Target="https://docs.google.com/document/d/1oCIbNyJwXRwNMINWHnLOK0AHi7aUYV5hxePSeCyfP2Q/edit?usp=drivesdk" TargetMode="External"/><Relationship Id="rId294" Type="http://schemas.openxmlformats.org/officeDocument/2006/relationships/hyperlink" Target="https://docs.google.com/document/d/1qfUcmR9cqqC24YrVwYMSNWmDE13w6gaXtQiKLuEI16A/edit?usp=drivesdk" TargetMode="External"/><Relationship Id="rId179" Type="http://schemas.openxmlformats.org/officeDocument/2006/relationships/hyperlink" Target="https://docs.google.com/document/d/1oTcfsWZOgZYgI5Fy-XeM-Rzu-vTXU288StIZED4uEX8/edit?usp=drivesdk" TargetMode="External"/><Relationship Id="rId178" Type="http://schemas.openxmlformats.org/officeDocument/2006/relationships/hyperlink" Target="https://docs.google.com/document/d/1A8RL1csPx-oiXdee1EdEvumxx2HabklDEO-iwGQ4XE4/edit?usp=drivesdk" TargetMode="External"/><Relationship Id="rId299" Type="http://schemas.openxmlformats.org/officeDocument/2006/relationships/hyperlink" Target="https://docs.google.com/document/d/1KgtsJJKzhgVyGWsX20RlzbAQfyhax9XMYyQYU7_jT3Q/edit?usp=drivesdk" TargetMode="External"/><Relationship Id="rId177" Type="http://schemas.openxmlformats.org/officeDocument/2006/relationships/hyperlink" Target="https://docs.google.com/document/d/1GVAYZH_XWuygN1DJkmLahy2vWDXRXeAZcQd7hsb812o/edit?usp=drivesdk" TargetMode="External"/><Relationship Id="rId298" Type="http://schemas.openxmlformats.org/officeDocument/2006/relationships/hyperlink" Target="https://docs.google.com/document/d/1oFfq4LU7d1zTf_pe0yQ81_jHV2i5KQRSdELtjM6PJvU/edit?usp=drivesdk" TargetMode="External"/><Relationship Id="rId198" Type="http://schemas.openxmlformats.org/officeDocument/2006/relationships/hyperlink" Target="https://docs.google.com/document/d/17RQ4Ys5vhUgH_js1ld3jCjcGkUV1G8rZmkNP458_zYM/edit?usp=drivesdk" TargetMode="External"/><Relationship Id="rId197" Type="http://schemas.openxmlformats.org/officeDocument/2006/relationships/hyperlink" Target="https://docs.google.com/document/d/1IaxkgNOqPzkSPHLaQxOsCa-xiQoIeRtfPOqC3I0c1oI/edit?usp=drivesdk" TargetMode="External"/><Relationship Id="rId196" Type="http://schemas.openxmlformats.org/officeDocument/2006/relationships/hyperlink" Target="https://docs.google.com/document/d/1gVI_jfcOWjzZEQMF4gbfgFQynt0Z5DO6MONlYJj8nUU/edit?usp=drivesdk" TargetMode="External"/><Relationship Id="rId195" Type="http://schemas.openxmlformats.org/officeDocument/2006/relationships/hyperlink" Target="https://docs.google.com/document/d/1SXZqdzN-q45bqHiSwks60gp_1yChmg6o0A3CtR_bRFY/edit?usp=drivesdk" TargetMode="External"/><Relationship Id="rId199" Type="http://schemas.openxmlformats.org/officeDocument/2006/relationships/hyperlink" Target="https://docs.google.com/document/d/1sp3x5m3NjyONG81qm62pZZCQIhwJORfCMNu2kAoMkJc/edit?usp=drivesdk" TargetMode="External"/><Relationship Id="rId150" Type="http://schemas.openxmlformats.org/officeDocument/2006/relationships/hyperlink" Target="https://docs.google.com/document/d/1JGMIP5SQ2ZMKd8eDucsvIls3aSK9Tt3z-nF29BgavLw/edit?usp=drivesdk" TargetMode="External"/><Relationship Id="rId271" Type="http://schemas.openxmlformats.org/officeDocument/2006/relationships/hyperlink" Target="https://docs.google.com/document/d/1UEl-2dca8hhWbxoBq3pZJzZcixkeZmJLnspPZQ9oT-Q/edit?usp=drivesdk" TargetMode="External"/><Relationship Id="rId392" Type="http://schemas.openxmlformats.org/officeDocument/2006/relationships/hyperlink" Target="https://docs.google.com/document/d/1osvIdgKYUEM3b9J7rEXHR3TOqEWzRRqJwFNEr4ZGZwk/edit?usp=drivesdk" TargetMode="External"/><Relationship Id="rId270" Type="http://schemas.openxmlformats.org/officeDocument/2006/relationships/hyperlink" Target="https://docs.google.com/document/d/1LBsjMCrOKskybnaVJZ8DrnF0haojvF7rUr38aeeaaBQ/edit?usp=drivesdk" TargetMode="External"/><Relationship Id="rId391" Type="http://schemas.openxmlformats.org/officeDocument/2006/relationships/hyperlink" Target="https://docs.google.com/document/d/1TTDgJwN76xiXWyDlFbbKJxZHE_M1_FnRC9jx-Hp0QS4/edit?usp=drivesdk" TargetMode="External"/><Relationship Id="rId390" Type="http://schemas.openxmlformats.org/officeDocument/2006/relationships/hyperlink" Target="https://docs.google.com/document/d/1Sf_4ILjN5K-5V3F6cTF8vBnLuPZyBmGl95mM0XiRX78/edit?usp=drivesdk" TargetMode="External"/><Relationship Id="rId1" Type="http://schemas.openxmlformats.org/officeDocument/2006/relationships/hyperlink" Target="https://drive.google.com/a/gtmnerr.org/file/d/1-xBJcM5t4rp1kF8CtiHFHCGIYOyemNCh/view?usp=drivesdk" TargetMode="External"/><Relationship Id="rId2" Type="http://schemas.openxmlformats.org/officeDocument/2006/relationships/hyperlink" Target="https://drive.google.com/a/gtmnerr.org/file/d/1PoGr328HmybT9p6Khc3j48PbR5wcYaea/view?usp=drivesdk" TargetMode="External"/><Relationship Id="rId3" Type="http://schemas.openxmlformats.org/officeDocument/2006/relationships/hyperlink" Target="https://drive.google.com/a/gtmnerr.org/file/d/1lZDSHrj3qsq_O52lhKl_J8Ol3Ppm2wpf/view?usp=drivesdk" TargetMode="External"/><Relationship Id="rId149" Type="http://schemas.openxmlformats.org/officeDocument/2006/relationships/hyperlink" Target="https://docs.google.com/document/d/1FPp7Ct0JiV_kWgKtlmLlCmGzPELIhER6zZ_PuQTEZXQ/edit?usp=drivesdk" TargetMode="External"/><Relationship Id="rId4" Type="http://schemas.openxmlformats.org/officeDocument/2006/relationships/hyperlink" Target="https://drive.google.com/a/gtmnerr.org/file/d/1QvAZ7R1p5_SFBt5mF93Am43VNlxMzFTn/view?usp=drivesdk" TargetMode="External"/><Relationship Id="rId148" Type="http://schemas.openxmlformats.org/officeDocument/2006/relationships/hyperlink" Target="https://docs.google.com/document/d/1L1XIyzHuHRQHoWUjLZVh96I0pkX6GW-koS18WeV4S5A/edit?usp=drivesdk" TargetMode="External"/><Relationship Id="rId269" Type="http://schemas.openxmlformats.org/officeDocument/2006/relationships/hyperlink" Target="https://docs.google.com/document/d/1_V2iYWUNuyPpcY9McAiWWBOBaQ-9nnGnLE3AXu3Ways/edit?usp=drivesdk" TargetMode="External"/><Relationship Id="rId9" Type="http://schemas.openxmlformats.org/officeDocument/2006/relationships/hyperlink" Target="https://drive.google.com/a/gtmnerr.org/file/d/1CqRffsFMJFT8y9LOWdRzM3m5rD9ZeP2D/view?usp=drivesdk" TargetMode="External"/><Relationship Id="rId143" Type="http://schemas.openxmlformats.org/officeDocument/2006/relationships/hyperlink" Target="https://docs.google.com/document/d/1h91QH6PngBZUaCNZ-MO08urM96IecrjSB_niSTukIOo/edit?usp=drivesdk" TargetMode="External"/><Relationship Id="rId264" Type="http://schemas.openxmlformats.org/officeDocument/2006/relationships/hyperlink" Target="https://docs.google.com/document/d/1g4e1jL6_o4Bnaqlw071EP28KdZfsft1fTcxM7y5K3hY/edit?usp=drivesdk" TargetMode="External"/><Relationship Id="rId385" Type="http://schemas.openxmlformats.org/officeDocument/2006/relationships/hyperlink" Target="https://docs.google.com/document/d/15IRTJxlG3VjfsXhPDtxtYTDiALUXkRoyVsHI6xd9aOE/edit?usp=drivesdk" TargetMode="External"/><Relationship Id="rId142" Type="http://schemas.openxmlformats.org/officeDocument/2006/relationships/hyperlink" Target="https://docs.google.com/document/d/1OeQTHLSFGSAT31agDkq7pmB0XfjKbGB3H-0rpdiqzEk/edit?usp=drivesdk" TargetMode="External"/><Relationship Id="rId263" Type="http://schemas.openxmlformats.org/officeDocument/2006/relationships/hyperlink" Target="https://docs.google.com/document/d/1T405mthEps_AdPOWw3Iy-nbrUnZ7A60jSwUoncMXVKg/edit?usp=drivesdk" TargetMode="External"/><Relationship Id="rId384" Type="http://schemas.openxmlformats.org/officeDocument/2006/relationships/hyperlink" Target="https://docs.google.com/document/d/1prWMueONgldddFzfRPQ9ygSaRH4jgTMVx9qL2sHIQOE/edit?usp=drivesdk" TargetMode="External"/><Relationship Id="rId141" Type="http://schemas.openxmlformats.org/officeDocument/2006/relationships/hyperlink" Target="https://docs.google.com/document/d/1JqTnJCbGjhbLNmpNm8MVKYBsWfwqFc2Spby_NHY6YBU/edit?usp=drivesdk" TargetMode="External"/><Relationship Id="rId262" Type="http://schemas.openxmlformats.org/officeDocument/2006/relationships/hyperlink" Target="https://docs.google.com/document/d/1Q9ML7tL-eCbAh36Z_OcvQHcpvugY7Asf2P4_F6COnTE/edit?usp=drivesdk" TargetMode="External"/><Relationship Id="rId383" Type="http://schemas.openxmlformats.org/officeDocument/2006/relationships/hyperlink" Target="https://docs.google.com/document/d/1_d5fECny22GGiNZdf1tqjhG5JV1OTtPAjBfXMp_UcRA/edit?usp=drivesdk" TargetMode="External"/><Relationship Id="rId140" Type="http://schemas.openxmlformats.org/officeDocument/2006/relationships/hyperlink" Target="https://docs.google.com/document/d/10B-Y9mtzPJLK-Vl1R2A-xzT2AB0jOcgS4S3pnj8j_Ks/edit?usp=drivesdk" TargetMode="External"/><Relationship Id="rId261" Type="http://schemas.openxmlformats.org/officeDocument/2006/relationships/hyperlink" Target="https://docs.google.com/document/d/1Si4U5YmHvfX7oP5-r6Jt3hFsP-8Kn9NMVMWY0BZp7kU/edit?usp=drivesdk" TargetMode="External"/><Relationship Id="rId382" Type="http://schemas.openxmlformats.org/officeDocument/2006/relationships/hyperlink" Target="https://docs.google.com/document/d/1BjOP-8VPoeoJ2NRkI-tiC7P49H282nx17wHC2CG2JIc/edit?usp=drivesdk" TargetMode="External"/><Relationship Id="rId5" Type="http://schemas.openxmlformats.org/officeDocument/2006/relationships/hyperlink" Target="https://drive.google.com/a/gtmnerr.org/file/d/1YinwlBsrG6skh50eUb96HFs4ROS8w5Vd/view?usp=drivesdk" TargetMode="External"/><Relationship Id="rId147" Type="http://schemas.openxmlformats.org/officeDocument/2006/relationships/hyperlink" Target="https://docs.google.com/document/d/165OlHMSD7QQspuLihMnA4iOz0DUxDdUqPxfmQ1cBeNs/edit?usp=drivesdk" TargetMode="External"/><Relationship Id="rId268" Type="http://schemas.openxmlformats.org/officeDocument/2006/relationships/hyperlink" Target="https://docs.google.com/document/d/190TNo4ZUiEWHJnPN5QI9eTlWaIaeW3i_-JNB6ri0AA4/edit?usp=drivesdk" TargetMode="External"/><Relationship Id="rId389" Type="http://schemas.openxmlformats.org/officeDocument/2006/relationships/hyperlink" Target="https://docs.google.com/document/d/1hRHCgSxbnv7hu6DeHUy5JI5pBcEgXO0l_jaGUl_e9dU/edit?usp=drivesdk" TargetMode="External"/><Relationship Id="rId6" Type="http://schemas.openxmlformats.org/officeDocument/2006/relationships/hyperlink" Target="https://drive.google.com/a/gtmnerr.org/file/d/1UDcTZ57HVMirRLXojC9fGFCmlWToZDMk/view?usp=drivesdk" TargetMode="External"/><Relationship Id="rId146" Type="http://schemas.openxmlformats.org/officeDocument/2006/relationships/hyperlink" Target="https://docs.google.com/document/d/1LuCtXJrW5W_uDwtAy3HfcI7oOa4lD8iG7UzSamPCoDk/edit?usp=drivesdk" TargetMode="External"/><Relationship Id="rId267" Type="http://schemas.openxmlformats.org/officeDocument/2006/relationships/hyperlink" Target="https://docs.google.com/document/d/1zlJ_Fo8-K64oCgIGfP5Aj5buqM1dyZx_BJk8QFySHVc/edit?usp=drivesdk" TargetMode="External"/><Relationship Id="rId388" Type="http://schemas.openxmlformats.org/officeDocument/2006/relationships/hyperlink" Target="https://docs.google.com/document/d/18_-rvKQZAj4zj-xu5XIOunNjjc1B25_eNVm9KFoW9Dk/edit?usp=drivesdk" TargetMode="External"/><Relationship Id="rId7" Type="http://schemas.openxmlformats.org/officeDocument/2006/relationships/hyperlink" Target="https://drive.google.com/a/gtmnerr.org/file/d/1jgjcWdO9z2WyqZPvktwTx42rtdLSC_0a/view?usp=drivesdk" TargetMode="External"/><Relationship Id="rId145" Type="http://schemas.openxmlformats.org/officeDocument/2006/relationships/hyperlink" Target="https://docs.google.com/document/d/1jLef7WH1ZWvUDuCPO5cYBeyKUgeRQ04zAG93ZEtwINk/edit?usp=drivesdk" TargetMode="External"/><Relationship Id="rId266" Type="http://schemas.openxmlformats.org/officeDocument/2006/relationships/hyperlink" Target="https://docs.google.com/document/d/1gYNhicIovTf1c9Zf3C3aODQwJQQizjlNU7MM4uM7Cq8/edit?usp=drivesdk" TargetMode="External"/><Relationship Id="rId387" Type="http://schemas.openxmlformats.org/officeDocument/2006/relationships/hyperlink" Target="https://docs.google.com/document/d/1CRc4j6HLo0xqlKMTTNdvh8YrHb0mUQt_MH11cR4wB04/edit?usp=drivesdk" TargetMode="External"/><Relationship Id="rId8" Type="http://schemas.openxmlformats.org/officeDocument/2006/relationships/hyperlink" Target="https://drive.google.com/a/gtmnerr.org/file/d/1xdZPUxBQL3Q04nu9hZKEqU5OAwvcXjY4/view?usp=drivesdk" TargetMode="External"/><Relationship Id="rId144" Type="http://schemas.openxmlformats.org/officeDocument/2006/relationships/hyperlink" Target="https://docs.google.com/document/d/1JRlYA77vV_VIb-S6I2VOgzFmlAaoJSMri79y4krYTeg/edit?usp=drivesdk" TargetMode="External"/><Relationship Id="rId265" Type="http://schemas.openxmlformats.org/officeDocument/2006/relationships/hyperlink" Target="https://docs.google.com/document/d/1vkQaUeNfFpD_o02fHgg_xTiGVFe9jSGR2yTxiIOVFIE/edit?usp=drivesdk" TargetMode="External"/><Relationship Id="rId386" Type="http://schemas.openxmlformats.org/officeDocument/2006/relationships/hyperlink" Target="https://docs.google.com/document/d/1M7xpibvSmVbgcBf-KshDdhZJdbWlKw_O9smFLdfK_xY/edit?usp=drivesdk" TargetMode="External"/><Relationship Id="rId260" Type="http://schemas.openxmlformats.org/officeDocument/2006/relationships/hyperlink" Target="https://docs.google.com/document/d/1eXlcmMIv9zUf7k-HL1ZFahKVKf9u1qFeaJAyflX6R20/edit?usp=drivesdk" TargetMode="External"/><Relationship Id="rId381" Type="http://schemas.openxmlformats.org/officeDocument/2006/relationships/hyperlink" Target="https://docs.google.com/document/d/15j64OI3l-9JOaYM-CSUcSma3Xa3KxC0IETHE3a7jyMY/edit?usp=drivesdk" TargetMode="External"/><Relationship Id="rId380" Type="http://schemas.openxmlformats.org/officeDocument/2006/relationships/hyperlink" Target="https://docs.google.com/document/d/1h83vbiy0qIUMEJu9na-S6xILq_JKNVe8nRk6se4XBmI/edit?usp=drivesdk" TargetMode="External"/><Relationship Id="rId139" Type="http://schemas.openxmlformats.org/officeDocument/2006/relationships/hyperlink" Target="https://docs.google.com/document/d/1YbcgZerdP1LVsxnkBb1fZoOvlgu2Id6KK0LNMU632hw/edit?usp=drivesdk" TargetMode="External"/><Relationship Id="rId138" Type="http://schemas.openxmlformats.org/officeDocument/2006/relationships/hyperlink" Target="https://docs.google.com/document/d/1KDK2Lyv_0BANy_IEzxkUFIoBnnXj9uvp7TxHIpYvUyk/edit?usp=drivesdk" TargetMode="External"/><Relationship Id="rId259" Type="http://schemas.openxmlformats.org/officeDocument/2006/relationships/hyperlink" Target="https://docs.google.com/document/d/1yVYWUcznor89rZKLN7JNHkOJi-hKAXwvKPawozANPrs/edit?usp=drivesdk" TargetMode="External"/><Relationship Id="rId137" Type="http://schemas.openxmlformats.org/officeDocument/2006/relationships/hyperlink" Target="https://docs.google.com/document/d/10rU4XDlqfzQWaY9r_oxgwKKaIF7s4-1zNcxL46nYc7c/edit?usp=drivesdk" TargetMode="External"/><Relationship Id="rId258" Type="http://schemas.openxmlformats.org/officeDocument/2006/relationships/hyperlink" Target="https://docs.google.com/document/d/1u7s5sF6N4c08VUpD9QaNfb9XH2JWFuYc9n9uv0nmrXs/edit?usp=drivesdk" TargetMode="External"/><Relationship Id="rId379" Type="http://schemas.openxmlformats.org/officeDocument/2006/relationships/hyperlink" Target="https://docs.google.com/document/d/1lEUCZ8jzWthvDEXI6Yb01Db7gioIfBmZbkRci61BKvw/edit?usp=drivesdk" TargetMode="External"/><Relationship Id="rId132" Type="http://schemas.openxmlformats.org/officeDocument/2006/relationships/hyperlink" Target="https://docs.google.com/document/d/1BEemg3yUgKS4kZmHueWdHy0Eq3TwI6BuvwXCR9oCHpE/edit?usp=drivesdk" TargetMode="External"/><Relationship Id="rId253" Type="http://schemas.openxmlformats.org/officeDocument/2006/relationships/hyperlink" Target="https://docs.google.com/document/d/1ukzotZXuW2ove_jHqRm504KzOsplPkmvul8G0QbKoMY/edit?usp=drivesdk" TargetMode="External"/><Relationship Id="rId374" Type="http://schemas.openxmlformats.org/officeDocument/2006/relationships/hyperlink" Target="https://docs.google.com/document/d/1Y7vwOzLhn0eXI5u7d9d732R4pzu7_c-q0K5-TwlcbW0/edit?usp=drivesdk" TargetMode="External"/><Relationship Id="rId131" Type="http://schemas.openxmlformats.org/officeDocument/2006/relationships/hyperlink" Target="https://docs.google.com/document/d/1L1Qa-gJZob4LNqDWn65q46mBvDTDwlLwU3zjXy1ncsw/edit?usp=drivesdk" TargetMode="External"/><Relationship Id="rId252" Type="http://schemas.openxmlformats.org/officeDocument/2006/relationships/hyperlink" Target="https://docs.google.com/document/d/1vdwGK0Z5I5-j4ULO9LCgVjXiYeUTqd_O3ikT0-SRIwA/edit?usp=drivesdk" TargetMode="External"/><Relationship Id="rId373" Type="http://schemas.openxmlformats.org/officeDocument/2006/relationships/hyperlink" Target="https://docs.google.com/document/d/1n-LG2HTy2qCWVs8L1YdkpPeRR8p2QgvCem4gUFsY-ls/edit?usp=drivesdk" TargetMode="External"/><Relationship Id="rId130" Type="http://schemas.openxmlformats.org/officeDocument/2006/relationships/hyperlink" Target="https://docs.google.com/document/d/1vSRqTWP7CmpWxXBMw2pni-Z1VXWQUibiRPAhtbpU00M/edit?usp=drivesdk" TargetMode="External"/><Relationship Id="rId251" Type="http://schemas.openxmlformats.org/officeDocument/2006/relationships/hyperlink" Target="https://docs.google.com/document/d/1uCFtG0-wU4D5kQQg_2QZmZQcdgRoCiQDn3rZkEBvv04/edit?usp=drivesdk" TargetMode="External"/><Relationship Id="rId372" Type="http://schemas.openxmlformats.org/officeDocument/2006/relationships/hyperlink" Target="https://docs.google.com/document/d/1al6pBTAEsUyBSpAntmTSWLZzNIag_kw43aas-BmHQso/edit?usp=drivesdk" TargetMode="External"/><Relationship Id="rId250" Type="http://schemas.openxmlformats.org/officeDocument/2006/relationships/hyperlink" Target="https://docs.google.com/document/d/1hzl70eQJdCH-lpArjQbSGfHA1SGjOSraKKhyqg58B68/edit?usp=drivesdk" TargetMode="External"/><Relationship Id="rId371" Type="http://schemas.openxmlformats.org/officeDocument/2006/relationships/hyperlink" Target="https://docs.google.com/document/d/1QYU0K6Bg_b60Qb0JUgvwx83i12Fa5B9QcOUKDlg8KR4/edit?usp=drivesdk" TargetMode="External"/><Relationship Id="rId136" Type="http://schemas.openxmlformats.org/officeDocument/2006/relationships/hyperlink" Target="https://docs.google.com/document/d/1cZCSPnwhRfGhAyk0zgxcNQFgvBFuINflyXPMCG46zK4/edit?usp=drivesdk" TargetMode="External"/><Relationship Id="rId257" Type="http://schemas.openxmlformats.org/officeDocument/2006/relationships/hyperlink" Target="https://docs.google.com/document/d/1Jwwqnazwww9YKvWyHVkc7djKCR6FkjdvBevqEEgTxgc/edit?usp=drivesdk" TargetMode="External"/><Relationship Id="rId378" Type="http://schemas.openxmlformats.org/officeDocument/2006/relationships/hyperlink" Target="https://docs.google.com/document/d/1W0MUnKo0pddoDkyInqukilZfM2lV6gT-z8ANRIvhfzc/edit?usp=drivesdk" TargetMode="External"/><Relationship Id="rId135" Type="http://schemas.openxmlformats.org/officeDocument/2006/relationships/hyperlink" Target="https://docs.google.com/document/d/19y2xBdaEYRCaUdOVOFVL8R13UVTXTgDmuMIsfnSUrpc/edit?usp=drivesdk" TargetMode="External"/><Relationship Id="rId256" Type="http://schemas.openxmlformats.org/officeDocument/2006/relationships/hyperlink" Target="https://docs.google.com/document/d/1TyLRb51S5K0bKOXgD50rIy_6EfG9cLwNzFQtV53qkSg/edit?usp=drivesdk" TargetMode="External"/><Relationship Id="rId377" Type="http://schemas.openxmlformats.org/officeDocument/2006/relationships/hyperlink" Target="https://docs.google.com/document/d/1tSD6e648rzgMuzDP9hhqwOSc2wFY4LzC4gX0xMLr3mM/edit?usp=drivesdk" TargetMode="External"/><Relationship Id="rId134" Type="http://schemas.openxmlformats.org/officeDocument/2006/relationships/hyperlink" Target="https://docs.google.com/document/d/1XgPHyLVaetsiT9yAxWjsIn05pUXXzoUT6oXrjFlL0YY/edit?usp=drivesdk" TargetMode="External"/><Relationship Id="rId255" Type="http://schemas.openxmlformats.org/officeDocument/2006/relationships/hyperlink" Target="https://docs.google.com/document/d/1j4CjBxVsEV7eiXaAaDkQ54i3LKlo5QbAlHvFo8FQYLI/edit?usp=drivesdk" TargetMode="External"/><Relationship Id="rId376" Type="http://schemas.openxmlformats.org/officeDocument/2006/relationships/hyperlink" Target="https://docs.google.com/document/d/1_FZkLDX6cpRq0sc7kubw9q1L4r-RNeHr1SqbZ9kcYEw/edit?usp=drivesdk" TargetMode="External"/><Relationship Id="rId133" Type="http://schemas.openxmlformats.org/officeDocument/2006/relationships/hyperlink" Target="https://docs.google.com/document/d/13L1BLRxELDJtkWSeTmCGPwxwpJo_bGihEn16D1Ndh94/edit?usp=drivesdk" TargetMode="External"/><Relationship Id="rId254" Type="http://schemas.openxmlformats.org/officeDocument/2006/relationships/hyperlink" Target="https://docs.google.com/document/d/1oHYrfxnlmihGFpWtZ-1v641ONBZilcpq2UIDfKsPFDs/edit?usp=drivesdk" TargetMode="External"/><Relationship Id="rId375" Type="http://schemas.openxmlformats.org/officeDocument/2006/relationships/hyperlink" Target="https://docs.google.com/document/d/1yjeYvgPYir5ZjPhpr6dgyr3QLWQtzniq9SwDgTcD6K4/edit?usp=drivesdk" TargetMode="External"/><Relationship Id="rId172" Type="http://schemas.openxmlformats.org/officeDocument/2006/relationships/hyperlink" Target="https://docs.google.com/document/d/1Ro8NJhnFBHEkHT8r9UkoHcGushyxmf7T7UxF2d3EPTo/edit?usp=drivesdk" TargetMode="External"/><Relationship Id="rId293" Type="http://schemas.openxmlformats.org/officeDocument/2006/relationships/hyperlink" Target="https://docs.google.com/document/d/1vh9SYwexF7o-MJsnwZb4b3TupfyrNa39KjhqGok5m9c/edit?usp=drivesdk" TargetMode="External"/><Relationship Id="rId171" Type="http://schemas.openxmlformats.org/officeDocument/2006/relationships/hyperlink" Target="https://docs.google.com/document/d/1kbvT1CsqWVSgIaGJKDYhYIm_4ojgiC2OS4qGLdNc4tI/edit?usp=drivesdk" TargetMode="External"/><Relationship Id="rId292" Type="http://schemas.openxmlformats.org/officeDocument/2006/relationships/hyperlink" Target="https://docs.google.com/document/d/164X_Qm-57KZWpDwSlzujouQd4VaB5hOiv035HofNRW4/edit?usp=drivesdk" TargetMode="External"/><Relationship Id="rId170" Type="http://schemas.openxmlformats.org/officeDocument/2006/relationships/hyperlink" Target="https://docs.google.com/document/d/1PL271tW_lqAUNom36USh5xQ5-3Fx9KBM5GmY4JnYfd4/edit?usp=drivesdk" TargetMode="External"/><Relationship Id="rId291" Type="http://schemas.openxmlformats.org/officeDocument/2006/relationships/hyperlink" Target="https://docs.google.com/document/d/1nBWzBiDSsyiR3ju6LhrlU1ZVjn_PV5JBs4--S8E4a3Q/edit?usp=drivesdk" TargetMode="External"/><Relationship Id="rId290" Type="http://schemas.openxmlformats.org/officeDocument/2006/relationships/hyperlink" Target="https://docs.google.com/document/d/1EYWgKjtFQfT6Aj2PtcKOQtTPMo2fy52Im86yup5t7eA/edit?usp=drivesdk" TargetMode="External"/><Relationship Id="rId165" Type="http://schemas.openxmlformats.org/officeDocument/2006/relationships/hyperlink" Target="https://docs.google.com/document/d/1Hfjuh-87HyMgDwCqQ1yxd7fH8nLij__YzoKp6Zt-A88/edit?usp=drivesdk" TargetMode="External"/><Relationship Id="rId286" Type="http://schemas.openxmlformats.org/officeDocument/2006/relationships/hyperlink" Target="https://docs.google.com/document/d/14h26rC8fooKg2LUPrRqgDafgqZqTt7bXcBEoYTV6AwQ/edit?usp=drivesdk" TargetMode="External"/><Relationship Id="rId164" Type="http://schemas.openxmlformats.org/officeDocument/2006/relationships/hyperlink" Target="https://docs.google.com/document/d/17M5r-E0k9v_FKlTFq_QQgPbH7eVdZ0U53IGJR24U6D0/edit?usp=drivesdk" TargetMode="External"/><Relationship Id="rId285" Type="http://schemas.openxmlformats.org/officeDocument/2006/relationships/hyperlink" Target="https://docs.google.com/document/d/1pj9crTN-CZHYzkL4JhT9dLlzLTPl3Fqv8RKEmTo6R1g/edit?usp=drivesdk" TargetMode="External"/><Relationship Id="rId163" Type="http://schemas.openxmlformats.org/officeDocument/2006/relationships/hyperlink" Target="https://docs.google.com/document/d/1Gx8Cm5JStNGnczb9BENMG9AfAMxlxOh8pLjeAEIKSJ8/edit?usp=drivesdk" TargetMode="External"/><Relationship Id="rId284" Type="http://schemas.openxmlformats.org/officeDocument/2006/relationships/hyperlink" Target="https://docs.google.com/document/d/1Nk9n5eyGbsbIoXNmGFa0tJ56gRlGDnbkMU66Pzi_7zQ/edit?usp=drivesdk" TargetMode="External"/><Relationship Id="rId162" Type="http://schemas.openxmlformats.org/officeDocument/2006/relationships/hyperlink" Target="https://docs.google.com/document/d/1HISdHTEExN4zHmyd24EnNJE9re7ldowomCTkQ-w64zU/edit?usp=drivesdk" TargetMode="External"/><Relationship Id="rId283" Type="http://schemas.openxmlformats.org/officeDocument/2006/relationships/hyperlink" Target="https://docs.google.com/document/d/1dCEu2hsgN4CNpOXcvJv99aq_Gid7YoqeBDIpSpkQ4nU/edit?usp=drivesdk" TargetMode="External"/><Relationship Id="rId169" Type="http://schemas.openxmlformats.org/officeDocument/2006/relationships/hyperlink" Target="https://docs.google.com/document/d/1633f9rTaCMPyS4IZy7tFzPfoCMpeoOCM4AqFBr6ZdaU/edit?usp=drivesdk" TargetMode="External"/><Relationship Id="rId168" Type="http://schemas.openxmlformats.org/officeDocument/2006/relationships/hyperlink" Target="https://docs.google.com/document/d/1i7gzGMRtKsIfqsAqJWP2driUwJ2sHFfr9kkmwR3CAzc/edit?usp=drivesdk" TargetMode="External"/><Relationship Id="rId289" Type="http://schemas.openxmlformats.org/officeDocument/2006/relationships/hyperlink" Target="https://docs.google.com/document/d/15x4EVSZ10MXuaxM4ij4M29WzWjxQAM3oj70GOLrnxF0/edit?usp=drivesdk" TargetMode="External"/><Relationship Id="rId167" Type="http://schemas.openxmlformats.org/officeDocument/2006/relationships/hyperlink" Target="https://docs.google.com/document/d/19Pl4hL-nT5KCVnZ4JEMGc1icTwYZpi4m7pzITqh2Uto/edit?usp=drivesdk" TargetMode="External"/><Relationship Id="rId288" Type="http://schemas.openxmlformats.org/officeDocument/2006/relationships/hyperlink" Target="https://docs.google.com/document/d/1qA0BXQylOFUw2Hvi7IhmXc7q1Hw-adob7CuuwLH6Z1g/edit?usp=drivesdk" TargetMode="External"/><Relationship Id="rId166" Type="http://schemas.openxmlformats.org/officeDocument/2006/relationships/hyperlink" Target="https://docs.google.com/document/d/1OdROVKVnWNppbGnZBe8XQx4EcpL1Z_wheLxqjEAAvaY/edit?usp=drivesdk" TargetMode="External"/><Relationship Id="rId287" Type="http://schemas.openxmlformats.org/officeDocument/2006/relationships/hyperlink" Target="https://docs.google.com/document/d/1vYPfTu_pYzTS1kX81IUb2Yn5ePGYoFRClmcO458xK2w/edit?usp=drivesdk" TargetMode="External"/><Relationship Id="rId161" Type="http://schemas.openxmlformats.org/officeDocument/2006/relationships/hyperlink" Target="https://docs.google.com/document/d/1Rrrw9hXvd2dswIm7DTQzp7Bj3bZQddXoz6ZiVQaAymE/edit?usp=drivesdk" TargetMode="External"/><Relationship Id="rId282" Type="http://schemas.openxmlformats.org/officeDocument/2006/relationships/hyperlink" Target="https://docs.google.com/document/d/1AE-X1g5JwYwKIewk8HKwamVWj8F3gqOdlwE6ACEbgo8/edit?usp=drivesdk" TargetMode="External"/><Relationship Id="rId160" Type="http://schemas.openxmlformats.org/officeDocument/2006/relationships/hyperlink" Target="https://docs.google.com/document/d/1wHN4Cbsn47rCWCLLPwvhvv0RSpz-ejSy8O1YNICpliM/edit?usp=drivesdk" TargetMode="External"/><Relationship Id="rId281" Type="http://schemas.openxmlformats.org/officeDocument/2006/relationships/hyperlink" Target="https://docs.google.com/document/d/1TGJKwqK7tl-baAbH_IHsAK1BxN4w_NGJpCrIFFEFTWI/edit?usp=drivesdk" TargetMode="External"/><Relationship Id="rId280" Type="http://schemas.openxmlformats.org/officeDocument/2006/relationships/hyperlink" Target="https://docs.google.com/document/d/1oALdN25ww9lJ48fXJMH1m20lIQx2AKySaSRbjgF26Cc/edit?usp=drivesdk" TargetMode="External"/><Relationship Id="rId159" Type="http://schemas.openxmlformats.org/officeDocument/2006/relationships/hyperlink" Target="https://docs.google.com/document/d/1s3JiwQ-KWulWysULpBhqbwpxDkxCnkakIu_ciCP-aHE/edit?usp=drivesdk" TargetMode="External"/><Relationship Id="rId154" Type="http://schemas.openxmlformats.org/officeDocument/2006/relationships/hyperlink" Target="https://docs.google.com/document/d/1KDW4JIx-TDLtUs2oIxpu-004J3DLKclKRdUK1ysIZ4w/edit?usp=drivesdk" TargetMode="External"/><Relationship Id="rId275" Type="http://schemas.openxmlformats.org/officeDocument/2006/relationships/hyperlink" Target="https://docs.google.com/document/d/1jQmJ2nmws9NbG4unV8L7tknjhGikOp5Wp60WoX0r9SU/edit?usp=drivesdk" TargetMode="External"/><Relationship Id="rId396" Type="http://schemas.openxmlformats.org/officeDocument/2006/relationships/hyperlink" Target="https://docs.google.com/document/d/1t6d4J_pxyGT889qf1VeYKuL_8J9rkyvXI5kFVzGtp5A/edit?usp=drivesdk" TargetMode="External"/><Relationship Id="rId153" Type="http://schemas.openxmlformats.org/officeDocument/2006/relationships/hyperlink" Target="https://docs.google.com/document/d/1ZNjLR5XjuWTsIS-2tFfq5tQYsgGh-MACWxn2ZoDEOuU/edit?usp=drivesdk" TargetMode="External"/><Relationship Id="rId274" Type="http://schemas.openxmlformats.org/officeDocument/2006/relationships/hyperlink" Target="https://docs.google.com/document/d/1hNWRIRHrwQ2y_KjvuP6GF3lI-qpLwHP1zU8ba6Th2A8/edit?usp=drivesdk" TargetMode="External"/><Relationship Id="rId395" Type="http://schemas.openxmlformats.org/officeDocument/2006/relationships/hyperlink" Target="https://docs.google.com/document/d/17Sljgu1FaFjQKGdaD1c81vRCgs0R4l8zXXHwviylLbc/edit?usp=drivesdk" TargetMode="External"/><Relationship Id="rId152" Type="http://schemas.openxmlformats.org/officeDocument/2006/relationships/hyperlink" Target="https://docs.google.com/document/d/1vhbaWsznObDXbxBjYZJm-c5mH0w0JZvCBOp-BzfpDKI/edit?usp=drivesdk" TargetMode="External"/><Relationship Id="rId273" Type="http://schemas.openxmlformats.org/officeDocument/2006/relationships/hyperlink" Target="https://docs.google.com/document/d/1pqnHvRBe93jYVA63NlfI2hkZWWO8LEXrZ0jP21_TsIw/edit?usp=drivesdk" TargetMode="External"/><Relationship Id="rId394" Type="http://schemas.openxmlformats.org/officeDocument/2006/relationships/hyperlink" Target="https://docs.google.com/document/d/128yGHiKh6RHRa87fgjOY9jOg9ivCVWoJzv7lAX_ujHQ/edit?usp=drivesdk" TargetMode="External"/><Relationship Id="rId151" Type="http://schemas.openxmlformats.org/officeDocument/2006/relationships/hyperlink" Target="https://docs.google.com/document/d/1RDmcLZdwMIRHDuujQWjczrbdq11SFvJ7BvyZZWaLJ_M/edit?usp=drivesdk" TargetMode="External"/><Relationship Id="rId272" Type="http://schemas.openxmlformats.org/officeDocument/2006/relationships/hyperlink" Target="https://docs.google.com/document/d/1tRygHe_g-Mb2L8SiXS2htKn66bxuHvsx3mLZX6RrvRw/edit?usp=drivesdk" TargetMode="External"/><Relationship Id="rId393" Type="http://schemas.openxmlformats.org/officeDocument/2006/relationships/hyperlink" Target="https://docs.google.com/document/d/1Fqg_cuyQPGZb6fNX36CPl90RsxTwCIBXz0rmsCxC0Bw/edit?usp=drivesdk" TargetMode="External"/><Relationship Id="rId158" Type="http://schemas.openxmlformats.org/officeDocument/2006/relationships/hyperlink" Target="https://docs.google.com/document/d/1RX_gUfr2Cwzo06Md2uxfQ1lOEGgjQtJf8J9lleJZCOQ/edit?usp=drivesdk" TargetMode="External"/><Relationship Id="rId279" Type="http://schemas.openxmlformats.org/officeDocument/2006/relationships/hyperlink" Target="https://docs.google.com/document/d/10yd_QWoX4-uGTi1hSALQIVk7-NQdFiPnAMvkiRZydsQ/edit?usp=drivesdk" TargetMode="External"/><Relationship Id="rId157" Type="http://schemas.openxmlformats.org/officeDocument/2006/relationships/hyperlink" Target="https://docs.google.com/document/d/1yRmCu21DibXxTmzuabRnKsTEkg4ImN6YDeiFUo9b1mQ/edit?usp=drivesdk" TargetMode="External"/><Relationship Id="rId278" Type="http://schemas.openxmlformats.org/officeDocument/2006/relationships/hyperlink" Target="https://docs.google.com/document/d/1QxaRdHvDAJbUR2d5Aif51DAoEGlkAzlCnhkf3ioW5X8/edit?usp=drivesdk" TargetMode="External"/><Relationship Id="rId399" Type="http://schemas.openxmlformats.org/officeDocument/2006/relationships/hyperlink" Target="https://docs.google.com/document/d/1VaWJIE3K1kYxS9ekiUDrgSvi82MS4ihWUVx1sk6R0Yk/edit?usp=drivesdk" TargetMode="External"/><Relationship Id="rId156" Type="http://schemas.openxmlformats.org/officeDocument/2006/relationships/hyperlink" Target="https://docs.google.com/document/d/1Piq9pUUSz179ys6kT1N1gc9p86TbMAxgV-Uv5HnwE5E/edit?usp=drivesdk" TargetMode="External"/><Relationship Id="rId277" Type="http://schemas.openxmlformats.org/officeDocument/2006/relationships/hyperlink" Target="https://docs.google.com/document/d/1QBSxmJEW8haI9t5gOvOxhfJQdjnU8UExtzvNGSdRJeU/edit?usp=drivesdk" TargetMode="External"/><Relationship Id="rId398" Type="http://schemas.openxmlformats.org/officeDocument/2006/relationships/hyperlink" Target="https://docs.google.com/document/d/1lpL-hACJ0SZheqs2xwrGh_IJID2VnoX1qU7kXTxNXF4/edit?usp=drivesdk" TargetMode="External"/><Relationship Id="rId155" Type="http://schemas.openxmlformats.org/officeDocument/2006/relationships/hyperlink" Target="https://docs.google.com/document/d/1Qu9mmZmTv01KNWghm6u4OGUV88UmBjkTWh1ifHFSkZg/edit?usp=drivesdk" TargetMode="External"/><Relationship Id="rId276" Type="http://schemas.openxmlformats.org/officeDocument/2006/relationships/hyperlink" Target="https://docs.google.com/document/d/1nwRxq9QzMWOE6F4rVgHmRuocKZ9SkDOahsobebfl3uQ/edit?usp=drivesdk" TargetMode="External"/><Relationship Id="rId397" Type="http://schemas.openxmlformats.org/officeDocument/2006/relationships/hyperlink" Target="https://docs.google.com/document/d/1ZdD5urJCsgWVyivnfEYQGGfYEd6NlfeS7KymF33zbS8/edit?usp=drivesdk" TargetMode="External"/><Relationship Id="rId40" Type="http://schemas.openxmlformats.org/officeDocument/2006/relationships/hyperlink" Target="https://docs.google.com/document/d/1xPjlL2XpuJuVs9bhlQHaVaBJvaUVRrAiSl6QpD-EBQQ/edit?usp=drivesdk" TargetMode="External"/><Relationship Id="rId42" Type="http://schemas.openxmlformats.org/officeDocument/2006/relationships/hyperlink" Target="https://docs.google.com/document/d/1-UbK8hMJUW_5g5Rku1FY9ewcvvUW5AHNrwKQATrchv4/edit?usp=drivesdk" TargetMode="External"/><Relationship Id="rId41" Type="http://schemas.openxmlformats.org/officeDocument/2006/relationships/hyperlink" Target="https://docs.google.com/document/d/1Z8dAn-NJRpmpNLlG1zkbjukS7RuYIXNvx0IZ730X_Lk/edit?usp=drivesdk" TargetMode="External"/><Relationship Id="rId44" Type="http://schemas.openxmlformats.org/officeDocument/2006/relationships/hyperlink" Target="https://docs.google.com/document/d/1QBVhj8T9wlvA9MtmpE0nIHEBCK43PFkjVDTBjO99NHM/edit?usp=drivesdk" TargetMode="External"/><Relationship Id="rId43" Type="http://schemas.openxmlformats.org/officeDocument/2006/relationships/hyperlink" Target="https://docs.google.com/document/d/1WsrMwbtq1vkTBudK_ew-NbpNttOyEo3T3Yuj3AdKLcs/edit?usp=drivesdk" TargetMode="External"/><Relationship Id="rId46" Type="http://schemas.openxmlformats.org/officeDocument/2006/relationships/hyperlink" Target="https://docs.google.com/document/d/1GGxNyt9MBnblp9Zx3L_z8an_bzsgGlS6W15cDVnm3fk/edit?usp=drivesdk" TargetMode="External"/><Relationship Id="rId45" Type="http://schemas.openxmlformats.org/officeDocument/2006/relationships/hyperlink" Target="https://docs.google.com/document/d/18xsY3dGulHPGl_CAhmxP1foemiasC677-RRywmPh4mc/edit?usp=drivesdk" TargetMode="External"/><Relationship Id="rId48" Type="http://schemas.openxmlformats.org/officeDocument/2006/relationships/hyperlink" Target="https://docs.google.com/document/d/1_BU8DyN37-pP7dXayBuVa2UgN4SSVZhJ2PswBb3iWpA/edit?usp=drivesdk" TargetMode="External"/><Relationship Id="rId47" Type="http://schemas.openxmlformats.org/officeDocument/2006/relationships/hyperlink" Target="https://docs.google.com/document/d/1Meihg5Jrur5EeX5nc6SpgFu2CqSqHvOVRaDjMu8Kzjw/edit?usp=drivesdk" TargetMode="External"/><Relationship Id="rId49" Type="http://schemas.openxmlformats.org/officeDocument/2006/relationships/hyperlink" Target="https://docs.google.com/document/d/1_99TZLD-k-C9EsSVpSJNccEWzt4WrxyVPB59pY1zq1c/edit?usp=drivesdk" TargetMode="External"/><Relationship Id="rId31" Type="http://schemas.openxmlformats.org/officeDocument/2006/relationships/hyperlink" Target="https://docs.google.com/document/d/1aRzzSkR4_IR2TrYGXtPq9lf_h_sywa9CZFinxHZ5IvA/edit?usp=drivesdk" TargetMode="External"/><Relationship Id="rId30" Type="http://schemas.openxmlformats.org/officeDocument/2006/relationships/hyperlink" Target="https://docs.google.com/document/d/1v_EdmdvVGzhAN3sdHRshOKc3HcBBu2-dgl8Cd4de5UM/edit?usp=drivesdk" TargetMode="External"/><Relationship Id="rId33" Type="http://schemas.openxmlformats.org/officeDocument/2006/relationships/hyperlink" Target="https://docs.google.com/document/d/1YVH9hAY0Il0DCK6rFfBHIM-B2FMeHXQEEJUjpA6N7-U/edit?usp=drivesdk" TargetMode="External"/><Relationship Id="rId32" Type="http://schemas.openxmlformats.org/officeDocument/2006/relationships/hyperlink" Target="https://docs.google.com/document/d/1UxSihKYLLd3ptxsJHs_8U8O3j5OHfzHKbjnt5FECBbs/edit?usp=drivesdk" TargetMode="External"/><Relationship Id="rId35" Type="http://schemas.openxmlformats.org/officeDocument/2006/relationships/hyperlink" Target="https://docs.google.com/document/d/1NVKICve706r0YkCzp__mT8BDMJdF4QnbOgxRSabgmKc/edit?usp=drivesdk" TargetMode="External"/><Relationship Id="rId34" Type="http://schemas.openxmlformats.org/officeDocument/2006/relationships/hyperlink" Target="https://docs.google.com/document/d/12huri7tFQSawQjEXKj8ob1-TqT9eABr2dmxojMW4czY/edit?usp=drivesdk" TargetMode="External"/><Relationship Id="rId37" Type="http://schemas.openxmlformats.org/officeDocument/2006/relationships/hyperlink" Target="https://docs.google.com/document/d/1ZYCXLV6gt2oXgWl9Ziwcxz8bjA1d5w_O5I7Ap6ZOB2M/edit?usp=drivesdk" TargetMode="External"/><Relationship Id="rId36" Type="http://schemas.openxmlformats.org/officeDocument/2006/relationships/hyperlink" Target="https://docs.google.com/document/d/1As9djMbo-ypJ-TIGH9yy3dPkMxR0WI1KMjZ3T-YgY3o/edit?usp=drivesdk" TargetMode="External"/><Relationship Id="rId39" Type="http://schemas.openxmlformats.org/officeDocument/2006/relationships/hyperlink" Target="https://docs.google.com/document/d/1_HH9Z8-j5vEDahK3SVVb5cw1dwoAO7QFzxqAWGE-CnI/edit?usp=drivesdk" TargetMode="External"/><Relationship Id="rId38" Type="http://schemas.openxmlformats.org/officeDocument/2006/relationships/hyperlink" Target="https://docs.google.com/document/d/10nnniawQVtJWr1j6dGtxHYuaPvjUZS_oEzRZ6f249BE/edit?usp=drivesdk" TargetMode="External"/><Relationship Id="rId20" Type="http://schemas.openxmlformats.org/officeDocument/2006/relationships/hyperlink" Target="https://docs.google.com/document/d/1JEa1CEgHyehbkiQb0UeiGakohFPxlUdscuddwbzrIxE/edit?usp=drivesdk" TargetMode="External"/><Relationship Id="rId22" Type="http://schemas.openxmlformats.org/officeDocument/2006/relationships/hyperlink" Target="https://docs.google.com/document/d/1cZgdQ9Bkry7GfAi9UtVtg27Em-ne__SFXnsOQWLIXOg/edit?usp=drivesdk" TargetMode="External"/><Relationship Id="rId21" Type="http://schemas.openxmlformats.org/officeDocument/2006/relationships/hyperlink" Target="https://docs.google.com/document/d/1JFryXOw2InmmGmXxxzshvZNk4sdpEONK7hn7Y_AqJRE/edit?usp=drivesdk" TargetMode="External"/><Relationship Id="rId24" Type="http://schemas.openxmlformats.org/officeDocument/2006/relationships/hyperlink" Target="https://docs.google.com/document/d/11JZf3cCy2oWzUnb0sX9zgzWgWoI2_8xAwaHHjF2yHkM/edit?usp=drivesdk" TargetMode="External"/><Relationship Id="rId23" Type="http://schemas.openxmlformats.org/officeDocument/2006/relationships/hyperlink" Target="https://docs.google.com/document/d/141YwKW4KI8Q1dzT2ZpYz1hJTIpHl_K-P_b2fL-FVL80/edit?usp=drivesdk" TargetMode="External"/><Relationship Id="rId409" Type="http://schemas.openxmlformats.org/officeDocument/2006/relationships/hyperlink" Target="https://docs.google.com/document/d/1LC1IYvAnDIH6sgJDDdHDIbOJPCKDdI8tSBH5EYeaN9I/edit?usp=drivesdk" TargetMode="External"/><Relationship Id="rId404" Type="http://schemas.openxmlformats.org/officeDocument/2006/relationships/hyperlink" Target="https://docs.google.com/document/d/1_EblonXbm1yhjT1MEa_-F031_IGkFPSW7vWvu5Hsklg/edit?usp=drivesdk" TargetMode="External"/><Relationship Id="rId403" Type="http://schemas.openxmlformats.org/officeDocument/2006/relationships/hyperlink" Target="https://docs.google.com/document/d/163XConguxRmfEJiz0qqtWQl8czIMwg0PZ_dbBQWiVoE/edit?usp=drivesdk" TargetMode="External"/><Relationship Id="rId402" Type="http://schemas.openxmlformats.org/officeDocument/2006/relationships/hyperlink" Target="https://docs.google.com/document/d/172vVxwop84YvNDb_72vQKInQJ2qcjf8BrLZ6GTgNcTo/edit?usp=drivesdk" TargetMode="External"/><Relationship Id="rId401" Type="http://schemas.openxmlformats.org/officeDocument/2006/relationships/hyperlink" Target="https://docs.google.com/document/d/1lKFj_Q6V3_7Ks5Z3aYgaiu-zNZ1Tcvga3effVH7ur7o/edit?usp=drivesdk" TargetMode="External"/><Relationship Id="rId408" Type="http://schemas.openxmlformats.org/officeDocument/2006/relationships/hyperlink" Target="https://docs.google.com/document/d/1OPJyWfnlaorB8XlVsMWimPBNc-pOQRB-7mepBOTyZ_U/edit?usp=drivesdk" TargetMode="External"/><Relationship Id="rId407" Type="http://schemas.openxmlformats.org/officeDocument/2006/relationships/hyperlink" Target="https://docs.google.com/document/d/1qZ-a0BeL3hRyRq4l3YXrwKyyqKN5gkchWbLgF1XfHNo/edit?usp=drivesdk" TargetMode="External"/><Relationship Id="rId406" Type="http://schemas.openxmlformats.org/officeDocument/2006/relationships/hyperlink" Target="https://docs.google.com/document/d/1IKbSBBabOKlmi4SgTvDk2__OUMhoNNZui34H6pmKKbs/edit?usp=drivesdk" TargetMode="External"/><Relationship Id="rId405" Type="http://schemas.openxmlformats.org/officeDocument/2006/relationships/hyperlink" Target="https://docs.google.com/document/d/1kHlAOqzXYOdFmF5mwK116zmtf-WGoNyKYM7eg3XI8fI/edit?usp=drivesdk" TargetMode="External"/><Relationship Id="rId26" Type="http://schemas.openxmlformats.org/officeDocument/2006/relationships/hyperlink" Target="https://docs.google.com/document/d/1pqxIs0u3K7GhvcOKvyC8IjsZWvGnhWY4BbRyjvR0EHs/edit?usp=drivesdk" TargetMode="External"/><Relationship Id="rId25" Type="http://schemas.openxmlformats.org/officeDocument/2006/relationships/hyperlink" Target="https://docs.google.com/document/d/1eL5Q6SNkiPmg7jIbli2gKBq4HNhYtjpYK0Xasr2D1E4/edit?usp=drivesdk" TargetMode="External"/><Relationship Id="rId28" Type="http://schemas.openxmlformats.org/officeDocument/2006/relationships/hyperlink" Target="https://docs.google.com/document/d/15XlgdKXD7KIdSk2IIAY4JghUF2KIMnTCytAv-cTrJKA/edit?usp=drivesdk" TargetMode="External"/><Relationship Id="rId27" Type="http://schemas.openxmlformats.org/officeDocument/2006/relationships/hyperlink" Target="https://docs.google.com/document/d/1o_kh_Z-U6_tGhTgiT0C3Z1YHstpG_03KK-kY2lq7ebs/edit?usp=drivesdk" TargetMode="External"/><Relationship Id="rId400" Type="http://schemas.openxmlformats.org/officeDocument/2006/relationships/hyperlink" Target="https://docs.google.com/document/d/1gYnYcrd2vVUnyywSfLpzSXQMaeBhGeh-LmrYZ9gNiQs/edit?usp=drivesdk" TargetMode="External"/><Relationship Id="rId29" Type="http://schemas.openxmlformats.org/officeDocument/2006/relationships/hyperlink" Target="https://docs.google.com/document/d/1v2wrRH98Mb6W56K8yPZheM1Zp9pKLMkjPI3HLleM2-E/edit?usp=drivesdk" TargetMode="External"/><Relationship Id="rId11" Type="http://schemas.openxmlformats.org/officeDocument/2006/relationships/hyperlink" Target="https://drive.google.com/a/gtmnerr.org/file/d/1wwbmFLgI3rXytEVbNoq8P0VpSeSlZpZt/view?usp=drivesdk" TargetMode="External"/><Relationship Id="rId10" Type="http://schemas.openxmlformats.org/officeDocument/2006/relationships/hyperlink" Target="https://drive.google.com/a/gtmnerr.org/file/d/1VQkdorZRbfabc3AEa7o8ja86ZuyLfsIJ/view?usp=drivesdk" TargetMode="External"/><Relationship Id="rId13" Type="http://schemas.openxmlformats.org/officeDocument/2006/relationships/hyperlink" Target="https://drive.google.com/a/gtmnerr.org/file/d/1xtziDCcDw8NcS5SRk_17AU3Q8TKpQ1Z4/view?usp=drivesdk" TargetMode="External"/><Relationship Id="rId12" Type="http://schemas.openxmlformats.org/officeDocument/2006/relationships/hyperlink" Target="https://drive.google.com/a/gtmnerr.org/file/d/1PS5YPza6b0J9agPHBVTnWxTfvhLIFch7/view?usp=drivesdk" TargetMode="External"/><Relationship Id="rId15" Type="http://schemas.openxmlformats.org/officeDocument/2006/relationships/hyperlink" Target="https://drive.google.com/a/gtmnerr.org/file/d/1iSoKHDcZ4JzQNG4JwzRoVeKu0BXy7IBM/view?usp=drivesdk" TargetMode="External"/><Relationship Id="rId14" Type="http://schemas.openxmlformats.org/officeDocument/2006/relationships/hyperlink" Target="https://drive.google.com/a/gtmnerr.org/file/d/1dZ2zFneiLNJ-LVQ0meYVs4oB71EuzBH6/view?usp=drivesdk" TargetMode="External"/><Relationship Id="rId17" Type="http://schemas.openxmlformats.org/officeDocument/2006/relationships/hyperlink" Target="https://docs.google.com/document/d/1lvnFSpiVYr6imjfOlWlxPW2ouTpS9jO0pAxu4_Njk7M/edit?usp=drivesdk" TargetMode="External"/><Relationship Id="rId16" Type="http://schemas.openxmlformats.org/officeDocument/2006/relationships/hyperlink" Target="https://drive.google.com/a/gtmnerr.org/file/d/1X-tbMcKrUC7VZG_2B5PruW_7lMpu_1vI/view?usp=drivesdk" TargetMode="External"/><Relationship Id="rId19" Type="http://schemas.openxmlformats.org/officeDocument/2006/relationships/hyperlink" Target="https://docs.google.com/document/d/1xUIhT2sRTDOWmpUEFwaZu47fXh5-6Kw9MpWVOIypX_Y/edit?usp=drivesdk" TargetMode="External"/><Relationship Id="rId18" Type="http://schemas.openxmlformats.org/officeDocument/2006/relationships/hyperlink" Target="https://docs.google.com/document/d/1yuciw9UAQC0hXjE6C7ODRboAy7GXEhKwmAu3V1IstVw/edit?usp=drivesdk" TargetMode="External"/><Relationship Id="rId84" Type="http://schemas.openxmlformats.org/officeDocument/2006/relationships/hyperlink" Target="https://docs.google.com/document/d/1BaYGUmqVMqP7K6yogEN7JA9Puier9G8taRo2F6LjQ64/edit?usp=drivesdk" TargetMode="External"/><Relationship Id="rId83" Type="http://schemas.openxmlformats.org/officeDocument/2006/relationships/hyperlink" Target="https://docs.google.com/document/d/1Yf58Vo3igrV_L3FTGJfaglDeuNiDkG2mScsf6Af2oGg/edit?usp=drivesdk" TargetMode="External"/><Relationship Id="rId86" Type="http://schemas.openxmlformats.org/officeDocument/2006/relationships/hyperlink" Target="https://docs.google.com/document/d/1cg_61x0Prb1H5bL7SShihaJ8nyb-k-Re1xSmZMw8yHQ/edit?usp=drivesdk" TargetMode="External"/><Relationship Id="rId85" Type="http://schemas.openxmlformats.org/officeDocument/2006/relationships/hyperlink" Target="https://docs.google.com/document/d/1tlC1SwEUPLpFXpij-oCM2rMilZlFExtd_0xZd7qUeZM/edit?usp=drivesdk" TargetMode="External"/><Relationship Id="rId88" Type="http://schemas.openxmlformats.org/officeDocument/2006/relationships/hyperlink" Target="https://docs.google.com/document/d/1DymsQ1HeGPgIcWUJTZNcP4_6Zo3y4_qnZSDka3MTvQk/edit?usp=drivesdk" TargetMode="External"/><Relationship Id="rId87" Type="http://schemas.openxmlformats.org/officeDocument/2006/relationships/hyperlink" Target="https://docs.google.com/document/d/1g6-SDWzTDxEaT_6esAFl7Ag0FmdmW2RSeVn4yz_-SWI/edit?usp=drivesdk" TargetMode="External"/><Relationship Id="rId89" Type="http://schemas.openxmlformats.org/officeDocument/2006/relationships/hyperlink" Target="https://docs.google.com/document/d/1M1nSKDRh8KbBXalT-n5-pUJ-LMgc4RpRlvCNRApVBRo/edit?usp=drivesdk" TargetMode="External"/><Relationship Id="rId80" Type="http://schemas.openxmlformats.org/officeDocument/2006/relationships/hyperlink" Target="https://docs.google.com/document/d/1B2B_zzU6VYd5JQ-56maF2bnECN2oN8ZVlQhWEyzl5pg/edit?usp=drivesdk" TargetMode="External"/><Relationship Id="rId82" Type="http://schemas.openxmlformats.org/officeDocument/2006/relationships/hyperlink" Target="https://docs.google.com/document/d/1hYRN2pBVHw4Yusqyy9lepzKzhEppwr8z0-qaMhE2DYQ/edit?usp=drivesdk" TargetMode="External"/><Relationship Id="rId81" Type="http://schemas.openxmlformats.org/officeDocument/2006/relationships/hyperlink" Target="https://docs.google.com/document/d/1_Jz1cLc_0eyZ6COebIUYyR_BuSj6Ej0LPmwxx-PUG2s/edit?usp=drivesdk" TargetMode="External"/><Relationship Id="rId73" Type="http://schemas.openxmlformats.org/officeDocument/2006/relationships/hyperlink" Target="https://docs.google.com/document/d/1g5f9yPdc6uaO_l9y9K3YLZPe5ak-o0BxRUX5eZ2dmP0/edit?usp=drivesdk" TargetMode="External"/><Relationship Id="rId72" Type="http://schemas.openxmlformats.org/officeDocument/2006/relationships/hyperlink" Target="https://docs.google.com/document/d/1B6fzv88D5-nJ8bnEEW7BlQPXBFnv4G5EWzrYGS9Jm9w/edit?usp=drivesdk" TargetMode="External"/><Relationship Id="rId75" Type="http://schemas.openxmlformats.org/officeDocument/2006/relationships/hyperlink" Target="https://docs.google.com/document/d/1acVIuNRHP6o9EhpjLyK7BPUBmQo2wAa7dSOlClJFeIA/edit?usp=drivesdk" TargetMode="External"/><Relationship Id="rId74" Type="http://schemas.openxmlformats.org/officeDocument/2006/relationships/hyperlink" Target="https://docs.google.com/document/d/1FGSJu50WpKVPQMMjfQsJgZFm6YVlPd9AmbZ7l5n8PbY/edit?usp=drivesdk" TargetMode="External"/><Relationship Id="rId77" Type="http://schemas.openxmlformats.org/officeDocument/2006/relationships/hyperlink" Target="https://docs.google.com/document/d/1cWHC30uCG8clysPvFjcXE45CuDzXqmgLp_YEJ8TY14o/edit?usp=drivesdk" TargetMode="External"/><Relationship Id="rId76" Type="http://schemas.openxmlformats.org/officeDocument/2006/relationships/hyperlink" Target="https://docs.google.com/document/d/1wU-ztvrplHNJ3Wq6k-7vP1L8aMRqh_hvA2p-U5wWUF0/edit?usp=drivesdk" TargetMode="External"/><Relationship Id="rId79" Type="http://schemas.openxmlformats.org/officeDocument/2006/relationships/hyperlink" Target="https://docs.google.com/document/d/1Gyx9ROaTKWuy-76rkui4kE2dTnRUDtMTJAqKpXUVmj4/edit?usp=drivesdk" TargetMode="External"/><Relationship Id="rId78" Type="http://schemas.openxmlformats.org/officeDocument/2006/relationships/hyperlink" Target="https://docs.google.com/document/d/15JSaSCbxrJwu6kwkLTnDA9-lYy2XQUHFjS2JiRUKLGM/edit?usp=drivesdk" TargetMode="External"/><Relationship Id="rId71" Type="http://schemas.openxmlformats.org/officeDocument/2006/relationships/hyperlink" Target="https://docs.google.com/document/d/1fdR1XrqTv5cgCvbuRnVbbi9FDd6k8Mk-S0hm8LSStSE/edit?usp=drivesdk" TargetMode="External"/><Relationship Id="rId70" Type="http://schemas.openxmlformats.org/officeDocument/2006/relationships/hyperlink" Target="https://docs.google.com/document/d/1StEQUgg0DdG61MF8-4mfq09rrv9NLcT7qfqHE2eQsnQ/edit?usp=drivesdk" TargetMode="External"/><Relationship Id="rId62" Type="http://schemas.openxmlformats.org/officeDocument/2006/relationships/hyperlink" Target="https://docs.google.com/document/d/1v7q-IULNLh2s7jlsl-iuhE7Fi_UIkWYnjOZQaPhKCSs/edit?usp=drivesdk" TargetMode="External"/><Relationship Id="rId61" Type="http://schemas.openxmlformats.org/officeDocument/2006/relationships/hyperlink" Target="https://docs.google.com/document/d/18sH7tpcvRVPrnvu5INSV_e-yIKj2uGcQozGVLnx_pZU/edit?usp=drivesdk" TargetMode="External"/><Relationship Id="rId64" Type="http://schemas.openxmlformats.org/officeDocument/2006/relationships/hyperlink" Target="https://docs.google.com/document/d/1ntrs6YFpK78CyX3JOrufebLGk1XUDopFAGN4tHmjzSY/edit?usp=drivesdk" TargetMode="External"/><Relationship Id="rId63" Type="http://schemas.openxmlformats.org/officeDocument/2006/relationships/hyperlink" Target="https://docs.google.com/document/d/1L0kzkzO3R_dAJCQe55pzE_QXkWNAsyj-X0rnm0gVaQY/edit?usp=drivesdk" TargetMode="External"/><Relationship Id="rId66" Type="http://schemas.openxmlformats.org/officeDocument/2006/relationships/hyperlink" Target="https://docs.google.com/document/d/1XauK_Lwrv1Qt95jY2ZpwtpyOvOLtQrABuSS55AExW6U/edit?usp=drivesdk" TargetMode="External"/><Relationship Id="rId65" Type="http://schemas.openxmlformats.org/officeDocument/2006/relationships/hyperlink" Target="https://docs.google.com/document/d/1FpILXcPLEtzulcfVT6SGTL70ibQT75O0hb2ZfXmGgmI/edit?usp=drivesdk" TargetMode="External"/><Relationship Id="rId68" Type="http://schemas.openxmlformats.org/officeDocument/2006/relationships/hyperlink" Target="https://docs.google.com/document/d/1XiMLRnysfffxhmnRhmieWEnwz45lXHcfCtEJfVr3uy4/edit?usp=drivesdk" TargetMode="External"/><Relationship Id="rId67" Type="http://schemas.openxmlformats.org/officeDocument/2006/relationships/hyperlink" Target="https://docs.google.com/document/d/1jQ1Oq7IYAKkafOHydGGQLYmkCHw1ud0uqub5wzV9okc/edit?usp=drivesdk" TargetMode="External"/><Relationship Id="rId60" Type="http://schemas.openxmlformats.org/officeDocument/2006/relationships/hyperlink" Target="https://docs.google.com/document/d/1KwWbRZ0rfVkD6cgG4sahSuTzc2waIBHIwhs9aelaYeM/edit?usp=drivesdk" TargetMode="External"/><Relationship Id="rId69" Type="http://schemas.openxmlformats.org/officeDocument/2006/relationships/hyperlink" Target="https://docs.google.com/document/d/1qsBp188AIvYYa7bWDNtbtdNGEWYhVYQXnzAKQ6cwFU4/edit?usp=drivesdk" TargetMode="External"/><Relationship Id="rId51" Type="http://schemas.openxmlformats.org/officeDocument/2006/relationships/hyperlink" Target="https://docs.google.com/document/d/1f4rCTUh5g2HKvT37iHIzLi2xkFwrlxrV8ZlB-EPRd_0/edit?usp=drivesdk" TargetMode="External"/><Relationship Id="rId50" Type="http://schemas.openxmlformats.org/officeDocument/2006/relationships/hyperlink" Target="https://docs.google.com/document/d/1OT1kes3CIgU0ZoBNEpPtzP0zZ3y229Cg9-mTm6wn5UM/edit?usp=drivesdk" TargetMode="External"/><Relationship Id="rId53" Type="http://schemas.openxmlformats.org/officeDocument/2006/relationships/hyperlink" Target="https://docs.google.com/document/d/1nhihx7WUJyq9xrne-IuE8z6M1bOCmJPhlEGshsFWGQU/edit?usp=drivesdk" TargetMode="External"/><Relationship Id="rId52" Type="http://schemas.openxmlformats.org/officeDocument/2006/relationships/hyperlink" Target="https://docs.google.com/document/d/1omI7AifJyv7VBder7xWpamlAqbP_DccSbkNyJKL1wJk/edit?usp=drivesdk" TargetMode="External"/><Relationship Id="rId55" Type="http://schemas.openxmlformats.org/officeDocument/2006/relationships/hyperlink" Target="https://docs.google.com/document/d/1Ad-FJGyHWoa6R8teeyJx_5DdPsF8CvyTVaG0dnm6hzA/edit?usp=drivesdk" TargetMode="External"/><Relationship Id="rId54" Type="http://schemas.openxmlformats.org/officeDocument/2006/relationships/hyperlink" Target="https://docs.google.com/document/d/14xL-FgR87Xdn5S8WoYx0_em_jRQvOEXqyE9kNUhAwZs/edit?usp=drivesdk" TargetMode="External"/><Relationship Id="rId57" Type="http://schemas.openxmlformats.org/officeDocument/2006/relationships/hyperlink" Target="https://docs.google.com/document/d/1segsGRdC7iRishkJwC9X3suCxEE9-PDWq8OEnJz3WW4/edit?usp=drivesdk" TargetMode="External"/><Relationship Id="rId56" Type="http://schemas.openxmlformats.org/officeDocument/2006/relationships/hyperlink" Target="https://docs.google.com/document/d/1ZVWr_QqAdt-Iz7q9i3GNK8i0lyZgwCCfyxmlR1hJwkw/edit?usp=drivesdk" TargetMode="External"/><Relationship Id="rId59" Type="http://schemas.openxmlformats.org/officeDocument/2006/relationships/hyperlink" Target="https://docs.google.com/document/d/1zx2ToY0GcjujicDXZiUTnvQUpIp0-oiJuQlUByUuEXk/edit?usp=drivesdk" TargetMode="External"/><Relationship Id="rId58" Type="http://schemas.openxmlformats.org/officeDocument/2006/relationships/hyperlink" Target="https://docs.google.com/document/d/1YErNHz-z5auJhRmMWf7quuIOf99gflm67GG5yE4XHtw/edit?usp=drivesdk" TargetMode="External"/><Relationship Id="rId107" Type="http://schemas.openxmlformats.org/officeDocument/2006/relationships/hyperlink" Target="https://docs.google.com/document/d/1V_UjvbS_4beIAIbGI2rknHAZN_bkiraEkuj6Ua6mwWE/edit?usp=drivesdk" TargetMode="External"/><Relationship Id="rId228" Type="http://schemas.openxmlformats.org/officeDocument/2006/relationships/hyperlink" Target="https://docs.google.com/document/d/1Wg9Zp0UHwlUm4go4IGLILI0V5u0WvC2wzcoeNBDzINg/edit?usp=drivesdk" TargetMode="External"/><Relationship Id="rId349" Type="http://schemas.openxmlformats.org/officeDocument/2006/relationships/hyperlink" Target="https://docs.google.com/document/d/1A0N0MGKq44r4WVGGlz3AGJmeioeR0rtdAgdYTyR479E/edit?usp=drivesdk" TargetMode="External"/><Relationship Id="rId106" Type="http://schemas.openxmlformats.org/officeDocument/2006/relationships/hyperlink" Target="https://docs.google.com/document/d/1FbfrpXrmysodX8qvntPP4u8abx1oSvLdYgvdnAhlqV4/edit?usp=drivesdk" TargetMode="External"/><Relationship Id="rId227" Type="http://schemas.openxmlformats.org/officeDocument/2006/relationships/hyperlink" Target="https://docs.google.com/document/d/14pAUYwsaSmzX3501xXPXCLv9Bc9CBsp_aTg69Fj2q_c/edit?usp=drivesdk" TargetMode="External"/><Relationship Id="rId348" Type="http://schemas.openxmlformats.org/officeDocument/2006/relationships/hyperlink" Target="https://docs.google.com/document/d/17A4uRgXYnvF9AqyKS1BltihQdj9B2XvMFNMWZqS165M/edit?usp=drivesdk" TargetMode="External"/><Relationship Id="rId105" Type="http://schemas.openxmlformats.org/officeDocument/2006/relationships/hyperlink" Target="https://docs.google.com/document/d/1-b6Gewks7v19ieHsXcoC8h0jDEWW_u_gOcnr1iFkHVU/edit?usp=drivesdk" TargetMode="External"/><Relationship Id="rId226" Type="http://schemas.openxmlformats.org/officeDocument/2006/relationships/hyperlink" Target="https://docs.google.com/document/d/1vmmHbbEKOlfRp-_iKH2vKvCl0CVCLNAqtyyG8zrDGGo/edit?usp=drivesdk" TargetMode="External"/><Relationship Id="rId347" Type="http://schemas.openxmlformats.org/officeDocument/2006/relationships/hyperlink" Target="https://docs.google.com/document/d/1XcVFZzDY85Qnprn6bdjN8xHXM896AB5RZfyIW2kUNRc/edit?usp=drivesdk" TargetMode="External"/><Relationship Id="rId104" Type="http://schemas.openxmlformats.org/officeDocument/2006/relationships/hyperlink" Target="https://docs.google.com/document/d/1q53uSpEdchRnj-Rtxaj4hDDzRXe32da2SRUUmKfdEYs/edit?usp=drivesdk" TargetMode="External"/><Relationship Id="rId225" Type="http://schemas.openxmlformats.org/officeDocument/2006/relationships/hyperlink" Target="https://docs.google.com/document/d/1eml75LLBrnwv1nCwBu_-OJNxHvJ3ubC1U_W3NBu9nRM/edit?usp=drivesdk" TargetMode="External"/><Relationship Id="rId346" Type="http://schemas.openxmlformats.org/officeDocument/2006/relationships/hyperlink" Target="https://docs.google.com/document/d/1_ixFUqqY3pBFYyko_LJxme1mlZsxKkUiApejiVxk4Vk/edit?usp=drivesdk" TargetMode="External"/><Relationship Id="rId109" Type="http://schemas.openxmlformats.org/officeDocument/2006/relationships/hyperlink" Target="https://docs.google.com/document/d/1XqXDCS49mMlYjyDJhRRyb2rd--vYYMQZl9cTt1SyJXY/edit?usp=drivesdk" TargetMode="External"/><Relationship Id="rId108" Type="http://schemas.openxmlformats.org/officeDocument/2006/relationships/hyperlink" Target="https://docs.google.com/document/d/1FoCPEaVaT4-aS9Qr0r4nW6zlRTuDNZoJ3QoyHDTqm4A/edit?usp=drivesdk" TargetMode="External"/><Relationship Id="rId229" Type="http://schemas.openxmlformats.org/officeDocument/2006/relationships/hyperlink" Target="https://docs.google.com/document/d/1sDmDyYMJ_Z6YauBF7BJ7lbIu9r7ZI3aH4vnfTBeQ-Is/edit?usp=drivesdk" TargetMode="External"/><Relationship Id="rId220" Type="http://schemas.openxmlformats.org/officeDocument/2006/relationships/hyperlink" Target="https://docs.google.com/document/d/1itUqLCg4quoRnKKQPLsV-rj3IX1_eBmEhbjlCHZeqlc/edit?usp=drivesdk" TargetMode="External"/><Relationship Id="rId341" Type="http://schemas.openxmlformats.org/officeDocument/2006/relationships/hyperlink" Target="https://docs.google.com/document/d/1CvkBjFbxX2vq9UR6Nu2rTcNsfr1a8UDMyRu0D7wuXhg/edit?usp=drivesdk" TargetMode="External"/><Relationship Id="rId340" Type="http://schemas.openxmlformats.org/officeDocument/2006/relationships/hyperlink" Target="https://docs.google.com/document/d/1llt-6l9NzJX6gjQSBbMbdkVYI69LprJx27c3azv2kbo/edit?usp=drivesdk" TargetMode="External"/><Relationship Id="rId103" Type="http://schemas.openxmlformats.org/officeDocument/2006/relationships/hyperlink" Target="https://docs.google.com/document/d/1LabdHmssr2wUehcOV54gssrkT8MfwEnxZTasLs1gtgo/edit?usp=drivesdk" TargetMode="External"/><Relationship Id="rId224" Type="http://schemas.openxmlformats.org/officeDocument/2006/relationships/hyperlink" Target="https://docs.google.com/document/d/1Yt2HD3iejFIbR5_nzxBX4oSXL467Y0dEFPeCK--9RKY/edit?usp=drivesdk" TargetMode="External"/><Relationship Id="rId345" Type="http://schemas.openxmlformats.org/officeDocument/2006/relationships/hyperlink" Target="https://docs.google.com/document/d/17-ejbLkrYmuOCBKs8rnXdpzSNQId2GnwAk45L75Y62U/edit?usp=drivesdk" TargetMode="External"/><Relationship Id="rId102" Type="http://schemas.openxmlformats.org/officeDocument/2006/relationships/hyperlink" Target="https://docs.google.com/document/d/1Xqh3FggsY2bltRwZowLuBS6_e56PQHzyI4rVU95A2Zg/edit?usp=drivesdk" TargetMode="External"/><Relationship Id="rId223" Type="http://schemas.openxmlformats.org/officeDocument/2006/relationships/hyperlink" Target="https://docs.google.com/document/d/1vjgkI4Lfj1nbvK_7qvSxeRdAub1lhBKrshH59fnzSM4/edit?usp=drivesdk" TargetMode="External"/><Relationship Id="rId344" Type="http://schemas.openxmlformats.org/officeDocument/2006/relationships/hyperlink" Target="https://docs.google.com/document/d/1VFwoXvxUp9esJMS9AjQJUjDLucKnSGwDdiqVmF5mxvQ/edit?usp=drivesdk" TargetMode="External"/><Relationship Id="rId101" Type="http://schemas.openxmlformats.org/officeDocument/2006/relationships/hyperlink" Target="https://docs.google.com/document/d/1ERbNqlmZ7cO96gpNW3hInnDf7lFEo276aaUSKUXyTaw/edit?usp=drivesdk" TargetMode="External"/><Relationship Id="rId222" Type="http://schemas.openxmlformats.org/officeDocument/2006/relationships/hyperlink" Target="https://docs.google.com/document/d/1f2_RdO7f651I6OZS4bfi5p2XdGlREoePCDX_MNDvHz0/edit?usp=drivesdk" TargetMode="External"/><Relationship Id="rId343" Type="http://schemas.openxmlformats.org/officeDocument/2006/relationships/hyperlink" Target="https://docs.google.com/document/d/1waXJaaxuMbyg-WQ34-bf7iNATV2Cu-MmkLtMWtKzsvc/edit?usp=drivesdk" TargetMode="External"/><Relationship Id="rId100" Type="http://schemas.openxmlformats.org/officeDocument/2006/relationships/hyperlink" Target="https://docs.google.com/document/d/1Zr-dHoYFPh8hWNtbTV1mMdu01l2o95lPBKDPC730sdw/edit?usp=drivesdk" TargetMode="External"/><Relationship Id="rId221" Type="http://schemas.openxmlformats.org/officeDocument/2006/relationships/hyperlink" Target="https://docs.google.com/document/d/1bAeE-YdJ3DaWyl_d93o31dCFP2fpmOBW8VVlRCpTtr8/edit?usp=drivesdk" TargetMode="External"/><Relationship Id="rId342" Type="http://schemas.openxmlformats.org/officeDocument/2006/relationships/hyperlink" Target="https://docs.google.com/document/d/11x0CkR3ktEFIujcLW_1aRWhBz7-fh-ehKWEqiRQ6-Bs/edit?usp=drivesdk" TargetMode="External"/><Relationship Id="rId217" Type="http://schemas.openxmlformats.org/officeDocument/2006/relationships/hyperlink" Target="https://docs.google.com/document/d/14VlWjsETlFQ2d5qk_szZ5WONt_dxnNxiUZBzsMiNW10/edit?usp=drivesdk" TargetMode="External"/><Relationship Id="rId338" Type="http://schemas.openxmlformats.org/officeDocument/2006/relationships/hyperlink" Target="https://docs.google.com/document/d/1PicdNXXQZ-9U5WxAltsBvLegzKfGcnA5Rh_W_l0A7Ss/edit?usp=drivesdk" TargetMode="External"/><Relationship Id="rId216" Type="http://schemas.openxmlformats.org/officeDocument/2006/relationships/hyperlink" Target="https://docs.google.com/document/d/1fSs9eCOq3hWlcEUsnZCYxYLdt3MBFViSiMNmwpFrbqo/edit?usp=drivesdk" TargetMode="External"/><Relationship Id="rId337" Type="http://schemas.openxmlformats.org/officeDocument/2006/relationships/hyperlink" Target="https://docs.google.com/document/d/14fkCLW9hj_7t4_UA1zwCoY5Xee29jCtOYN7O8CObxMM/edit?usp=drivesdk" TargetMode="External"/><Relationship Id="rId215" Type="http://schemas.openxmlformats.org/officeDocument/2006/relationships/hyperlink" Target="https://docs.google.com/document/d/1cLJrO_7vYjsC5Las3DO7HiNkHwUoPLtkT1XEBLKwk2I/edit?usp=drivesdk" TargetMode="External"/><Relationship Id="rId336" Type="http://schemas.openxmlformats.org/officeDocument/2006/relationships/hyperlink" Target="https://docs.google.com/document/d/15hEqU8nv3aRpQI8ho-4D11gMDcOtqzF6M5xm45xB7GM/edit?usp=drivesdk" TargetMode="External"/><Relationship Id="rId214" Type="http://schemas.openxmlformats.org/officeDocument/2006/relationships/hyperlink" Target="https://docs.google.com/document/d/1GOBsFESX6f9qZ6TPdcc-u6UgUVmptfCcKPpgKqBe1ww/edit?usp=drivesdk" TargetMode="External"/><Relationship Id="rId335" Type="http://schemas.openxmlformats.org/officeDocument/2006/relationships/hyperlink" Target="https://docs.google.com/document/d/157atlnV4PfNUXltB_9nowSR6oPh6zVU7PPouDkoFvdw/edit?usp=drivesdk" TargetMode="External"/><Relationship Id="rId219" Type="http://schemas.openxmlformats.org/officeDocument/2006/relationships/hyperlink" Target="https://docs.google.com/document/d/1R42heGi2q08QFfpu_TBe529dTzIeq4zdK5DrHcNnHbY/edit?usp=drivesdk" TargetMode="External"/><Relationship Id="rId218" Type="http://schemas.openxmlformats.org/officeDocument/2006/relationships/hyperlink" Target="https://docs.google.com/document/d/1Vt0pUicYELfU8R8zAnYq1oBkEo08TQq0YR1IqW-z6do/edit?usp=drivesdk" TargetMode="External"/><Relationship Id="rId339" Type="http://schemas.openxmlformats.org/officeDocument/2006/relationships/hyperlink" Target="https://docs.google.com/document/d/113DLTrCCyaw_Y3on57xBfNQ45zZm907eJeve6z6J0rk/edit?usp=drivesdk" TargetMode="External"/><Relationship Id="rId330" Type="http://schemas.openxmlformats.org/officeDocument/2006/relationships/hyperlink" Target="https://docs.google.com/document/d/1KcgaayyBJ7F6uQm0nvdHRmo9_83OCOz8oj2qRca9CDM/edit?usp=drivesdk" TargetMode="External"/><Relationship Id="rId213" Type="http://schemas.openxmlformats.org/officeDocument/2006/relationships/hyperlink" Target="https://docs.google.com/document/d/1CUCpLehHRWB0zqBa_QILwFpQoJRVitx2XHWrEXyFSLw/edit?usp=drivesdk" TargetMode="External"/><Relationship Id="rId334" Type="http://schemas.openxmlformats.org/officeDocument/2006/relationships/hyperlink" Target="https://docs.google.com/document/d/18J_oMGg9KxP1sUZubTUlVkgQbIimvibwL5Y_dskUwx4/edit?usp=drivesdk" TargetMode="External"/><Relationship Id="rId212" Type="http://schemas.openxmlformats.org/officeDocument/2006/relationships/hyperlink" Target="https://docs.google.com/document/d/1ySdWIilTOg-yyMQjktbgZWwdRIY5MumEp3vG29GzdsE/edit?usp=drivesdk" TargetMode="External"/><Relationship Id="rId333" Type="http://schemas.openxmlformats.org/officeDocument/2006/relationships/hyperlink" Target="https://docs.google.com/document/d/17k__OhYheTr3nYbx5FarCqsKPH8rt5B5IyLMdHihyxo/edit?usp=drivesdk" TargetMode="External"/><Relationship Id="rId211" Type="http://schemas.openxmlformats.org/officeDocument/2006/relationships/hyperlink" Target="https://docs.google.com/document/d/1VxyoSgDSUY1xZ5RK1eus2n0CN5AUTnIlYoMgzyp0JHQ/edit?usp=drivesdk" TargetMode="External"/><Relationship Id="rId332" Type="http://schemas.openxmlformats.org/officeDocument/2006/relationships/hyperlink" Target="https://docs.google.com/document/d/1sG4FS2pAmky1WC9QNvN3opCN2KZ3liAWKRz-jnsPPrY/edit?usp=drivesdk" TargetMode="External"/><Relationship Id="rId210" Type="http://schemas.openxmlformats.org/officeDocument/2006/relationships/hyperlink" Target="https://docs.google.com/document/d/14k-y4LM7_8qVmY3d7q2kykDV05hX-vJ64NitEnXnQnc/edit?usp=drivesdk" TargetMode="External"/><Relationship Id="rId331" Type="http://schemas.openxmlformats.org/officeDocument/2006/relationships/hyperlink" Target="https://docs.google.com/document/d/117UlOtSgj_kq7O1HZU85eiTPSysmyUGc-U29QvcaS3M/edit?usp=drivesdk" TargetMode="External"/><Relationship Id="rId370" Type="http://schemas.openxmlformats.org/officeDocument/2006/relationships/hyperlink" Target="https://docs.google.com/document/d/13H-CpRkpjg-LceS1ZdSkL48440YBkAfc0YrhA4v9dnk/edit?usp=drivesdk" TargetMode="External"/><Relationship Id="rId129" Type="http://schemas.openxmlformats.org/officeDocument/2006/relationships/hyperlink" Target="https://docs.google.com/document/d/1dbUQc-0YRcUCWv4ZLuAiuh-szs2P71qMm4cR0NVclQw/edit?usp=drivesdk" TargetMode="External"/><Relationship Id="rId128" Type="http://schemas.openxmlformats.org/officeDocument/2006/relationships/hyperlink" Target="https://docs.google.com/document/d/1cwjqEBUaX4TZ2uiNweLlEFnrIqkIxDij-KCrl3jgdSs/edit?usp=drivesdk" TargetMode="External"/><Relationship Id="rId249" Type="http://schemas.openxmlformats.org/officeDocument/2006/relationships/hyperlink" Target="https://docs.google.com/document/d/1Sn9bVL2GIklcZRZgPcVrs4YIzFCqYYDAXCMJVl9B1R0/edit?usp=drivesdk" TargetMode="External"/><Relationship Id="rId127" Type="http://schemas.openxmlformats.org/officeDocument/2006/relationships/hyperlink" Target="https://docs.google.com/document/d/19gtAry6vLFmaQvsDWVMoI53O_6Z53p6xfjK01wQTQ_Y/edit?usp=drivesdk" TargetMode="External"/><Relationship Id="rId248" Type="http://schemas.openxmlformats.org/officeDocument/2006/relationships/hyperlink" Target="https://docs.google.com/document/d/1I5BcUrGICWQ1wd-pOkEzau0SJ4sOIRHp-C2jzuUxtbg/edit?usp=drivesdk" TargetMode="External"/><Relationship Id="rId369" Type="http://schemas.openxmlformats.org/officeDocument/2006/relationships/hyperlink" Target="https://docs.google.com/document/d/1T1xgt2ahMRDccE_WEFm_45PLgPC27Ub_s2m5i78_c2Q/edit?usp=drivesdk" TargetMode="External"/><Relationship Id="rId126" Type="http://schemas.openxmlformats.org/officeDocument/2006/relationships/hyperlink" Target="https://docs.google.com/document/d/1LQqlIwHGCF52aRRtJim0ILCgeeS8U4NH2xgD9iHPfTc/edit?usp=drivesdk" TargetMode="External"/><Relationship Id="rId247" Type="http://schemas.openxmlformats.org/officeDocument/2006/relationships/hyperlink" Target="https://docs.google.com/document/d/1AfS58goBppKK1dhcQ15scXNHmkmINsEIlKN629Yv3FA/edit?usp=drivesdk" TargetMode="External"/><Relationship Id="rId368" Type="http://schemas.openxmlformats.org/officeDocument/2006/relationships/hyperlink" Target="https://docs.google.com/document/d/1_OnavftpgaDV9tNWiIoIvKJWpdcg19g3rscONyVRkDo/edit?usp=drivesdk" TargetMode="External"/><Relationship Id="rId121" Type="http://schemas.openxmlformats.org/officeDocument/2006/relationships/hyperlink" Target="https://docs.google.com/document/d/1horU_i0hM4yRqRXVdDj8o-byRvvnkNKOrgAhhkzyH94/edit?usp=drivesdk" TargetMode="External"/><Relationship Id="rId242" Type="http://schemas.openxmlformats.org/officeDocument/2006/relationships/hyperlink" Target="https://docs.google.com/document/d/1Dzim86Y4YGT_YVul2rHTGacthfweWnqj2ROmmM8TFk0/edit?usp=drivesdk" TargetMode="External"/><Relationship Id="rId363" Type="http://schemas.openxmlformats.org/officeDocument/2006/relationships/hyperlink" Target="https://docs.google.com/document/d/1JowoqJjlGGOkTTrpZAL3e8PWLUS-yZZHWCQCIh7zT0w/edit?usp=drivesdk" TargetMode="External"/><Relationship Id="rId120" Type="http://schemas.openxmlformats.org/officeDocument/2006/relationships/hyperlink" Target="https://docs.google.com/document/d/1pOCINOcEnSuc-joWQ1QIg6quFm4xBtL_1Iljg7H-ldU/edit?usp=drivesdk" TargetMode="External"/><Relationship Id="rId241" Type="http://schemas.openxmlformats.org/officeDocument/2006/relationships/hyperlink" Target="https://docs.google.com/document/d/1L1BhSBkasbBc33FaIlGEUy1QJoKlaM_Jtc_EQeyB6rE/edit?usp=drivesdk" TargetMode="External"/><Relationship Id="rId362" Type="http://schemas.openxmlformats.org/officeDocument/2006/relationships/hyperlink" Target="https://docs.google.com/document/d/1a_HZ0U1E4XkOCKRPrQgoKZZY19dqXs-pCBV4X0YTWX8/edit?usp=drivesdk" TargetMode="External"/><Relationship Id="rId240" Type="http://schemas.openxmlformats.org/officeDocument/2006/relationships/hyperlink" Target="https://docs.google.com/document/d/1VtQ18zcO7flR4xUlRI4xlQwk7HLbxifr5GREZNqxXeE/edit?usp=drivesdk" TargetMode="External"/><Relationship Id="rId361" Type="http://schemas.openxmlformats.org/officeDocument/2006/relationships/hyperlink" Target="https://docs.google.com/document/d/1qxj8kHphmaIWg1tKrIOUvKkGlR3JL7DkmWriw0FlSr0/edit?usp=drivesdk" TargetMode="External"/><Relationship Id="rId360" Type="http://schemas.openxmlformats.org/officeDocument/2006/relationships/hyperlink" Target="https://docs.google.com/document/d/1CnmyIB1CMEK3y8oTsG8VVvIk28_ZM3rcS_hbz0BaXpM/edit?usp=drivesdk" TargetMode="External"/><Relationship Id="rId125" Type="http://schemas.openxmlformats.org/officeDocument/2006/relationships/hyperlink" Target="https://docs.google.com/document/d/13cBA5zcD8QJszQ_sgnLYt3r_hQFmNxCM9ctlDrF2yaI/edit?usp=drivesdk" TargetMode="External"/><Relationship Id="rId246" Type="http://schemas.openxmlformats.org/officeDocument/2006/relationships/hyperlink" Target="https://docs.google.com/document/d/1zpiiQnRk_ny2eghst2yO43NK7mtn9wSbSuVWKqfFa1w/edit?usp=drivesdk" TargetMode="External"/><Relationship Id="rId367" Type="http://schemas.openxmlformats.org/officeDocument/2006/relationships/hyperlink" Target="https://docs.google.com/document/d/1i0dCUy4yeQ9EZHTLMk-Eqs7L_Kd-gV0olElUP-cbPpQ/edit?usp=drivesdk" TargetMode="External"/><Relationship Id="rId124" Type="http://schemas.openxmlformats.org/officeDocument/2006/relationships/hyperlink" Target="https://docs.google.com/document/d/1o5u6URG4eEL0bZO7Pcc_tA0H2uas6Y_qmD-HJgPbqg4/edit?usp=drivesdk" TargetMode="External"/><Relationship Id="rId245" Type="http://schemas.openxmlformats.org/officeDocument/2006/relationships/hyperlink" Target="https://docs.google.com/document/d/1dGjXr-f0fBAgpju4CycNigpwZYO7y6akkSw-DyY80Hg/edit?usp=drivesdk" TargetMode="External"/><Relationship Id="rId366" Type="http://schemas.openxmlformats.org/officeDocument/2006/relationships/hyperlink" Target="https://docs.google.com/document/d/1R67aWa6YbeD9LJQCyYhLFFgo-n7BFuc4yGofXLj2i4s/edit?usp=drivesdk" TargetMode="External"/><Relationship Id="rId123" Type="http://schemas.openxmlformats.org/officeDocument/2006/relationships/hyperlink" Target="https://docs.google.com/document/d/18a8HUQtBa0oDSzts9fdeoJSPbEzLp3lUXgyOK0PBc3I/edit?usp=drivesdk" TargetMode="External"/><Relationship Id="rId244" Type="http://schemas.openxmlformats.org/officeDocument/2006/relationships/hyperlink" Target="https://docs.google.com/document/d/1hBWPvOMDWDX1__sfEInbaoUfl4W3yrdgE2duMe0b6N8/edit?usp=drivesdk" TargetMode="External"/><Relationship Id="rId365" Type="http://schemas.openxmlformats.org/officeDocument/2006/relationships/hyperlink" Target="https://docs.google.com/document/d/1Nkj7T_FeDiyVW9nQImrjvRaLtq2W7lwf3wsxD_brvdg/edit?usp=drivesdk" TargetMode="External"/><Relationship Id="rId122" Type="http://schemas.openxmlformats.org/officeDocument/2006/relationships/hyperlink" Target="https://docs.google.com/document/d/1cwuPEokQaH8ROzsr7i8PtwhzKFzoCSG6aC6VvMPnr4c/edit?usp=drivesdk" TargetMode="External"/><Relationship Id="rId243" Type="http://schemas.openxmlformats.org/officeDocument/2006/relationships/hyperlink" Target="https://docs.google.com/document/d/1mBCEfKk4M0GnmEfttHkg7DYLU8NC9VAAZ_0zCFxBuws/edit?usp=drivesdk" TargetMode="External"/><Relationship Id="rId364" Type="http://schemas.openxmlformats.org/officeDocument/2006/relationships/hyperlink" Target="https://docs.google.com/document/d/1Weo71KyE42pJv6eQho_VuZl_I_N1oT_tQDYaPUWJgXg/edit?usp=drivesdk" TargetMode="External"/><Relationship Id="rId95" Type="http://schemas.openxmlformats.org/officeDocument/2006/relationships/hyperlink" Target="https://docs.google.com/document/d/1WiDFrx4D7wDtTG7xhG56FExYdRv-4DwwdP-wvUsnRMc/edit?usp=drivesdk" TargetMode="External"/><Relationship Id="rId94" Type="http://schemas.openxmlformats.org/officeDocument/2006/relationships/hyperlink" Target="https://docs.google.com/document/d/1gFmRMe2zpH3j4wfW__4Oo9qMajLX3jmZ0kcbMSYh65A/edit?usp=drivesdk" TargetMode="External"/><Relationship Id="rId97" Type="http://schemas.openxmlformats.org/officeDocument/2006/relationships/hyperlink" Target="https://docs.google.com/document/d/17sdCynz09IpAwVH5o8CprezXdWWPeoNhVJw4691Iw8A/edit?usp=drivesdk" TargetMode="External"/><Relationship Id="rId96" Type="http://schemas.openxmlformats.org/officeDocument/2006/relationships/hyperlink" Target="https://docs.google.com/document/d/1c5DkI6jJ5VBQm3EWgcA563cNGIBizGgTtaIKGIJ2dE8/edit?usp=drivesdk" TargetMode="External"/><Relationship Id="rId99" Type="http://schemas.openxmlformats.org/officeDocument/2006/relationships/hyperlink" Target="https://docs.google.com/document/d/1UoUokpEmpx5df0h6r4uANvSRcZZUW8I676NwUPCYPfg/edit?usp=drivesdk" TargetMode="External"/><Relationship Id="rId98" Type="http://schemas.openxmlformats.org/officeDocument/2006/relationships/hyperlink" Target="https://docs.google.com/document/d/1ewslJEYMYiLWpQVfKwKUIdB5aER5uzJ2SHLwyC5bnho/edit?usp=drivesdk" TargetMode="External"/><Relationship Id="rId91" Type="http://schemas.openxmlformats.org/officeDocument/2006/relationships/hyperlink" Target="https://docs.google.com/document/d/1_xpbSdAQxiV952g8DEviihzsJ9JvdoIja7XikkzE2jM/edit?usp=drivesdk" TargetMode="External"/><Relationship Id="rId90" Type="http://schemas.openxmlformats.org/officeDocument/2006/relationships/hyperlink" Target="https://docs.google.com/document/d/18ANL2EAsbj-9X5mz0tRj4YzFgnSMdKPwDfVJotzLaHQ/edit?usp=drivesdk" TargetMode="External"/><Relationship Id="rId93" Type="http://schemas.openxmlformats.org/officeDocument/2006/relationships/hyperlink" Target="https://docs.google.com/document/d/1_f4X9tN9ILtz5QvdB_rIlrFD1AFhQW601asBRe7AfEg/edit?usp=drivesdk" TargetMode="External"/><Relationship Id="rId92" Type="http://schemas.openxmlformats.org/officeDocument/2006/relationships/hyperlink" Target="https://docs.google.com/document/d/1CEf7cA2GIPp1xy65JDmnWfxQvW39taVTsOsaX1Ue6ho/edit?usp=drivesdk" TargetMode="External"/><Relationship Id="rId118" Type="http://schemas.openxmlformats.org/officeDocument/2006/relationships/hyperlink" Target="https://docs.google.com/document/d/17DVNObsevh1PglvOtUWG2_f9xR1DhwO97Kb9C_lXeyg/edit?usp=drivesdk" TargetMode="External"/><Relationship Id="rId239" Type="http://schemas.openxmlformats.org/officeDocument/2006/relationships/hyperlink" Target="https://docs.google.com/document/d/1jnJsXS29HDOhrHeQq8n7gliU6CgrEEMc5ofm0gMZrKk/edit?usp=drivesdk" TargetMode="External"/><Relationship Id="rId117" Type="http://schemas.openxmlformats.org/officeDocument/2006/relationships/hyperlink" Target="https://docs.google.com/document/d/1yedKFixA69V0VtSDY7-I0SVCLPtcIuBrNsPWlFA5t0Q/edit?usp=drivesdk" TargetMode="External"/><Relationship Id="rId238" Type="http://schemas.openxmlformats.org/officeDocument/2006/relationships/hyperlink" Target="https://docs.google.com/document/d/1CE7RpdJaTh2JD6fLOPYtoqWGdMGQ2c8KX9dL8l5pYSk/edit?usp=drivesdk" TargetMode="External"/><Relationship Id="rId359" Type="http://schemas.openxmlformats.org/officeDocument/2006/relationships/hyperlink" Target="https://docs.google.com/document/d/1LTJH8ulRvbXzhhYPuyDroEp7Q2546Kpw3GyUZ3Rj3OQ/edit?usp=drivesdk" TargetMode="External"/><Relationship Id="rId116" Type="http://schemas.openxmlformats.org/officeDocument/2006/relationships/hyperlink" Target="https://docs.google.com/document/d/1uWaH_X62R2Liuv1Udb-7AgjTcZgYdkQkjrG1FW0qql4/edit?usp=drivesdk" TargetMode="External"/><Relationship Id="rId237" Type="http://schemas.openxmlformats.org/officeDocument/2006/relationships/hyperlink" Target="https://docs.google.com/document/d/1odhTpTLuy9rmKb4m7VExrlFUjNvK50mcGTUs0hW18L8/edit?usp=drivesdk" TargetMode="External"/><Relationship Id="rId358" Type="http://schemas.openxmlformats.org/officeDocument/2006/relationships/hyperlink" Target="https://docs.google.com/document/d/1BAinsbnizosXnxABViaWb-GWFCx3cHjCFySCLmnYpts/edit?usp=drivesdk" TargetMode="External"/><Relationship Id="rId115" Type="http://schemas.openxmlformats.org/officeDocument/2006/relationships/hyperlink" Target="https://docs.google.com/document/d/1hlaZ7sS4mysE6nV8d7dJ53WrBvYx2rjjVBaLtrkEUXE/edit?usp=drivesdk" TargetMode="External"/><Relationship Id="rId236" Type="http://schemas.openxmlformats.org/officeDocument/2006/relationships/hyperlink" Target="https://docs.google.com/document/d/16vjClCoqC7m3akVttcJyh9s3Hbn-CzZ-MyVW-Lji67g/edit?usp=drivesdk" TargetMode="External"/><Relationship Id="rId357" Type="http://schemas.openxmlformats.org/officeDocument/2006/relationships/hyperlink" Target="https://docs.google.com/document/d/1gzBZ5HfQJnnJWXvG5NS6oS9z2fy4WrO3XnzB6x8mkYc/edit?usp=drivesdk" TargetMode="External"/><Relationship Id="rId119" Type="http://schemas.openxmlformats.org/officeDocument/2006/relationships/hyperlink" Target="https://docs.google.com/document/d/1vK2OVKgBHmbnDyydJiI28-r72XA9d-1diz04IeBEKo4/edit?usp=drivesdk" TargetMode="External"/><Relationship Id="rId110" Type="http://schemas.openxmlformats.org/officeDocument/2006/relationships/hyperlink" Target="https://docs.google.com/document/d/12qKaqDTA40f8qxQAUU_wtTRdEwjpjOsa3wmJ7Cm-CR0/edit?usp=drivesdk" TargetMode="External"/><Relationship Id="rId231" Type="http://schemas.openxmlformats.org/officeDocument/2006/relationships/hyperlink" Target="https://docs.google.com/document/d/1SSjQWnl-mwCpqOXHeWdGBalJD7IGHDPVfgJa0kDIzdE/edit?usp=drivesdk" TargetMode="External"/><Relationship Id="rId352" Type="http://schemas.openxmlformats.org/officeDocument/2006/relationships/hyperlink" Target="https://docs.google.com/document/d/1DbejGbhJM7OWl5fFkV9jQyRGb9Sziytoa1OTAioADpQ/edit?usp=drivesdk" TargetMode="External"/><Relationship Id="rId230" Type="http://schemas.openxmlformats.org/officeDocument/2006/relationships/hyperlink" Target="https://docs.google.com/document/d/1MF4XTFcMuFaeeAGZvcZGTrRDTufu4yqULGm4wOzvNHk/edit?usp=drivesdk" TargetMode="External"/><Relationship Id="rId351" Type="http://schemas.openxmlformats.org/officeDocument/2006/relationships/hyperlink" Target="https://docs.google.com/document/d/1bJrBzE-p53jYgZXJ7d09hgLAWsK4ad1EDQSCTIFLbx8/edit?usp=drivesdk" TargetMode="External"/><Relationship Id="rId350" Type="http://schemas.openxmlformats.org/officeDocument/2006/relationships/hyperlink" Target="https://docs.google.com/document/d/1yjBfH6H6zIFAi5tn-uHL0_Gz62OBYgYXcoJvx0NpG70/edit?usp=drivesdk" TargetMode="External"/><Relationship Id="rId114" Type="http://schemas.openxmlformats.org/officeDocument/2006/relationships/hyperlink" Target="https://docs.google.com/document/d/1kJHcvyhgyIpKw8P9mBqauadO_E-MGaX1yx9HngVDcEU/edit?usp=drivesdk" TargetMode="External"/><Relationship Id="rId235" Type="http://schemas.openxmlformats.org/officeDocument/2006/relationships/hyperlink" Target="https://docs.google.com/document/d/1TJtSa6lbULLrc9i4aU81PsSx6hsWL8HJ2uszk5W7kv8/edit?usp=drivesdk" TargetMode="External"/><Relationship Id="rId356" Type="http://schemas.openxmlformats.org/officeDocument/2006/relationships/hyperlink" Target="https://docs.google.com/document/d/1xJ9T5reUjpXl3feP0fqVH6FQi3ovB4PsTEfdY2ZNAcA/edit?usp=drivesdk" TargetMode="External"/><Relationship Id="rId113" Type="http://schemas.openxmlformats.org/officeDocument/2006/relationships/hyperlink" Target="https://docs.google.com/document/d/1O7zNwJ7tD7cHfDAv1vY8YMgIs28bfzrPCLqAZVh0D54/edit?usp=drivesdk" TargetMode="External"/><Relationship Id="rId234" Type="http://schemas.openxmlformats.org/officeDocument/2006/relationships/hyperlink" Target="https://docs.google.com/document/d/1THJY9npUUObsa_EIxEJih_JhyMtxohl0xQnwoTdyRVE/edit?usp=drivesdk" TargetMode="External"/><Relationship Id="rId355" Type="http://schemas.openxmlformats.org/officeDocument/2006/relationships/hyperlink" Target="https://docs.google.com/document/d/1c3oIBDOSh2u6pFvXb4E_3APsR9Lem7S_3eSczmJQrGg/edit?usp=drivesdk" TargetMode="External"/><Relationship Id="rId112" Type="http://schemas.openxmlformats.org/officeDocument/2006/relationships/hyperlink" Target="https://docs.google.com/document/d/1Lmr6ukcytK5A4BRLAWOczZ0_erfF7eQyrndmyQl55_4/edit?usp=drivesdk" TargetMode="External"/><Relationship Id="rId233" Type="http://schemas.openxmlformats.org/officeDocument/2006/relationships/hyperlink" Target="https://docs.google.com/document/d/1iJsN9moJpH-rG7n8WmHd_EvVphFOsQgH3l5bndDInzo/edit?usp=drivesdk" TargetMode="External"/><Relationship Id="rId354" Type="http://schemas.openxmlformats.org/officeDocument/2006/relationships/hyperlink" Target="https://docs.google.com/document/d/1Z3xYCrnpat_lvHHxFDMS8j1Zd0EyO6PwPk4_SrgvZEg/edit?usp=drivesdk" TargetMode="External"/><Relationship Id="rId111" Type="http://schemas.openxmlformats.org/officeDocument/2006/relationships/hyperlink" Target="https://docs.google.com/document/d/1n6ckOJjtT5Kbqv-5GwvO7IK8Y_xs2-jWe9dPvarxoEo/edit?usp=drivesdk" TargetMode="External"/><Relationship Id="rId232" Type="http://schemas.openxmlformats.org/officeDocument/2006/relationships/hyperlink" Target="https://docs.google.com/document/d/13swHtX7gKJbnmI4FTAIM1Ytz2fAZaljKFxQgPpMXl7w/edit?usp=drivesdk" TargetMode="External"/><Relationship Id="rId353" Type="http://schemas.openxmlformats.org/officeDocument/2006/relationships/hyperlink" Target="https://docs.google.com/document/d/1qIaFzaKCnPb1lZek9agDPwVAvyZMEizaSV_xR-V6yDE/edit?usp=drivesdk" TargetMode="External"/><Relationship Id="rId305" Type="http://schemas.openxmlformats.org/officeDocument/2006/relationships/hyperlink" Target="https://docs.google.com/document/d/1uTQ3cRptrbH2rU6bifYJQOp03goG-mR9xEJElr8rAvw/edit?usp=drivesdk" TargetMode="External"/><Relationship Id="rId304" Type="http://schemas.openxmlformats.org/officeDocument/2006/relationships/hyperlink" Target="https://docs.google.com/document/d/1Obn3valZ5ZFWEdYba74PwGZ9qtkhWraIPZUu6aHGrnU/edit?usp=drivesdk" TargetMode="External"/><Relationship Id="rId303" Type="http://schemas.openxmlformats.org/officeDocument/2006/relationships/hyperlink" Target="https://docs.google.com/document/d/1qXtK3oH7DmcQDkV7PcKHYbDz7zDrjKI0qG6ostGLO4o/edit?usp=drivesdk" TargetMode="External"/><Relationship Id="rId302" Type="http://schemas.openxmlformats.org/officeDocument/2006/relationships/hyperlink" Target="https://docs.google.com/document/d/1Lj3Corcrdfv8NhADDnB5MnFLc80Lp1cbT2jtyOaAzZg/edit?usp=drivesdk" TargetMode="External"/><Relationship Id="rId309" Type="http://schemas.openxmlformats.org/officeDocument/2006/relationships/hyperlink" Target="https://docs.google.com/document/d/1qfBh_O_GEYX9iCz3WJwlITP89zxKCd3VjFTCB8EEAZE/edit?usp=drivesdk" TargetMode="External"/><Relationship Id="rId308" Type="http://schemas.openxmlformats.org/officeDocument/2006/relationships/hyperlink" Target="https://docs.google.com/document/d/1fsp2VE6J3eq1qlBaOs9_c3VwCKjWu0Kv5nHjHXrgkIw/edit?usp=drivesdk" TargetMode="External"/><Relationship Id="rId307" Type="http://schemas.openxmlformats.org/officeDocument/2006/relationships/hyperlink" Target="https://docs.google.com/document/d/1i930KaeCQlWUDAixF0akElGqD6KN0UM1R3AMA3CzBgU/edit?usp=drivesdk" TargetMode="External"/><Relationship Id="rId306" Type="http://schemas.openxmlformats.org/officeDocument/2006/relationships/hyperlink" Target="https://docs.google.com/document/d/1aBGvsEHCirIyyRknTERtRhpAFTNHS0JnXUlFaT1v4cE/edit?usp=drivesdk" TargetMode="External"/><Relationship Id="rId301" Type="http://schemas.openxmlformats.org/officeDocument/2006/relationships/hyperlink" Target="https://docs.google.com/document/d/1O2axMQA5xDTQpskdWm80p09JuUPVL5tfWcrGdGzBO5k/edit?usp=drivesdk" TargetMode="External"/><Relationship Id="rId300" Type="http://schemas.openxmlformats.org/officeDocument/2006/relationships/hyperlink" Target="https://docs.google.com/document/d/1d2XWI0EjkYtmDxCVNlEHb93pARhb9WKgiaWv_9QPQ1I/edit?usp=drivesdk" TargetMode="External"/><Relationship Id="rId414" Type="http://schemas.openxmlformats.org/officeDocument/2006/relationships/drawing" Target="../drawings/drawing2.xml"/><Relationship Id="rId413" Type="http://schemas.openxmlformats.org/officeDocument/2006/relationships/hyperlink" Target="https://docs.google.com/document/d/1sv52haYJAAYeV34nrDRRcelkEHhfK9YUVlfLYziSVak/edit?usp=drivesdk" TargetMode="External"/><Relationship Id="rId412" Type="http://schemas.openxmlformats.org/officeDocument/2006/relationships/hyperlink" Target="https://docs.google.com/document/d/1zuFEsKkrq9M6ZGAYBwp5wojo8R4vd7PN6fTx65IXQLA/edit?usp=drivesdk" TargetMode="External"/><Relationship Id="rId411" Type="http://schemas.openxmlformats.org/officeDocument/2006/relationships/hyperlink" Target="https://docs.google.com/document/d/1NN0E003fhNBJAqT_4wA1n1fHv_OIrnwXZ5Cod5eNRaQ/edit?usp=drivesdk" TargetMode="External"/><Relationship Id="rId410" Type="http://schemas.openxmlformats.org/officeDocument/2006/relationships/hyperlink" Target="https://docs.google.com/document/d/1txL1NkJIk-erA6B1p-O-zeeuqlFx5VgDXw_om0hByYQ/edit?usp=drivesdk" TargetMode="External"/><Relationship Id="rId206" Type="http://schemas.openxmlformats.org/officeDocument/2006/relationships/hyperlink" Target="https://docs.google.com/document/d/1y2UDORHMpvgGxnWKusUow10nn0yr4r-KxQFkrbWVVDg/edit?usp=drivesdk" TargetMode="External"/><Relationship Id="rId327" Type="http://schemas.openxmlformats.org/officeDocument/2006/relationships/hyperlink" Target="https://docs.google.com/a/gtmnerr.org/document/d/11Q1zngHv0-P5AsO1ZgZYteXWIjY4Pp94rg3HG76Vfhk/edit?usp=drivesdk" TargetMode="External"/><Relationship Id="rId205" Type="http://schemas.openxmlformats.org/officeDocument/2006/relationships/hyperlink" Target="https://docs.google.com/document/d/1BNVX05cr1434PSG7V5_vi5xdcMP9K4I0Om0n38jVaK0/edit?usp=drivesdk" TargetMode="External"/><Relationship Id="rId326" Type="http://schemas.openxmlformats.org/officeDocument/2006/relationships/hyperlink" Target="https://docs.google.com/document/d/1mAuPt1x3SC6PF8ujlRcp2_FSebhAGV02h612BkmlcNs/edit?usp=drivesdk" TargetMode="External"/><Relationship Id="rId204" Type="http://schemas.openxmlformats.org/officeDocument/2006/relationships/hyperlink" Target="https://docs.google.com/document/d/1ySIzZqkUgYZOnUT2s6MMktH4mDF9DGVF0uvVl5xf4BM/edit?usp=drivesdk" TargetMode="External"/><Relationship Id="rId325" Type="http://schemas.openxmlformats.org/officeDocument/2006/relationships/hyperlink" Target="https://docs.google.com/document/d/1YMJWkZrunPkqcijQlnoJEDDw7X8P59lFxv9qbVzbaSY/edit?usp=drivesdk" TargetMode="External"/><Relationship Id="rId203" Type="http://schemas.openxmlformats.org/officeDocument/2006/relationships/hyperlink" Target="https://docs.google.com/document/d/1ashMolhPpUl0A5fQ5JeXWD9xog1UFTWMtXS3rIJnr9I/edit?usp=drivesdk" TargetMode="External"/><Relationship Id="rId324" Type="http://schemas.openxmlformats.org/officeDocument/2006/relationships/hyperlink" Target="https://docs.google.com/document/d/1l4E_ZfLzH_eFlbh_M4aNR8syJtRhBDp7zPqitvKaIG0/edit?usp=drivesdk" TargetMode="External"/><Relationship Id="rId209" Type="http://schemas.openxmlformats.org/officeDocument/2006/relationships/hyperlink" Target="https://docs.google.com/document/d/1XZEg-gWWPTOj9opQYdpz_9DxyzyU6y5Gp45RZpWYD4Q/edit?usp=drivesdk" TargetMode="External"/><Relationship Id="rId208" Type="http://schemas.openxmlformats.org/officeDocument/2006/relationships/hyperlink" Target="https://docs.google.com/document/d/1Sid9zj_P_dXtirRpSMOa44APDNbBmBxfUhLaW12NacM/edit?usp=drivesdk" TargetMode="External"/><Relationship Id="rId329" Type="http://schemas.openxmlformats.org/officeDocument/2006/relationships/hyperlink" Target="https://docs.google.com/document/d/1RWIKtoOaMeyPaIs4hJT3bwRUK1PkwCCzdMFo1k4GAxk/edit?usp=drivesdk" TargetMode="External"/><Relationship Id="rId207" Type="http://schemas.openxmlformats.org/officeDocument/2006/relationships/hyperlink" Target="https://docs.google.com/document/d/14yTxW_f-O_a2XG44MuzS7iWl79ZZNjt9kb-KH_PVWqg/edit?usp=drivesdk" TargetMode="External"/><Relationship Id="rId328" Type="http://schemas.openxmlformats.org/officeDocument/2006/relationships/hyperlink" Target="https://docs.google.com/document/d/1PSs6PJxfHNvQL0Gdx2FpaTy-9EKgmxmmCEUvK9qcJiU/edit?usp=drivesdk" TargetMode="External"/><Relationship Id="rId202" Type="http://schemas.openxmlformats.org/officeDocument/2006/relationships/hyperlink" Target="https://docs.google.com/document/d/1wCwibueR_wcJviqe1JCJpLlTRhJP87kkXm9YSbcKdXU/edit?usp=drivesdk" TargetMode="External"/><Relationship Id="rId323" Type="http://schemas.openxmlformats.org/officeDocument/2006/relationships/hyperlink" Target="https://docs.google.com/document/d/1tLgUiv4bcn2V_cgRKNu_zZ5FGT2YBAuPzKuqiAXm0co/edit?usp=drivesdk" TargetMode="External"/><Relationship Id="rId201" Type="http://schemas.openxmlformats.org/officeDocument/2006/relationships/hyperlink" Target="https://docs.google.com/document/d/1BlhUooj52_5Yvz462SxTIX6_-Pjdb3OHBRmrvl_Ls6A/edit?usp=drivesdk" TargetMode="External"/><Relationship Id="rId322" Type="http://schemas.openxmlformats.org/officeDocument/2006/relationships/hyperlink" Target="https://docs.google.com/document/d/1nsjrzaiK-XGxSSZHB42jsZNNYxbyV3RJtQXB9v-oEB4/edit?usp=drivesdk" TargetMode="External"/><Relationship Id="rId200" Type="http://schemas.openxmlformats.org/officeDocument/2006/relationships/hyperlink" Target="https://docs.google.com/document/d/1-LNoiYtth3TFidddGkp-DIB0m_Gtbagw1nKdq4vBdXE/edit?usp=drivesdk" TargetMode="External"/><Relationship Id="rId321" Type="http://schemas.openxmlformats.org/officeDocument/2006/relationships/hyperlink" Target="https://docs.google.com/document/d/1UHxq4c6sGkIXHA_Cj_Kx_dd2yABgFStnfCZ4va8AwCQ/edit?usp=drivesdk" TargetMode="External"/><Relationship Id="rId320" Type="http://schemas.openxmlformats.org/officeDocument/2006/relationships/hyperlink" Target="https://docs.google.com/document/d/1E9aNIH6mCOOIwAQV51kZmcxa6B48JuJxjrm7UDpXd2w/edit?usp=drivesdk" TargetMode="External"/><Relationship Id="rId316" Type="http://schemas.openxmlformats.org/officeDocument/2006/relationships/hyperlink" Target="https://docs.google.com/document/d/1i6f7kHhOK6gs1CovzkHGRW2qcF_O4PSMw6GEfKJFoiI/edit?usp=drivesdk" TargetMode="External"/><Relationship Id="rId315" Type="http://schemas.openxmlformats.org/officeDocument/2006/relationships/hyperlink" Target="https://docs.google.com/document/d/19iCCJZ_O23GPhy55Pb4Tax0fp71UZC6HAdOjd8p_lds/edit?usp=drivesdk" TargetMode="External"/><Relationship Id="rId314" Type="http://schemas.openxmlformats.org/officeDocument/2006/relationships/hyperlink" Target="https://docs.google.com/document/d/1iIShRcHBMX9s2p9ixcmfD63N4BNpzZOhUMopEgZXVXU/edit?usp=drivesdk" TargetMode="External"/><Relationship Id="rId313" Type="http://schemas.openxmlformats.org/officeDocument/2006/relationships/hyperlink" Target="https://docs.google.com/document/d/1DEEZagV5EBkLzROR_9oxeIWIQiNWeE6h9eGZvDKJGBc/edit?usp=drivesdk" TargetMode="External"/><Relationship Id="rId319" Type="http://schemas.openxmlformats.org/officeDocument/2006/relationships/hyperlink" Target="https://docs.google.com/document/d/1jxJbOyJ-efuz4tHXDy8L3GTN2d42synPAf0a9KwhPj4/edit?usp=drivesdk" TargetMode="External"/><Relationship Id="rId318" Type="http://schemas.openxmlformats.org/officeDocument/2006/relationships/hyperlink" Target="https://docs.google.com/document/d/1dcxw6xlXtPDlo4G3zVliHM7eYEMWU9U5ZU03DGzm4Y4/edit?usp=drivesdk" TargetMode="External"/><Relationship Id="rId317" Type="http://schemas.openxmlformats.org/officeDocument/2006/relationships/hyperlink" Target="https://docs.google.com/document/d/1Id6Jld1KzxQlELFCsAZGsrQF5n3rtGtVgl9NJOHfP_4/edit?usp=drivesdk" TargetMode="External"/><Relationship Id="rId312" Type="http://schemas.openxmlformats.org/officeDocument/2006/relationships/hyperlink" Target="https://docs.google.com/document/d/1MyR0KwbVK6DLOQXHSWopn30pPwPKufzUXd-DVwHJfoc/edit?usp=drivesdk" TargetMode="External"/><Relationship Id="rId311" Type="http://schemas.openxmlformats.org/officeDocument/2006/relationships/hyperlink" Target="https://docs.google.com/document/d/1fe-2hVqu4qRXiK7uZpdjNWbt09bbNO2CMjpLNLRqic4/edit?usp=drivesdk" TargetMode="External"/><Relationship Id="rId310" Type="http://schemas.openxmlformats.org/officeDocument/2006/relationships/hyperlink" Target="https://docs.google.com/document/d/1ZCXGxgcM0SMf47GDz2P2nEKQwWPen_IopWAdo9gZUe8/edit?usp=drivesdk"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docs.google.com/document/d/16OYOj5TIsxB7aLpe8-WmMHmeLPl3WJceZcqhaNcR8ug/edit?usp=drivesdk" TargetMode="External"/><Relationship Id="rId194" Type="http://schemas.openxmlformats.org/officeDocument/2006/relationships/hyperlink" Target="https://docs.google.com/document/d/1UTMHhAq_kXygMb9yCTHtxEDXQXCiJxKdNDQMS38t11M/edit?usp=drivesdk" TargetMode="External"/><Relationship Id="rId193" Type="http://schemas.openxmlformats.org/officeDocument/2006/relationships/hyperlink" Target="https://docs.google.com/document/d/1w5yvrJDRg-YgyWDyeVMe6dpoKT5A2GMePvS1bvcmC00/edit?usp=drivesdk" TargetMode="External"/><Relationship Id="rId192" Type="http://schemas.openxmlformats.org/officeDocument/2006/relationships/hyperlink" Target="https://docs.google.com/document/d/1p7s5sR34YXc9wg1z-_VVivHlRGZkuTUZxMHhBUHtCco/edit?usp=drivesdk" TargetMode="External"/><Relationship Id="rId191" Type="http://schemas.openxmlformats.org/officeDocument/2006/relationships/hyperlink" Target="https://docs.google.com/document/d/16SdYODC-uCZ2zFLn33qfp7Qjty_GYbog-ssGQaMREx8/edit?usp=drivesdk" TargetMode="External"/><Relationship Id="rId187" Type="http://schemas.openxmlformats.org/officeDocument/2006/relationships/hyperlink" Target="https://docs.google.com/document/d/1urGKS6Hhgz61wxKnJxIwXPH6FT9q0n0PP04qBW5_huw/edit?usp=drivesdk" TargetMode="External"/><Relationship Id="rId186" Type="http://schemas.openxmlformats.org/officeDocument/2006/relationships/hyperlink" Target="https://docs.google.com/document/d/1YiWcFq3l08V3qBUS4JCJ18wDAAtAadOsJGTbNWJ7y0o/edit?usp=drivesdk" TargetMode="External"/><Relationship Id="rId185" Type="http://schemas.openxmlformats.org/officeDocument/2006/relationships/hyperlink" Target="https://docs.google.com/document/d/1YjoS9sKmNES22k8xi23oxX83WayzKLWesHbnmpWte98/edit?usp=drivesdk" TargetMode="External"/><Relationship Id="rId184" Type="http://schemas.openxmlformats.org/officeDocument/2006/relationships/hyperlink" Target="https://docs.google.com/document/d/1zstXvM6CwDhboX8ljkxSJeWbw2aJlIOMC9rK3xtsd2U/edit?usp=drivesdk" TargetMode="External"/><Relationship Id="rId189" Type="http://schemas.openxmlformats.org/officeDocument/2006/relationships/hyperlink" Target="https://docs.google.com/document/d/11wDe1iSta-uPiSj3aBwpM_PUcVB86619YC5CLL_mQ-I/edit?usp=drivesdk" TargetMode="External"/><Relationship Id="rId188" Type="http://schemas.openxmlformats.org/officeDocument/2006/relationships/hyperlink" Target="https://docs.google.com/document/d/1Uul-M4yHrQoQPnrQFZYN9DfqLTVHhiUvwWZpw-wNmWI/edit?usp=drivesdk" TargetMode="External"/><Relationship Id="rId183" Type="http://schemas.openxmlformats.org/officeDocument/2006/relationships/hyperlink" Target="https://docs.google.com/document/d/1h0R2PZU0rvgtqbs53JDBEKKuDogTM-nMHYHY7C7YB0Q/edit?usp=drivesdk" TargetMode="External"/><Relationship Id="rId182" Type="http://schemas.openxmlformats.org/officeDocument/2006/relationships/hyperlink" Target="https://docs.google.com/document/d/1MdfvTIYnceoqzhRGfam7t0apLcYPKCV83LbdbuAQAkg/edit?usp=drivesdk" TargetMode="External"/><Relationship Id="rId181" Type="http://schemas.openxmlformats.org/officeDocument/2006/relationships/hyperlink" Target="https://docs.google.com/document/d/1uWbC2LTTPyzZ9D7G8dbN75G0kC0n3ExQXQUhFHsruTY/edit?usp=drivesdk" TargetMode="External"/><Relationship Id="rId180" Type="http://schemas.openxmlformats.org/officeDocument/2006/relationships/hyperlink" Target="https://docs.google.com/document/d/1hauw2vE5xdSX1EdBY3STcNLUeeUqh_H2hN1zo1cocKU/edit?usp=drivesdk" TargetMode="External"/><Relationship Id="rId176" Type="http://schemas.openxmlformats.org/officeDocument/2006/relationships/hyperlink" Target="https://docs.google.com/document/d/1-6d6hvJWvO6BYtbO2WWaqb1in49kdbEkIdMZcbPaJuo/edit?usp=drivesdk" TargetMode="External"/><Relationship Id="rId175" Type="http://schemas.openxmlformats.org/officeDocument/2006/relationships/hyperlink" Target="https://docs.google.com/document/d/1WPXaA7dO7Ju4PLovG3d8P_hfoKL3mzHt2dO7NERh5Nc/edit?usp=drivesdk" TargetMode="External"/><Relationship Id="rId174" Type="http://schemas.openxmlformats.org/officeDocument/2006/relationships/hyperlink" Target="https://docs.google.com/document/d/1UytU1qoyfwDOxvXCNFzuyxYJSlOMrr0F6BOQspPMTz0/edit?usp=drivesdk" TargetMode="External"/><Relationship Id="rId173" Type="http://schemas.openxmlformats.org/officeDocument/2006/relationships/hyperlink" Target="https://docs.google.com/document/d/1oCIbNyJwXRwNMINWHnLOK0AHi7aUYV5hxePSeCyfP2Q/edit?usp=drivesdk" TargetMode="External"/><Relationship Id="rId179" Type="http://schemas.openxmlformats.org/officeDocument/2006/relationships/hyperlink" Target="https://docs.google.com/document/d/1oTcfsWZOgZYgI5Fy-XeM-Rzu-vTXU288StIZED4uEX8/edit?usp=drivesdk" TargetMode="External"/><Relationship Id="rId178" Type="http://schemas.openxmlformats.org/officeDocument/2006/relationships/hyperlink" Target="https://docs.google.com/document/d/1A8RL1csPx-oiXdee1EdEvumxx2HabklDEO-iwGQ4XE4/edit?usp=drivesdk" TargetMode="External"/><Relationship Id="rId177" Type="http://schemas.openxmlformats.org/officeDocument/2006/relationships/hyperlink" Target="https://docs.google.com/document/d/1GVAYZH_XWuygN1DJkmLahy2vWDXRXeAZcQd7hsb812o/edit?usp=drivesdk" TargetMode="External"/><Relationship Id="rId198" Type="http://schemas.openxmlformats.org/officeDocument/2006/relationships/hyperlink" Target="https://docs.google.com/document/d/17RQ4Ys5vhUgH_js1ld3jCjcGkUV1G8rZmkNP458_zYM/edit?usp=drivesdk" TargetMode="External"/><Relationship Id="rId197" Type="http://schemas.openxmlformats.org/officeDocument/2006/relationships/hyperlink" Target="https://docs.google.com/document/d/1IaxkgNOqPzkSPHLaQxOsCa-xiQoIeRtfPOqC3I0c1oI/edit?usp=drivesdk" TargetMode="External"/><Relationship Id="rId196" Type="http://schemas.openxmlformats.org/officeDocument/2006/relationships/hyperlink" Target="https://docs.google.com/document/d/1gVI_jfcOWjzZEQMF4gbfgFQynt0Z5DO6MONlYJj8nUU/edit?usp=drivesdk" TargetMode="External"/><Relationship Id="rId195" Type="http://schemas.openxmlformats.org/officeDocument/2006/relationships/hyperlink" Target="https://docs.google.com/document/d/1SXZqdzN-q45bqHiSwks60gp_1yChmg6o0A3CtR_bRFY/edit?usp=drivesdk" TargetMode="External"/><Relationship Id="rId199" Type="http://schemas.openxmlformats.org/officeDocument/2006/relationships/hyperlink" Target="https://docs.google.com/document/d/1sp3x5m3NjyONG81qm62pZZCQIhwJORfCMNu2kAoMkJc/edit?usp=drivesdk" TargetMode="External"/><Relationship Id="rId150" Type="http://schemas.openxmlformats.org/officeDocument/2006/relationships/hyperlink" Target="https://docs.google.com/document/d/1JGMIP5SQ2ZMKd8eDucsvIls3aSK9Tt3z-nF29BgavLw/edit?usp=drivesdk" TargetMode="External"/><Relationship Id="rId1" Type="http://schemas.openxmlformats.org/officeDocument/2006/relationships/hyperlink" Target="https://drive.google.com/a/gtmnerr.org/file/d/1-xBJcM5t4rp1kF8CtiHFHCGIYOyemNCh/view?usp=drivesdk" TargetMode="External"/><Relationship Id="rId2" Type="http://schemas.openxmlformats.org/officeDocument/2006/relationships/hyperlink" Target="https://drive.google.com/a/gtmnerr.org/file/d/1PoGr328HmybT9p6Khc3j48PbR5wcYaea/view?usp=drivesdk" TargetMode="External"/><Relationship Id="rId3" Type="http://schemas.openxmlformats.org/officeDocument/2006/relationships/hyperlink" Target="https://drive.google.com/a/gtmnerr.org/file/d/1lZDSHrj3qsq_O52lhKl_J8Ol3Ppm2wpf/view?usp=drivesdk" TargetMode="External"/><Relationship Id="rId149" Type="http://schemas.openxmlformats.org/officeDocument/2006/relationships/hyperlink" Target="https://docs.google.com/document/d/1FPp7Ct0JiV_kWgKtlmLlCmGzPELIhER6zZ_PuQTEZXQ/edit?usp=drivesdk" TargetMode="External"/><Relationship Id="rId4" Type="http://schemas.openxmlformats.org/officeDocument/2006/relationships/hyperlink" Target="https://drive.google.com/a/gtmnerr.org/file/d/1QvAZ7R1p5_SFBt5mF93Am43VNlxMzFTn/view?usp=drivesdk" TargetMode="External"/><Relationship Id="rId148" Type="http://schemas.openxmlformats.org/officeDocument/2006/relationships/hyperlink" Target="https://docs.google.com/document/d/1L1XIyzHuHRQHoWUjLZVh96I0pkX6GW-koS18WeV4S5A/edit?usp=drivesdk" TargetMode="External"/><Relationship Id="rId9" Type="http://schemas.openxmlformats.org/officeDocument/2006/relationships/hyperlink" Target="https://drive.google.com/a/gtmnerr.org/file/d/1CqRffsFMJFT8y9LOWdRzM3m5rD9ZeP2D/view?usp=drivesdk" TargetMode="External"/><Relationship Id="rId143" Type="http://schemas.openxmlformats.org/officeDocument/2006/relationships/hyperlink" Target="https://docs.google.com/document/d/1h91QH6PngBZUaCNZ-MO08urM96IecrjSB_niSTukIOo/edit?usp=drivesdk" TargetMode="External"/><Relationship Id="rId142" Type="http://schemas.openxmlformats.org/officeDocument/2006/relationships/hyperlink" Target="https://docs.google.com/document/d/1OeQTHLSFGSAT31agDkq7pmB0XfjKbGB3H-0rpdiqzEk/edit?usp=drivesdk" TargetMode="External"/><Relationship Id="rId141" Type="http://schemas.openxmlformats.org/officeDocument/2006/relationships/hyperlink" Target="https://docs.google.com/document/d/1JqTnJCbGjhbLNmpNm8MVKYBsWfwqFc2Spby_NHY6YBU/edit?usp=drivesdk" TargetMode="External"/><Relationship Id="rId140" Type="http://schemas.openxmlformats.org/officeDocument/2006/relationships/hyperlink" Target="https://docs.google.com/document/d/10B-Y9mtzPJLK-Vl1R2A-xzT2AB0jOcgS4S3pnj8j_Ks/edit?usp=drivesdk" TargetMode="External"/><Relationship Id="rId5" Type="http://schemas.openxmlformats.org/officeDocument/2006/relationships/hyperlink" Target="https://drive.google.com/a/gtmnerr.org/file/d/1YinwlBsrG6skh50eUb96HFs4ROS8w5Vd/view?usp=drivesdk" TargetMode="External"/><Relationship Id="rId147" Type="http://schemas.openxmlformats.org/officeDocument/2006/relationships/hyperlink" Target="https://docs.google.com/document/d/165OlHMSD7QQspuLihMnA4iOz0DUxDdUqPxfmQ1cBeNs/edit?usp=drivesdk" TargetMode="External"/><Relationship Id="rId6" Type="http://schemas.openxmlformats.org/officeDocument/2006/relationships/hyperlink" Target="https://drive.google.com/a/gtmnerr.org/file/d/1UDcTZ57HVMirRLXojC9fGFCmlWToZDMk/view?usp=drivesdk" TargetMode="External"/><Relationship Id="rId146" Type="http://schemas.openxmlformats.org/officeDocument/2006/relationships/hyperlink" Target="https://docs.google.com/document/d/1LuCtXJrW5W_uDwtAy3HfcI7oOa4lD8iG7UzSamPCoDk/edit?usp=drivesdk" TargetMode="External"/><Relationship Id="rId7" Type="http://schemas.openxmlformats.org/officeDocument/2006/relationships/hyperlink" Target="https://drive.google.com/a/gtmnerr.org/file/d/1jgjcWdO9z2WyqZPvktwTx42rtdLSC_0a/view?usp=drivesdk" TargetMode="External"/><Relationship Id="rId145" Type="http://schemas.openxmlformats.org/officeDocument/2006/relationships/hyperlink" Target="https://docs.google.com/document/d/1jLef7WH1ZWvUDuCPO5cYBeyKUgeRQ04zAG93ZEtwINk/edit?usp=drivesdk" TargetMode="External"/><Relationship Id="rId8" Type="http://schemas.openxmlformats.org/officeDocument/2006/relationships/hyperlink" Target="https://drive.google.com/a/gtmnerr.org/file/d/1xdZPUxBQL3Q04nu9hZKEqU5OAwvcXjY4/view?usp=drivesdk" TargetMode="External"/><Relationship Id="rId144" Type="http://schemas.openxmlformats.org/officeDocument/2006/relationships/hyperlink" Target="https://docs.google.com/document/d/1JRlYA77vV_VIb-S6I2VOgzFmlAaoJSMri79y4krYTeg/edit?usp=drivesdk" TargetMode="External"/><Relationship Id="rId139" Type="http://schemas.openxmlformats.org/officeDocument/2006/relationships/hyperlink" Target="https://docs.google.com/document/d/1YbcgZerdP1LVsxnkBb1fZoOvlgu2Id6KK0LNMU632hw/edit?usp=drivesdk" TargetMode="External"/><Relationship Id="rId138" Type="http://schemas.openxmlformats.org/officeDocument/2006/relationships/hyperlink" Target="https://docs.google.com/document/d/1KDK2Lyv_0BANy_IEzxkUFIoBnnXj9uvp7TxHIpYvUyk/edit?usp=drivesdk" TargetMode="External"/><Relationship Id="rId137" Type="http://schemas.openxmlformats.org/officeDocument/2006/relationships/hyperlink" Target="https://docs.google.com/document/d/10rU4XDlqfzQWaY9r_oxgwKKaIF7s4-1zNcxL46nYc7c/edit?usp=drivesdk" TargetMode="External"/><Relationship Id="rId132" Type="http://schemas.openxmlformats.org/officeDocument/2006/relationships/hyperlink" Target="https://docs.google.com/document/d/1BEemg3yUgKS4kZmHueWdHy0Eq3TwI6BuvwXCR9oCHpE/edit?usp=drivesdk" TargetMode="External"/><Relationship Id="rId131" Type="http://schemas.openxmlformats.org/officeDocument/2006/relationships/hyperlink" Target="https://docs.google.com/document/d/1L1Qa-gJZob4LNqDWn65q46mBvDTDwlLwU3zjXy1ncsw/edit?usp=drivesdk" TargetMode="External"/><Relationship Id="rId130" Type="http://schemas.openxmlformats.org/officeDocument/2006/relationships/hyperlink" Target="https://docs.google.com/document/d/1vSRqTWP7CmpWxXBMw2pni-Z1VXWQUibiRPAhtbpU00M/edit?usp=drivesdk" TargetMode="External"/><Relationship Id="rId136" Type="http://schemas.openxmlformats.org/officeDocument/2006/relationships/hyperlink" Target="https://docs.google.com/document/d/1cZCSPnwhRfGhAyk0zgxcNQFgvBFuINflyXPMCG46zK4/edit?usp=drivesdk" TargetMode="External"/><Relationship Id="rId135" Type="http://schemas.openxmlformats.org/officeDocument/2006/relationships/hyperlink" Target="https://docs.google.com/document/d/19y2xBdaEYRCaUdOVOFVL8R13UVTXTgDmuMIsfnSUrpc/edit?usp=drivesdk" TargetMode="External"/><Relationship Id="rId134" Type="http://schemas.openxmlformats.org/officeDocument/2006/relationships/hyperlink" Target="https://docs.google.com/document/d/1XgPHyLVaetsiT9yAxWjsIn05pUXXzoUT6oXrjFlL0YY/edit?usp=drivesdk" TargetMode="External"/><Relationship Id="rId133" Type="http://schemas.openxmlformats.org/officeDocument/2006/relationships/hyperlink" Target="https://docs.google.com/document/d/13L1BLRxELDJtkWSeTmCGPwxwpJo_bGihEn16D1Ndh94/edit?usp=drivesdk" TargetMode="External"/><Relationship Id="rId172" Type="http://schemas.openxmlformats.org/officeDocument/2006/relationships/hyperlink" Target="https://docs.google.com/document/d/1Ro8NJhnFBHEkHT8r9UkoHcGushyxmf7T7UxF2d3EPTo/edit?usp=drivesdk" TargetMode="External"/><Relationship Id="rId171" Type="http://schemas.openxmlformats.org/officeDocument/2006/relationships/hyperlink" Target="https://docs.google.com/document/d/1kbvT1CsqWVSgIaGJKDYhYIm_4ojgiC2OS4qGLdNc4tI/edit?usp=drivesdk" TargetMode="External"/><Relationship Id="rId170" Type="http://schemas.openxmlformats.org/officeDocument/2006/relationships/hyperlink" Target="https://docs.google.com/document/d/1PL271tW_lqAUNom36USh5xQ5-3Fx9KBM5GmY4JnYfd4/edit?usp=drivesdk" TargetMode="External"/><Relationship Id="rId165" Type="http://schemas.openxmlformats.org/officeDocument/2006/relationships/hyperlink" Target="https://docs.google.com/document/d/1Hfjuh-87HyMgDwCqQ1yxd7fH8nLij__YzoKp6Zt-A88/edit?usp=drivesdk" TargetMode="External"/><Relationship Id="rId164" Type="http://schemas.openxmlformats.org/officeDocument/2006/relationships/hyperlink" Target="https://docs.google.com/document/d/17M5r-E0k9v_FKlTFq_QQgPbH7eVdZ0U53IGJR24U6D0/edit?usp=drivesdk" TargetMode="External"/><Relationship Id="rId163" Type="http://schemas.openxmlformats.org/officeDocument/2006/relationships/hyperlink" Target="https://docs.google.com/document/d/1Gx8Cm5JStNGnczb9BENMG9AfAMxlxOh8pLjeAEIKSJ8/edit?usp=drivesdk" TargetMode="External"/><Relationship Id="rId162" Type="http://schemas.openxmlformats.org/officeDocument/2006/relationships/hyperlink" Target="https://docs.google.com/document/d/1HISdHTEExN4zHmyd24EnNJE9re7ldowomCTkQ-w64zU/edit?usp=drivesdk" TargetMode="External"/><Relationship Id="rId169" Type="http://schemas.openxmlformats.org/officeDocument/2006/relationships/hyperlink" Target="https://docs.google.com/document/d/1633f9rTaCMPyS4IZy7tFzPfoCMpeoOCM4AqFBr6ZdaU/edit?usp=drivesdk" TargetMode="External"/><Relationship Id="rId168" Type="http://schemas.openxmlformats.org/officeDocument/2006/relationships/hyperlink" Target="https://docs.google.com/document/d/1i7gzGMRtKsIfqsAqJWP2driUwJ2sHFfr9kkmwR3CAzc/edit?usp=drivesdk" TargetMode="External"/><Relationship Id="rId167" Type="http://schemas.openxmlformats.org/officeDocument/2006/relationships/hyperlink" Target="https://docs.google.com/document/d/19Pl4hL-nT5KCVnZ4JEMGc1icTwYZpi4m7pzITqh2Uto/edit?usp=drivesdk" TargetMode="External"/><Relationship Id="rId166" Type="http://schemas.openxmlformats.org/officeDocument/2006/relationships/hyperlink" Target="https://docs.google.com/document/d/1OdROVKVnWNppbGnZBe8XQx4EcpL1Z_wheLxqjEAAvaY/edit?usp=drivesdk" TargetMode="External"/><Relationship Id="rId161" Type="http://schemas.openxmlformats.org/officeDocument/2006/relationships/hyperlink" Target="https://docs.google.com/document/d/1Rrrw9hXvd2dswIm7DTQzp7Bj3bZQddXoz6ZiVQaAymE/edit?usp=drivesdk" TargetMode="External"/><Relationship Id="rId160" Type="http://schemas.openxmlformats.org/officeDocument/2006/relationships/hyperlink" Target="https://docs.google.com/document/d/1wHN4Cbsn47rCWCLLPwvhvv0RSpz-ejSy8O1YNICpliM/edit?usp=drivesdk" TargetMode="External"/><Relationship Id="rId159" Type="http://schemas.openxmlformats.org/officeDocument/2006/relationships/hyperlink" Target="https://docs.google.com/document/d/1s3JiwQ-KWulWysULpBhqbwpxDkxCnkakIu_ciCP-aHE/edit?usp=drivesdk" TargetMode="External"/><Relationship Id="rId154" Type="http://schemas.openxmlformats.org/officeDocument/2006/relationships/hyperlink" Target="https://docs.google.com/document/d/1KDW4JIx-TDLtUs2oIxpu-004J3DLKclKRdUK1ysIZ4w/edit?usp=drivesdk" TargetMode="External"/><Relationship Id="rId153" Type="http://schemas.openxmlformats.org/officeDocument/2006/relationships/hyperlink" Target="https://docs.google.com/document/d/1ZNjLR5XjuWTsIS-2tFfq5tQYsgGh-MACWxn2ZoDEOuU/edit?usp=drivesdk" TargetMode="External"/><Relationship Id="rId152" Type="http://schemas.openxmlformats.org/officeDocument/2006/relationships/hyperlink" Target="https://docs.google.com/document/d/1vhbaWsznObDXbxBjYZJm-c5mH0w0JZvCBOp-BzfpDKI/edit?usp=drivesdk" TargetMode="External"/><Relationship Id="rId151" Type="http://schemas.openxmlformats.org/officeDocument/2006/relationships/hyperlink" Target="https://docs.google.com/document/d/1RDmcLZdwMIRHDuujQWjczrbdq11SFvJ7BvyZZWaLJ_M/edit?usp=drivesdk" TargetMode="External"/><Relationship Id="rId158" Type="http://schemas.openxmlformats.org/officeDocument/2006/relationships/hyperlink" Target="https://docs.google.com/document/d/1RX_gUfr2Cwzo06Md2uxfQ1lOEGgjQtJf8J9lleJZCOQ/edit?usp=drivesdk" TargetMode="External"/><Relationship Id="rId157" Type="http://schemas.openxmlformats.org/officeDocument/2006/relationships/hyperlink" Target="https://docs.google.com/document/d/1yRmCu21DibXxTmzuabRnKsTEkg4ImN6YDeiFUo9b1mQ/edit?usp=drivesdk" TargetMode="External"/><Relationship Id="rId156" Type="http://schemas.openxmlformats.org/officeDocument/2006/relationships/hyperlink" Target="https://docs.google.com/document/d/1Piq9pUUSz179ys6kT1N1gc9p86TbMAxgV-Uv5HnwE5E/edit?usp=drivesdk" TargetMode="External"/><Relationship Id="rId155" Type="http://schemas.openxmlformats.org/officeDocument/2006/relationships/hyperlink" Target="https://docs.google.com/document/d/1Qu9mmZmTv01KNWghm6u4OGUV88UmBjkTWh1ifHFSkZg/edit?usp=drivesdk" TargetMode="External"/><Relationship Id="rId40" Type="http://schemas.openxmlformats.org/officeDocument/2006/relationships/hyperlink" Target="https://docs.google.com/document/d/1xPjlL2XpuJuVs9bhlQHaVaBJvaUVRrAiSl6QpD-EBQQ/edit?usp=drivesdk" TargetMode="External"/><Relationship Id="rId42" Type="http://schemas.openxmlformats.org/officeDocument/2006/relationships/hyperlink" Target="https://docs.google.com/document/d/1-UbK8hMJUW_5g5Rku1FY9ewcvvUW5AHNrwKQATrchv4/edit?usp=drivesdk" TargetMode="External"/><Relationship Id="rId41" Type="http://schemas.openxmlformats.org/officeDocument/2006/relationships/hyperlink" Target="https://docs.google.com/document/d/1Z8dAn-NJRpmpNLlG1zkbjukS7RuYIXNvx0IZ730X_Lk/edit?usp=drivesdk" TargetMode="External"/><Relationship Id="rId44" Type="http://schemas.openxmlformats.org/officeDocument/2006/relationships/hyperlink" Target="https://docs.google.com/document/d/1QBVhj8T9wlvA9MtmpE0nIHEBCK43PFkjVDTBjO99NHM/edit?usp=drivesdk" TargetMode="External"/><Relationship Id="rId43" Type="http://schemas.openxmlformats.org/officeDocument/2006/relationships/hyperlink" Target="https://docs.google.com/document/d/1WsrMwbtq1vkTBudK_ew-NbpNttOyEo3T3Yuj3AdKLcs/edit?usp=drivesdk" TargetMode="External"/><Relationship Id="rId46" Type="http://schemas.openxmlformats.org/officeDocument/2006/relationships/hyperlink" Target="https://docs.google.com/document/d/1GGxNyt9MBnblp9Zx3L_z8an_bzsgGlS6W15cDVnm3fk/edit?usp=drivesdk" TargetMode="External"/><Relationship Id="rId45" Type="http://schemas.openxmlformats.org/officeDocument/2006/relationships/hyperlink" Target="https://docs.google.com/document/d/18xsY3dGulHPGl_CAhmxP1foemiasC677-RRywmPh4mc/edit?usp=drivesdk" TargetMode="External"/><Relationship Id="rId48" Type="http://schemas.openxmlformats.org/officeDocument/2006/relationships/hyperlink" Target="https://docs.google.com/document/d/1_BU8DyN37-pP7dXayBuVa2UgN4SSVZhJ2PswBb3iWpA/edit?usp=drivesdk" TargetMode="External"/><Relationship Id="rId47" Type="http://schemas.openxmlformats.org/officeDocument/2006/relationships/hyperlink" Target="https://docs.google.com/document/d/1Meihg5Jrur5EeX5nc6SpgFu2CqSqHvOVRaDjMu8Kzjw/edit?usp=drivesdk" TargetMode="External"/><Relationship Id="rId49" Type="http://schemas.openxmlformats.org/officeDocument/2006/relationships/hyperlink" Target="https://docs.google.com/document/d/1_99TZLD-k-C9EsSVpSJNccEWzt4WrxyVPB59pY1zq1c/edit?usp=drivesdk" TargetMode="External"/><Relationship Id="rId31" Type="http://schemas.openxmlformats.org/officeDocument/2006/relationships/hyperlink" Target="https://docs.google.com/document/d/1aRzzSkR4_IR2TrYGXtPq9lf_h_sywa9CZFinxHZ5IvA/edit?usp=drivesdk" TargetMode="External"/><Relationship Id="rId30" Type="http://schemas.openxmlformats.org/officeDocument/2006/relationships/hyperlink" Target="https://docs.google.com/document/d/1v_EdmdvVGzhAN3sdHRshOKc3HcBBu2-dgl8Cd4de5UM/edit?usp=drivesdk" TargetMode="External"/><Relationship Id="rId33" Type="http://schemas.openxmlformats.org/officeDocument/2006/relationships/hyperlink" Target="https://docs.google.com/document/d/1YVH9hAY0Il0DCK6rFfBHIM-B2FMeHXQEEJUjpA6N7-U/edit?usp=drivesdk" TargetMode="External"/><Relationship Id="rId32" Type="http://schemas.openxmlformats.org/officeDocument/2006/relationships/hyperlink" Target="https://docs.google.com/document/d/1UxSihKYLLd3ptxsJHs_8U8O3j5OHfzHKbjnt5FECBbs/edit?usp=drivesdk" TargetMode="External"/><Relationship Id="rId35" Type="http://schemas.openxmlformats.org/officeDocument/2006/relationships/hyperlink" Target="https://docs.google.com/document/d/1NVKICve706r0YkCzp__mT8BDMJdF4QnbOgxRSabgmKc/edit?usp=drivesdk" TargetMode="External"/><Relationship Id="rId34" Type="http://schemas.openxmlformats.org/officeDocument/2006/relationships/hyperlink" Target="https://docs.google.com/document/d/12huri7tFQSawQjEXKj8ob1-TqT9eABr2dmxojMW4czY/edit?usp=drivesdk" TargetMode="External"/><Relationship Id="rId37" Type="http://schemas.openxmlformats.org/officeDocument/2006/relationships/hyperlink" Target="https://docs.google.com/document/d/1ZYCXLV6gt2oXgWl9Ziwcxz8bjA1d5w_O5I7Ap6ZOB2M/edit?usp=drivesdk" TargetMode="External"/><Relationship Id="rId36" Type="http://schemas.openxmlformats.org/officeDocument/2006/relationships/hyperlink" Target="https://docs.google.com/document/d/1As9djMbo-ypJ-TIGH9yy3dPkMxR0WI1KMjZ3T-YgY3o/edit?usp=drivesdk" TargetMode="External"/><Relationship Id="rId39" Type="http://schemas.openxmlformats.org/officeDocument/2006/relationships/hyperlink" Target="https://docs.google.com/document/d/1_HH9Z8-j5vEDahK3SVVb5cw1dwoAO7QFzxqAWGE-CnI/edit?usp=drivesdk" TargetMode="External"/><Relationship Id="rId38" Type="http://schemas.openxmlformats.org/officeDocument/2006/relationships/hyperlink" Target="https://docs.google.com/document/d/10nnniawQVtJWr1j6dGtxHYuaPvjUZS_oEzRZ6f249BE/edit?usp=drivesdk" TargetMode="External"/><Relationship Id="rId20" Type="http://schemas.openxmlformats.org/officeDocument/2006/relationships/hyperlink" Target="https://docs.google.com/document/d/1JEa1CEgHyehbkiQb0UeiGakohFPxlUdscuddwbzrIxE/edit?usp=drivesdk" TargetMode="External"/><Relationship Id="rId22" Type="http://schemas.openxmlformats.org/officeDocument/2006/relationships/hyperlink" Target="https://docs.google.com/document/d/1cZgdQ9Bkry7GfAi9UtVtg27Em-ne__SFXnsOQWLIXOg/edit?usp=drivesdk" TargetMode="External"/><Relationship Id="rId21" Type="http://schemas.openxmlformats.org/officeDocument/2006/relationships/hyperlink" Target="https://docs.google.com/document/d/1JFryXOw2InmmGmXxxzshvZNk4sdpEONK7hn7Y_AqJRE/edit?usp=drivesdk" TargetMode="External"/><Relationship Id="rId24" Type="http://schemas.openxmlformats.org/officeDocument/2006/relationships/hyperlink" Target="https://docs.google.com/document/d/11JZf3cCy2oWzUnb0sX9zgzWgWoI2_8xAwaHHjF2yHkM/edit?usp=drivesdk" TargetMode="External"/><Relationship Id="rId23" Type="http://schemas.openxmlformats.org/officeDocument/2006/relationships/hyperlink" Target="https://docs.google.com/document/d/141YwKW4KI8Q1dzT2ZpYz1hJTIpHl_K-P_b2fL-FVL80/edit?usp=drivesdk" TargetMode="External"/><Relationship Id="rId26" Type="http://schemas.openxmlformats.org/officeDocument/2006/relationships/hyperlink" Target="https://docs.google.com/document/d/1pqxIs0u3K7GhvcOKvyC8IjsZWvGnhWY4BbRyjvR0EHs/edit?usp=drivesdk" TargetMode="External"/><Relationship Id="rId25" Type="http://schemas.openxmlformats.org/officeDocument/2006/relationships/hyperlink" Target="https://docs.google.com/document/d/1eL5Q6SNkiPmg7jIbli2gKBq4HNhYtjpYK0Xasr2D1E4/edit?usp=drivesdk" TargetMode="External"/><Relationship Id="rId28" Type="http://schemas.openxmlformats.org/officeDocument/2006/relationships/hyperlink" Target="https://docs.google.com/document/d/15XlgdKXD7KIdSk2IIAY4JghUF2KIMnTCytAv-cTrJKA/edit?usp=drivesdk" TargetMode="External"/><Relationship Id="rId27" Type="http://schemas.openxmlformats.org/officeDocument/2006/relationships/hyperlink" Target="https://docs.google.com/document/d/1o_kh_Z-U6_tGhTgiT0C3Z1YHstpG_03KK-kY2lq7ebs/edit?usp=drivesdk" TargetMode="External"/><Relationship Id="rId29" Type="http://schemas.openxmlformats.org/officeDocument/2006/relationships/hyperlink" Target="https://docs.google.com/document/d/1v2wrRH98Mb6W56K8yPZheM1Zp9pKLMkjPI3HLleM2-E/edit?usp=drivesdk" TargetMode="External"/><Relationship Id="rId11" Type="http://schemas.openxmlformats.org/officeDocument/2006/relationships/hyperlink" Target="https://drive.google.com/a/gtmnerr.org/file/d/1wwbmFLgI3rXytEVbNoq8P0VpSeSlZpZt/view?usp=drivesdk" TargetMode="External"/><Relationship Id="rId10" Type="http://schemas.openxmlformats.org/officeDocument/2006/relationships/hyperlink" Target="https://drive.google.com/a/gtmnerr.org/file/d/1VQkdorZRbfabc3AEa7o8ja86ZuyLfsIJ/view?usp=drivesdk" TargetMode="External"/><Relationship Id="rId13" Type="http://schemas.openxmlformats.org/officeDocument/2006/relationships/hyperlink" Target="https://drive.google.com/a/gtmnerr.org/file/d/1xtziDCcDw8NcS5SRk_17AU3Q8TKpQ1Z4/view?usp=drivesdk" TargetMode="External"/><Relationship Id="rId12" Type="http://schemas.openxmlformats.org/officeDocument/2006/relationships/hyperlink" Target="https://drive.google.com/a/gtmnerr.org/file/d/1PS5YPza6b0J9agPHBVTnWxTfvhLIFch7/view?usp=drivesdk" TargetMode="External"/><Relationship Id="rId15" Type="http://schemas.openxmlformats.org/officeDocument/2006/relationships/hyperlink" Target="https://drive.google.com/a/gtmnerr.org/file/d/1iSoKHDcZ4JzQNG4JwzRoVeKu0BXy7IBM/view?usp=drivesdk" TargetMode="External"/><Relationship Id="rId14" Type="http://schemas.openxmlformats.org/officeDocument/2006/relationships/hyperlink" Target="https://drive.google.com/a/gtmnerr.org/file/d/1dZ2zFneiLNJ-LVQ0meYVs4oB71EuzBH6/view?usp=drivesdk" TargetMode="External"/><Relationship Id="rId17" Type="http://schemas.openxmlformats.org/officeDocument/2006/relationships/hyperlink" Target="https://docs.google.com/document/d/1lvnFSpiVYr6imjfOlWlxPW2ouTpS9jO0pAxu4_Njk7M/edit?usp=drivesdk" TargetMode="External"/><Relationship Id="rId16" Type="http://schemas.openxmlformats.org/officeDocument/2006/relationships/hyperlink" Target="https://drive.google.com/a/gtmnerr.org/file/d/1X-tbMcKrUC7VZG_2B5PruW_7lMpu_1vI/view?usp=drivesdk" TargetMode="External"/><Relationship Id="rId19" Type="http://schemas.openxmlformats.org/officeDocument/2006/relationships/hyperlink" Target="https://docs.google.com/document/d/1xUIhT2sRTDOWmpUEFwaZu47fXh5-6Kw9MpWVOIypX_Y/edit?usp=drivesdk" TargetMode="External"/><Relationship Id="rId18" Type="http://schemas.openxmlformats.org/officeDocument/2006/relationships/hyperlink" Target="https://docs.google.com/document/d/1yuciw9UAQC0hXjE6C7ODRboAy7GXEhKwmAu3V1IstVw/edit?usp=drivesdk" TargetMode="External"/><Relationship Id="rId84" Type="http://schemas.openxmlformats.org/officeDocument/2006/relationships/hyperlink" Target="https://docs.google.com/document/d/1BaYGUmqVMqP7K6yogEN7JA9Puier9G8taRo2F6LjQ64/edit?usp=drivesdk" TargetMode="External"/><Relationship Id="rId83" Type="http://schemas.openxmlformats.org/officeDocument/2006/relationships/hyperlink" Target="https://docs.google.com/document/d/1Yf58Vo3igrV_L3FTGJfaglDeuNiDkG2mScsf6Af2oGg/edit?usp=drivesdk" TargetMode="External"/><Relationship Id="rId86" Type="http://schemas.openxmlformats.org/officeDocument/2006/relationships/hyperlink" Target="https://docs.google.com/document/d/1cg_61x0Prb1H5bL7SShihaJ8nyb-k-Re1xSmZMw8yHQ/edit?usp=drivesdk" TargetMode="External"/><Relationship Id="rId85" Type="http://schemas.openxmlformats.org/officeDocument/2006/relationships/hyperlink" Target="https://docs.google.com/document/d/1tlC1SwEUPLpFXpij-oCM2rMilZlFExtd_0xZd7qUeZM/edit?usp=drivesdk" TargetMode="External"/><Relationship Id="rId88" Type="http://schemas.openxmlformats.org/officeDocument/2006/relationships/hyperlink" Target="https://docs.google.com/document/d/1DymsQ1HeGPgIcWUJTZNcP4_6Zo3y4_qnZSDka3MTvQk/edit?usp=drivesdk" TargetMode="External"/><Relationship Id="rId87" Type="http://schemas.openxmlformats.org/officeDocument/2006/relationships/hyperlink" Target="https://docs.google.com/document/d/1g6-SDWzTDxEaT_6esAFl7Ag0FmdmW2RSeVn4yz_-SWI/edit?usp=drivesdk" TargetMode="External"/><Relationship Id="rId89" Type="http://schemas.openxmlformats.org/officeDocument/2006/relationships/hyperlink" Target="https://docs.google.com/document/d/1M1nSKDRh8KbBXalT-n5-pUJ-LMgc4RpRlvCNRApVBRo/edit?usp=drivesdk" TargetMode="External"/><Relationship Id="rId80" Type="http://schemas.openxmlformats.org/officeDocument/2006/relationships/hyperlink" Target="https://docs.google.com/document/d/1B2B_zzU6VYd5JQ-56maF2bnECN2oN8ZVlQhWEyzl5pg/edit?usp=drivesdk" TargetMode="External"/><Relationship Id="rId82" Type="http://schemas.openxmlformats.org/officeDocument/2006/relationships/hyperlink" Target="https://docs.google.com/document/d/1hYRN2pBVHw4Yusqyy9lepzKzhEppwr8z0-qaMhE2DYQ/edit?usp=drivesdk" TargetMode="External"/><Relationship Id="rId81" Type="http://schemas.openxmlformats.org/officeDocument/2006/relationships/hyperlink" Target="https://docs.google.com/document/d/1_Jz1cLc_0eyZ6COebIUYyR_BuSj6Ej0LPmwxx-PUG2s/edit?usp=drivesdk" TargetMode="External"/><Relationship Id="rId73" Type="http://schemas.openxmlformats.org/officeDocument/2006/relationships/hyperlink" Target="https://docs.google.com/document/d/1g5f9yPdc6uaO_l9y9K3YLZPe5ak-o0BxRUX5eZ2dmP0/edit?usp=drivesdk" TargetMode="External"/><Relationship Id="rId72" Type="http://schemas.openxmlformats.org/officeDocument/2006/relationships/hyperlink" Target="https://docs.google.com/document/d/1B6fzv88D5-nJ8bnEEW7BlQPXBFnv4G5EWzrYGS9Jm9w/edit?usp=drivesdk" TargetMode="External"/><Relationship Id="rId75" Type="http://schemas.openxmlformats.org/officeDocument/2006/relationships/hyperlink" Target="https://docs.google.com/document/d/1acVIuNRHP6o9EhpjLyK7BPUBmQo2wAa7dSOlClJFeIA/edit?usp=drivesdk" TargetMode="External"/><Relationship Id="rId74" Type="http://schemas.openxmlformats.org/officeDocument/2006/relationships/hyperlink" Target="https://docs.google.com/document/d/1FGSJu50WpKVPQMMjfQsJgZFm6YVlPd9AmbZ7l5n8PbY/edit?usp=drivesdk" TargetMode="External"/><Relationship Id="rId77" Type="http://schemas.openxmlformats.org/officeDocument/2006/relationships/hyperlink" Target="https://docs.google.com/document/d/1cWHC30uCG8clysPvFjcXE45CuDzXqmgLp_YEJ8TY14o/edit?usp=drivesdk" TargetMode="External"/><Relationship Id="rId76" Type="http://schemas.openxmlformats.org/officeDocument/2006/relationships/hyperlink" Target="https://docs.google.com/document/d/1wU-ztvrplHNJ3Wq6k-7vP1L8aMRqh_hvA2p-U5wWUF0/edit?usp=drivesdk" TargetMode="External"/><Relationship Id="rId79" Type="http://schemas.openxmlformats.org/officeDocument/2006/relationships/hyperlink" Target="https://docs.google.com/document/d/1Gyx9ROaTKWuy-76rkui4kE2dTnRUDtMTJAqKpXUVmj4/edit?usp=drivesdk" TargetMode="External"/><Relationship Id="rId78" Type="http://schemas.openxmlformats.org/officeDocument/2006/relationships/hyperlink" Target="https://docs.google.com/document/d/15JSaSCbxrJwu6kwkLTnDA9-lYy2XQUHFjS2JiRUKLGM/edit?usp=drivesdk" TargetMode="External"/><Relationship Id="rId71" Type="http://schemas.openxmlformats.org/officeDocument/2006/relationships/hyperlink" Target="https://docs.google.com/document/d/1fdR1XrqTv5cgCvbuRnVbbi9FDd6k8Mk-S0hm8LSStSE/edit?usp=drivesdk" TargetMode="External"/><Relationship Id="rId70" Type="http://schemas.openxmlformats.org/officeDocument/2006/relationships/hyperlink" Target="https://docs.google.com/document/d/1StEQUgg0DdG61MF8-4mfq09rrv9NLcT7qfqHE2eQsnQ/edit?usp=drivesdk" TargetMode="External"/><Relationship Id="rId62" Type="http://schemas.openxmlformats.org/officeDocument/2006/relationships/hyperlink" Target="https://docs.google.com/document/d/1v7q-IULNLh2s7jlsl-iuhE7Fi_UIkWYnjOZQaPhKCSs/edit?usp=drivesdk" TargetMode="External"/><Relationship Id="rId61" Type="http://schemas.openxmlformats.org/officeDocument/2006/relationships/hyperlink" Target="https://docs.google.com/document/d/18sH7tpcvRVPrnvu5INSV_e-yIKj2uGcQozGVLnx_pZU/edit?usp=drivesdk" TargetMode="External"/><Relationship Id="rId64" Type="http://schemas.openxmlformats.org/officeDocument/2006/relationships/hyperlink" Target="https://docs.google.com/document/d/1ntrs6YFpK78CyX3JOrufebLGk1XUDopFAGN4tHmjzSY/edit?usp=drivesdk" TargetMode="External"/><Relationship Id="rId63" Type="http://schemas.openxmlformats.org/officeDocument/2006/relationships/hyperlink" Target="https://docs.google.com/document/d/1L0kzkzO3R_dAJCQe55pzE_QXkWNAsyj-X0rnm0gVaQY/edit?usp=drivesdk" TargetMode="External"/><Relationship Id="rId66" Type="http://schemas.openxmlformats.org/officeDocument/2006/relationships/hyperlink" Target="https://docs.google.com/document/d/1XauK_Lwrv1Qt95jY2ZpwtpyOvOLtQrABuSS55AExW6U/edit?usp=drivesdk" TargetMode="External"/><Relationship Id="rId65" Type="http://schemas.openxmlformats.org/officeDocument/2006/relationships/hyperlink" Target="https://docs.google.com/document/d/1FpILXcPLEtzulcfVT6SGTL70ibQT75O0hb2ZfXmGgmI/edit?usp=drivesdk" TargetMode="External"/><Relationship Id="rId68" Type="http://schemas.openxmlformats.org/officeDocument/2006/relationships/hyperlink" Target="https://docs.google.com/document/d/1XiMLRnysfffxhmnRhmieWEnwz45lXHcfCtEJfVr3uy4/edit?usp=drivesdk" TargetMode="External"/><Relationship Id="rId67" Type="http://schemas.openxmlformats.org/officeDocument/2006/relationships/hyperlink" Target="https://docs.google.com/document/d/1jQ1Oq7IYAKkafOHydGGQLYmkCHw1ud0uqub5wzV9okc/edit?usp=drivesdk" TargetMode="External"/><Relationship Id="rId60" Type="http://schemas.openxmlformats.org/officeDocument/2006/relationships/hyperlink" Target="https://docs.google.com/document/d/1KwWbRZ0rfVkD6cgG4sahSuTzc2waIBHIwhs9aelaYeM/edit?usp=drivesdk" TargetMode="External"/><Relationship Id="rId69" Type="http://schemas.openxmlformats.org/officeDocument/2006/relationships/hyperlink" Target="https://docs.google.com/document/d/1qsBp188AIvYYa7bWDNtbtdNGEWYhVYQXnzAKQ6cwFU4/edit?usp=drivesdk" TargetMode="External"/><Relationship Id="rId51" Type="http://schemas.openxmlformats.org/officeDocument/2006/relationships/hyperlink" Target="https://docs.google.com/document/d/1f4rCTUh5g2HKvT37iHIzLi2xkFwrlxrV8ZlB-EPRd_0/edit?usp=drivesdk" TargetMode="External"/><Relationship Id="rId50" Type="http://schemas.openxmlformats.org/officeDocument/2006/relationships/hyperlink" Target="https://docs.google.com/document/d/1OT1kes3CIgU0ZoBNEpPtzP0zZ3y229Cg9-mTm6wn5UM/edit?usp=drivesdk" TargetMode="External"/><Relationship Id="rId53" Type="http://schemas.openxmlformats.org/officeDocument/2006/relationships/hyperlink" Target="https://docs.google.com/document/d/1nhihx7WUJyq9xrne-IuE8z6M1bOCmJPhlEGshsFWGQU/edit?usp=drivesdk" TargetMode="External"/><Relationship Id="rId52" Type="http://schemas.openxmlformats.org/officeDocument/2006/relationships/hyperlink" Target="https://docs.google.com/document/d/1omI7AifJyv7VBder7xWpamlAqbP_DccSbkNyJKL1wJk/edit?usp=drivesdk" TargetMode="External"/><Relationship Id="rId55" Type="http://schemas.openxmlformats.org/officeDocument/2006/relationships/hyperlink" Target="https://docs.google.com/document/d/1Ad-FJGyHWoa6R8teeyJx_5DdPsF8CvyTVaG0dnm6hzA/edit?usp=drivesdk" TargetMode="External"/><Relationship Id="rId54" Type="http://schemas.openxmlformats.org/officeDocument/2006/relationships/hyperlink" Target="https://docs.google.com/document/d/14xL-FgR87Xdn5S8WoYx0_em_jRQvOEXqyE9kNUhAwZs/edit?usp=drivesdk" TargetMode="External"/><Relationship Id="rId57" Type="http://schemas.openxmlformats.org/officeDocument/2006/relationships/hyperlink" Target="https://docs.google.com/document/d/1segsGRdC7iRishkJwC9X3suCxEE9-PDWq8OEnJz3WW4/edit?usp=drivesdk" TargetMode="External"/><Relationship Id="rId56" Type="http://schemas.openxmlformats.org/officeDocument/2006/relationships/hyperlink" Target="https://docs.google.com/document/d/1ZVWr_QqAdt-Iz7q9i3GNK8i0lyZgwCCfyxmlR1hJwkw/edit?usp=drivesdk" TargetMode="External"/><Relationship Id="rId59" Type="http://schemas.openxmlformats.org/officeDocument/2006/relationships/hyperlink" Target="https://docs.google.com/document/d/1zx2ToY0GcjujicDXZiUTnvQUpIp0-oiJuQlUByUuEXk/edit?usp=drivesdk" TargetMode="External"/><Relationship Id="rId58" Type="http://schemas.openxmlformats.org/officeDocument/2006/relationships/hyperlink" Target="https://docs.google.com/document/d/1YErNHz-z5auJhRmMWf7quuIOf99gflm67GG5yE4XHtw/edit?usp=drivesdk" TargetMode="External"/><Relationship Id="rId107" Type="http://schemas.openxmlformats.org/officeDocument/2006/relationships/hyperlink" Target="https://docs.google.com/document/d/1V_UjvbS_4beIAIbGI2rknHAZN_bkiraEkuj6Ua6mwWE/edit?usp=drivesdk" TargetMode="External"/><Relationship Id="rId106" Type="http://schemas.openxmlformats.org/officeDocument/2006/relationships/hyperlink" Target="https://docs.google.com/document/d/1FbfrpXrmysodX8qvntPP4u8abx1oSvLdYgvdnAhlqV4/edit?usp=drivesdk" TargetMode="External"/><Relationship Id="rId105" Type="http://schemas.openxmlformats.org/officeDocument/2006/relationships/hyperlink" Target="https://docs.google.com/document/d/1-b6Gewks7v19ieHsXcoC8h0jDEWW_u_gOcnr1iFkHVU/edit?usp=drivesdk" TargetMode="External"/><Relationship Id="rId104" Type="http://schemas.openxmlformats.org/officeDocument/2006/relationships/hyperlink" Target="https://docs.google.com/document/d/1q53uSpEdchRnj-Rtxaj4hDDzRXe32da2SRUUmKfdEYs/edit?usp=drivesdk" TargetMode="External"/><Relationship Id="rId109" Type="http://schemas.openxmlformats.org/officeDocument/2006/relationships/hyperlink" Target="https://docs.google.com/document/d/1XqXDCS49mMlYjyDJhRRyb2rd--vYYMQZl9cTt1SyJXY/edit?usp=drivesdk" TargetMode="External"/><Relationship Id="rId108" Type="http://schemas.openxmlformats.org/officeDocument/2006/relationships/hyperlink" Target="https://docs.google.com/document/d/1FoCPEaVaT4-aS9Qr0r4nW6zlRTuDNZoJ3QoyHDTqm4A/edit?usp=drivesdk" TargetMode="External"/><Relationship Id="rId103" Type="http://schemas.openxmlformats.org/officeDocument/2006/relationships/hyperlink" Target="https://docs.google.com/document/d/1LabdHmssr2wUehcOV54gssrkT8MfwEnxZTasLs1gtgo/edit?usp=drivesdk" TargetMode="External"/><Relationship Id="rId102" Type="http://schemas.openxmlformats.org/officeDocument/2006/relationships/hyperlink" Target="https://docs.google.com/document/d/1Xqh3FggsY2bltRwZowLuBS6_e56PQHzyI4rVU95A2Zg/edit?usp=drivesdk" TargetMode="External"/><Relationship Id="rId101" Type="http://schemas.openxmlformats.org/officeDocument/2006/relationships/hyperlink" Target="https://docs.google.com/document/d/1ERbNqlmZ7cO96gpNW3hInnDf7lFEo276aaUSKUXyTaw/edit?usp=drivesdk" TargetMode="External"/><Relationship Id="rId100" Type="http://schemas.openxmlformats.org/officeDocument/2006/relationships/hyperlink" Target="https://docs.google.com/document/d/1Zr-dHoYFPh8hWNtbTV1mMdu01l2o95lPBKDPC730sdw/edit?usp=drivesdk" TargetMode="External"/><Relationship Id="rId129" Type="http://schemas.openxmlformats.org/officeDocument/2006/relationships/hyperlink" Target="https://docs.google.com/document/d/1dbUQc-0YRcUCWv4ZLuAiuh-szs2P71qMm4cR0NVclQw/edit?usp=drivesdk" TargetMode="External"/><Relationship Id="rId128" Type="http://schemas.openxmlformats.org/officeDocument/2006/relationships/hyperlink" Target="https://docs.google.com/document/d/1cwjqEBUaX4TZ2uiNweLlEFnrIqkIxDij-KCrl3jgdSs/edit?usp=drivesdk" TargetMode="External"/><Relationship Id="rId127" Type="http://schemas.openxmlformats.org/officeDocument/2006/relationships/hyperlink" Target="https://docs.google.com/document/d/19gtAry6vLFmaQvsDWVMoI53O_6Z53p6xfjK01wQTQ_Y/edit?usp=drivesdk" TargetMode="External"/><Relationship Id="rId126" Type="http://schemas.openxmlformats.org/officeDocument/2006/relationships/hyperlink" Target="https://docs.google.com/document/d/1LQqlIwHGCF52aRRtJim0ILCgeeS8U4NH2xgD9iHPfTc/edit?usp=drivesdk" TargetMode="External"/><Relationship Id="rId121" Type="http://schemas.openxmlformats.org/officeDocument/2006/relationships/hyperlink" Target="https://docs.google.com/document/d/1horU_i0hM4yRqRXVdDj8o-byRvvnkNKOrgAhhkzyH94/edit?usp=drivesdk" TargetMode="External"/><Relationship Id="rId120" Type="http://schemas.openxmlformats.org/officeDocument/2006/relationships/hyperlink" Target="https://docs.google.com/document/d/1pOCINOcEnSuc-joWQ1QIg6quFm4xBtL_1Iljg7H-ldU/edit?usp=drivesdk" TargetMode="External"/><Relationship Id="rId125" Type="http://schemas.openxmlformats.org/officeDocument/2006/relationships/hyperlink" Target="https://docs.google.com/document/d/13cBA5zcD8QJszQ_sgnLYt3r_hQFmNxCM9ctlDrF2yaI/edit?usp=drivesdk" TargetMode="External"/><Relationship Id="rId124" Type="http://schemas.openxmlformats.org/officeDocument/2006/relationships/hyperlink" Target="https://docs.google.com/document/d/1o5u6URG4eEL0bZO7Pcc_tA0H2uas6Y_qmD-HJgPbqg4/edit?usp=drivesdk" TargetMode="External"/><Relationship Id="rId123" Type="http://schemas.openxmlformats.org/officeDocument/2006/relationships/hyperlink" Target="https://docs.google.com/document/d/18a8HUQtBa0oDSzts9fdeoJSPbEzLp3lUXgyOK0PBc3I/edit?usp=drivesdk" TargetMode="External"/><Relationship Id="rId122" Type="http://schemas.openxmlformats.org/officeDocument/2006/relationships/hyperlink" Target="https://docs.google.com/document/d/1cwuPEokQaH8ROzsr7i8PtwhzKFzoCSG6aC6VvMPnr4c/edit?usp=drivesdk" TargetMode="External"/><Relationship Id="rId95" Type="http://schemas.openxmlformats.org/officeDocument/2006/relationships/hyperlink" Target="https://docs.google.com/document/d/1WiDFrx4D7wDtTG7xhG56FExYdRv-4DwwdP-wvUsnRMc/edit?usp=drivesdk" TargetMode="External"/><Relationship Id="rId94" Type="http://schemas.openxmlformats.org/officeDocument/2006/relationships/hyperlink" Target="https://docs.google.com/document/d/1gFmRMe2zpH3j4wfW__4Oo9qMajLX3jmZ0kcbMSYh65A/edit?usp=drivesdk" TargetMode="External"/><Relationship Id="rId97" Type="http://schemas.openxmlformats.org/officeDocument/2006/relationships/hyperlink" Target="https://docs.google.com/document/d/17sdCynz09IpAwVH5o8CprezXdWWPeoNhVJw4691Iw8A/edit?usp=drivesdk" TargetMode="External"/><Relationship Id="rId96" Type="http://schemas.openxmlformats.org/officeDocument/2006/relationships/hyperlink" Target="https://docs.google.com/document/d/1c5DkI6jJ5VBQm3EWgcA563cNGIBizGgTtaIKGIJ2dE8/edit?usp=drivesdk" TargetMode="External"/><Relationship Id="rId99" Type="http://schemas.openxmlformats.org/officeDocument/2006/relationships/hyperlink" Target="https://docs.google.com/document/d/1UoUokpEmpx5df0h6r4uANvSRcZZUW8I676NwUPCYPfg/edit?usp=drivesdk" TargetMode="External"/><Relationship Id="rId98" Type="http://schemas.openxmlformats.org/officeDocument/2006/relationships/hyperlink" Target="https://docs.google.com/document/d/1ewslJEYMYiLWpQVfKwKUIdB5aER5uzJ2SHLwyC5bnho/edit?usp=drivesdk" TargetMode="External"/><Relationship Id="rId91" Type="http://schemas.openxmlformats.org/officeDocument/2006/relationships/hyperlink" Target="https://docs.google.com/document/d/1_xpbSdAQxiV952g8DEviihzsJ9JvdoIja7XikkzE2jM/edit?usp=drivesdk" TargetMode="External"/><Relationship Id="rId90" Type="http://schemas.openxmlformats.org/officeDocument/2006/relationships/hyperlink" Target="https://docs.google.com/document/d/18ANL2EAsbj-9X5mz0tRj4YzFgnSMdKPwDfVJotzLaHQ/edit?usp=drivesdk" TargetMode="External"/><Relationship Id="rId93" Type="http://schemas.openxmlformats.org/officeDocument/2006/relationships/hyperlink" Target="https://docs.google.com/document/d/1_f4X9tN9ILtz5QvdB_rIlrFD1AFhQW601asBRe7AfEg/edit?usp=drivesdk" TargetMode="External"/><Relationship Id="rId92" Type="http://schemas.openxmlformats.org/officeDocument/2006/relationships/hyperlink" Target="https://docs.google.com/document/d/1CEf7cA2GIPp1xy65JDmnWfxQvW39taVTsOsaX1Ue6ho/edit?usp=drivesdk" TargetMode="External"/><Relationship Id="rId118" Type="http://schemas.openxmlformats.org/officeDocument/2006/relationships/hyperlink" Target="https://docs.google.com/document/d/17DVNObsevh1PglvOtUWG2_f9xR1DhwO97Kb9C_lXeyg/edit?usp=drivesdk" TargetMode="External"/><Relationship Id="rId117" Type="http://schemas.openxmlformats.org/officeDocument/2006/relationships/hyperlink" Target="https://docs.google.com/document/d/1yedKFixA69V0VtSDY7-I0SVCLPtcIuBrNsPWlFA5t0Q/edit?usp=drivesdk" TargetMode="External"/><Relationship Id="rId116" Type="http://schemas.openxmlformats.org/officeDocument/2006/relationships/hyperlink" Target="https://docs.google.com/document/d/1uWaH_X62R2Liuv1Udb-7AgjTcZgYdkQkjrG1FW0qql4/edit?usp=drivesdk" TargetMode="External"/><Relationship Id="rId115" Type="http://schemas.openxmlformats.org/officeDocument/2006/relationships/hyperlink" Target="https://docs.google.com/document/d/1hlaZ7sS4mysE6nV8d7dJ53WrBvYx2rjjVBaLtrkEUXE/edit?usp=drivesdk" TargetMode="External"/><Relationship Id="rId119" Type="http://schemas.openxmlformats.org/officeDocument/2006/relationships/hyperlink" Target="https://docs.google.com/document/d/1vK2OVKgBHmbnDyydJiI28-r72XA9d-1diz04IeBEKo4/edit?usp=drivesdk" TargetMode="External"/><Relationship Id="rId110" Type="http://schemas.openxmlformats.org/officeDocument/2006/relationships/hyperlink" Target="https://docs.google.com/document/d/12qKaqDTA40f8qxQAUU_wtTRdEwjpjOsa3wmJ7Cm-CR0/edit?usp=drivesdk" TargetMode="External"/><Relationship Id="rId114" Type="http://schemas.openxmlformats.org/officeDocument/2006/relationships/hyperlink" Target="https://docs.google.com/document/d/1kJHcvyhgyIpKw8P9mBqauadO_E-MGaX1yx9HngVDcEU/edit?usp=drivesdk" TargetMode="External"/><Relationship Id="rId113" Type="http://schemas.openxmlformats.org/officeDocument/2006/relationships/hyperlink" Target="https://docs.google.com/document/d/1O7zNwJ7tD7cHfDAv1vY8YMgIs28bfzrPCLqAZVh0D54/edit?usp=drivesdk" TargetMode="External"/><Relationship Id="rId112" Type="http://schemas.openxmlformats.org/officeDocument/2006/relationships/hyperlink" Target="https://docs.google.com/document/d/1Lmr6ukcytK5A4BRLAWOczZ0_erfF7eQyrndmyQl55_4/edit?usp=drivesdk" TargetMode="External"/><Relationship Id="rId111" Type="http://schemas.openxmlformats.org/officeDocument/2006/relationships/hyperlink" Target="https://docs.google.com/document/d/1n6ckOJjtT5Kbqv-5GwvO7IK8Y_xs2-jWe9dPvarxoEo/edit?usp=drivesdk" TargetMode="External"/><Relationship Id="rId20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4" max="4" width="19.14"/>
    <col customWidth="1" min="6" max="6" width="20.57"/>
    <col customWidth="1" min="7" max="7" width="27.43"/>
    <col customWidth="1" min="8" max="8" width="25.86"/>
    <col customWidth="1" min="9" max="9" width="19.0"/>
    <col customWidth="1" min="10" max="10" width="32.71"/>
    <col customWidth="1" min="13" max="13" width="47.86"/>
    <col customWidth="1" min="14" max="14" width="49.43"/>
    <col customWidth="1" min="15" max="15" width="109.0"/>
    <col customWidth="1" min="31" max="31" width="22.29"/>
    <col customWidth="1" min="32" max="32" width="32.14"/>
    <col customWidth="1" min="33" max="33" width="20.14"/>
    <col customWidth="1" min="34" max="34" width="21.57"/>
    <col customWidth="1" min="35" max="35" width="52.14"/>
    <col customWidth="1" min="36" max="36" width="103.86"/>
    <col customWidth="1" min="37" max="37" width="67.71"/>
    <col customWidth="1" min="38" max="38" width="331.0"/>
  </cols>
  <sheetData>
    <row r="1">
      <c r="A1" s="1" t="str">
        <f>IFERROR(__xludf.DUMMYFUNCTION("QUERY('Form Responses 2'!A1:AE974,""select A, B, C, D, E, AE, F, G, H, I, J, K, L, M, N, O, P, Q, R, S, T, U, V, W, X, Y, Z, AA, AB, AC, AD"")"),"Timestamp")</f>
        <v>Timestamp</v>
      </c>
      <c r="B1" s="2" t="str">
        <f>IFERROR(__xludf.DUMMYFUNCTION("""COMPUTED_VALUE"""),"YOUR NAME")</f>
        <v>YOUR NAME</v>
      </c>
      <c r="C1" s="1" t="str">
        <f>IFERROR(__xludf.DUMMYFUNCTION("""COMPUTED_VALUE"""),"YOUR EMAIL")</f>
        <v>YOUR EMAIL</v>
      </c>
      <c r="D1" s="1" t="str">
        <f>IFERROR(__xludf.DUMMYFUNCTION("""COMPUTED_VALUE"""),"Float Plan Holder")</f>
        <v>Float Plan Holder</v>
      </c>
      <c r="E1" s="1" t="str">
        <f>IFERROR(__xludf.DUMMYFUNCTION("""COMPUTED_VALUE"""),"BOAT RAMP")</f>
        <v>BOAT RAMP</v>
      </c>
      <c r="F1" s="3" t="str">
        <f>IFERROR(__xludf.DUMMYFUNCTION("""COMPUTED_VALUE"""),"Time you plan to launch")</f>
        <v>Time you plan to launch</v>
      </c>
      <c r="G1" s="4" t="str">
        <f>IFERROR(__xludf.DUMMYFUNCTION("""COMPUTED_VALUE"""),"Date you plan to launch")</f>
        <v>Date you plan to launch</v>
      </c>
      <c r="H1" s="1" t="str">
        <f>IFERROR(__xludf.DUMMYFUNCTION("""COMPUTED_VALUE"""),"Destination")</f>
        <v>Destination</v>
      </c>
      <c r="I1" s="5" t="str">
        <f>IFERROR(__xludf.DUMMYFUNCTION("""COMPUTED_VALUE"""),"Estimated time off the water")</f>
        <v>Estimated time off the water</v>
      </c>
      <c r="J1" s="1" t="str">
        <f>IFERROR(__xludf.DUMMYFUNCTION("""COMPUTED_VALUE"""),"Time return to office (best estimate)")</f>
        <v>Time return to office (best estimate)</v>
      </c>
      <c r="K1" s="1" t="str">
        <f>IFERROR(__xludf.DUMMYFUNCTION("""COMPUTED_VALUE"""),"Vessel Details")</f>
        <v>Vessel Details</v>
      </c>
      <c r="L1" s="1" t="str">
        <f>IFERROR(__xludf.DUMMYFUNCTION("""COMPUTED_VALUE"""),"If you selected Canoe(s) or Kayak(s), how many are you taking?")</f>
        <v>If you selected Canoe(s) or Kayak(s), how many are you taking?</v>
      </c>
      <c r="M1" s="1" t="str">
        <f>IFERROR(__xludf.DUMMYFUNCTION("""COMPUTED_VALUE"""),"Towing Vehicle")</f>
        <v>Towing Vehicle</v>
      </c>
      <c r="N1" s="1" t="str">
        <f>IFERROR(__xludf.DUMMYFUNCTION("""COMPUTED_VALUE"""),"Who is (are) the Certified Operator(s)?")</f>
        <v>Who is (are) the Certified Operator(s)?</v>
      </c>
      <c r="O1" s="1" t="str">
        <f>IFERROR(__xludf.DUMMYFUNCTION("""COMPUTED_VALUE"""),"Who is (are) the other individuals on-board?")</f>
        <v>Who is (are) the other individuals on-board?</v>
      </c>
      <c r="P1" s="1" t="str">
        <f>IFERROR(__xludf.DUMMYFUNCTION("""COMPUTED_VALUE"""),"Who is the primary Captain?")</f>
        <v>Who is the primary Captain?</v>
      </c>
      <c r="Q1" s="1" t="str">
        <f>IFERROR(__xludf.DUMMYFUNCTION("""COMPUTED_VALUE""")," [Trailer Lights, Tire Pressure, Boat Box with Keys, Tool Kit, PFD's for every passenger, Type IV Throwable, Fuel, Battery, Radio/Cell Check, Anchor &amp; Line, Paddles and/or Push Pole, Boat Hook, First-Aid Kit, Whistle/Horn, Signal Devices, Fire Extinguishe"&amp;"r, Navigation Lights]")</f>
        <v> [Trailer Lights, Tire Pressure, Boat Box with Keys, Tool Kit, PFD's for every passenger, Type IV Throwable, Fuel, Battery, Radio/Cell Check, Anchor &amp; Line, Paddles and/or Push Pole, Boat Hook, First-Aid Kit, Whistle/Horn, Signal Devices, Fire Extinguisher, Navigation Lights]</v>
      </c>
      <c r="R1" s="1" t="str">
        <f>IFERROR(__xludf.DUMMYFUNCTION("""COMPUTED_VALUE""")," [Tool Kit]")</f>
        <v> [Tool Kit]</v>
      </c>
      <c r="S1" s="1" t="str">
        <f>IFERROR(__xludf.DUMMYFUNCTION("""COMPUTED_VALUE""")," [PFD's and Type IV throwable]")</f>
        <v> [PFD's and Type IV throwable]</v>
      </c>
      <c r="T1" s="1" t="str">
        <f>IFERROR(__xludf.DUMMYFUNCTION("""COMPUTED_VALUE""")," [Fuel, Battery, and Radio/Cell Check]")</f>
        <v> [Fuel, Battery, and Radio/Cell Check]</v>
      </c>
      <c r="U1" s="1" t="str">
        <f>IFERROR(__xludf.DUMMYFUNCTION("""COMPUTED_VALUE""")," [Anchor and Line]")</f>
        <v> [Anchor and Line]</v>
      </c>
      <c r="V1" s="1" t="str">
        <f>IFERROR(__xludf.DUMMYFUNCTION("""COMPUTED_VALUE""")," [Paddles, Push Pole]")</f>
        <v> [Paddles, Push Pole]</v>
      </c>
      <c r="W1" s="1" t="str">
        <f>IFERROR(__xludf.DUMMYFUNCTION("""COMPUTED_VALUE""")," [Boat Hook]")</f>
        <v> [Boat Hook]</v>
      </c>
      <c r="X1" s="1" t="str">
        <f>IFERROR(__xludf.DUMMYFUNCTION("""COMPUTED_VALUE""")," [First-Aid Kit]")</f>
        <v> [First-Aid Kit]</v>
      </c>
      <c r="Y1" s="1" t="str">
        <f>IFERROR(__xludf.DUMMYFUNCTION("""COMPUTED_VALUE""")," [Whistle/ Horn]")</f>
        <v> [Whistle/ Horn]</v>
      </c>
      <c r="Z1" s="1" t="str">
        <f>IFERROR(__xludf.DUMMYFUNCTION("""COMPUTED_VALUE""")," [Signal Devices]")</f>
        <v> [Signal Devices]</v>
      </c>
      <c r="AA1" s="1" t="str">
        <f>IFERROR(__xludf.DUMMYFUNCTION("""COMPUTED_VALUE""")," [Fire Extinguisher]")</f>
        <v> [Fire Extinguisher]</v>
      </c>
      <c r="AB1" s="1" t="str">
        <f>IFERROR(__xludf.DUMMYFUNCTION("""COMPUTED_VALUE""")," [Trailer and Boat Lights]")</f>
        <v> [Trailer and Boat Lights]</v>
      </c>
      <c r="AC1" s="1" t="str">
        <f>IFERROR(__xludf.DUMMYFUNCTION("""COMPUTED_VALUE""")," [Tire Pressure]")</f>
        <v> [Tire Pressure]</v>
      </c>
      <c r="AD1" s="1" t="str">
        <f>IFERROR(__xludf.DUMMYFUNCTION("""COMPUTED_VALUE"""),"Check the Weather (Optional)")</f>
        <v>Check the Weather (Optional)</v>
      </c>
      <c r="AE1" s="1" t="str">
        <f>IFERROR(__xludf.DUMMYFUNCTION("""COMPUTED_VALUE"""),"Check the Tides (Optional)")</f>
        <v>Check the Tides (Optional)</v>
      </c>
      <c r="AF1" s="6" t="s">
        <v>0</v>
      </c>
      <c r="AG1" s="7" t="s">
        <v>1</v>
      </c>
      <c r="AH1" s="8" t="s">
        <v>2</v>
      </c>
      <c r="AI1" s="9" t="s">
        <v>3</v>
      </c>
      <c r="AJ1" s="9" t="s">
        <v>4</v>
      </c>
      <c r="AK1" s="9" t="s">
        <v>5</v>
      </c>
      <c r="AL1" s="9" t="s">
        <v>6</v>
      </c>
    </row>
    <row r="2">
      <c r="A2" s="10">
        <f>IFERROR(__xludf.DUMMYFUNCTION("""COMPUTED_VALUE"""),42342.632352789355)</f>
        <v>42342.63235</v>
      </c>
      <c r="B2" s="11" t="str">
        <f>IFERROR(__xludf.DUMMYFUNCTION("""COMPUTED_VALUE"""),"Kenneth Rainer")</f>
        <v>Kenneth Rainer</v>
      </c>
      <c r="C2" t="str">
        <f>IFERROR(__xludf.DUMMYFUNCTION("""COMPUTED_VALUE"""),"KennethCRainer@gmail.com")</f>
        <v>KennethCRainer@gmail.com</v>
      </c>
      <c r="D2" s="12" t="str">
        <f>IFERROR(__xludf.DUMMYFUNCTION("""COMPUTED_VALUE"""),"Research/Pam")</f>
        <v>Research/Pam</v>
      </c>
      <c r="E2" t="str">
        <f>IFERROR(__xludf.DUMMYFUNCTION("""COMPUTED_VALUE"""),"Aunt Kate's")</f>
        <v>Aunt Kate's</v>
      </c>
      <c r="F2" s="13"/>
      <c r="G2" s="14">
        <f>IFERROR(__xludf.DUMMYFUNCTION("""COMPUTED_VALUE"""),42342.0)</f>
        <v>42342</v>
      </c>
      <c r="H2" t="str">
        <f>IFERROR(__xludf.DUMMYFUNCTION("""COMPUTED_VALUE"""),"Field Station")</f>
        <v>Field Station</v>
      </c>
      <c r="I2" s="15">
        <f>IFERROR(__xludf.DUMMYFUNCTION("""COMPUTED_VALUE"""),0.0625)</f>
        <v>0.0625</v>
      </c>
      <c r="J2" s="16">
        <f>IFERROR(__xludf.DUMMYFUNCTION("""COMPUTED_VALUE"""),0.6666666666678793)</f>
        <v>0.6666666667</v>
      </c>
      <c r="K2" t="str">
        <f>IFERROR(__xludf.DUMMYFUNCTION("""COMPUTED_VALUE"""),"17ft Skill FL0642GW DEP07239")</f>
        <v>17ft Skill FL0642GW DEP07239</v>
      </c>
      <c r="M2" t="str">
        <f>IFERROR(__xludf.DUMMYFUNCTION("""COMPUTED_VALUE"""),"Ford F150 2015 (White) - DEP21448")</f>
        <v>Ford F150 2015 (White) - DEP21448</v>
      </c>
      <c r="N2" t="str">
        <f>IFERROR(__xludf.DUMMYFUNCTION("""COMPUTED_VALUE"""),"Nikki Dix, (352) 219-4079, Pam Marcum, (480) 332-5414")</f>
        <v>Nikki Dix, (352) 219-4079, Pam Marcum, (480) 332-5414</v>
      </c>
      <c r="O2" t="str">
        <f>IFERROR(__xludf.DUMMYFUNCTION("""COMPUTED_VALUE"""),"Joseph Burgess, Katie Petrinec, (904) 891-2956, Kenneth Rainer, (936) 499-1853, Matt Welsh, (904) 705-5617")</f>
        <v>Joseph Burgess, Katie Petrinec, (904) 891-2956, Kenneth Rainer, (936) 499-1853, Matt Welsh, (904) 705-5617</v>
      </c>
      <c r="P2" t="str">
        <f>IFERROR(__xludf.DUMMYFUNCTION("""COMPUTED_VALUE"""),"Joseph Burgess")</f>
        <v>Joseph Burgess</v>
      </c>
      <c r="AF2" s="11" t="str">
        <f t="array" ref="AF2:AF643">IF(LEN('Form Responses 2'!$A2:$A974),IF('Form Responses 2'!D2:D974="Research/Nikki","Nikki.Dix@floridadep.gov",IF('Form Responses 2'!D2:D974="Stewardship (Aquatic)","Scott.Eastman@floridadep.gov",IF('Form Responses 2'!D2:D974="Education","Kenneth.Rainer@floridadep.gov",IF('Form Responses 2'!D2:D974="Stewardship (Uplands)","Scott.Eastman@floridadep.gov",IF('Form Responses 2'!D2:D974="Coastal Training Program","Kaitlyn.Dietz@floridadep.gov",IF('Form Responses 2'!D2:D974="Volunteer","Shannon.Rininger@floridadep.gov",IF('Form Responses 2'!D2:D974="Administration","Lia.Sansom@floridadep.gov",IF('Form Responses 2'!D2:D974="Research/Pam","Pamela.Marcum@floridadep.gov",IF('Form Responses 2'!D2:D974="Research/Shannon","Shannon.Dunnigan@floridadep.gov",IF('Form Responses 2'!D2:D974="Research/Silas","Silas.Tanner@floridadep.gov",IF('Form Responses 2'!D2:D974="Nikki Dix","Nikki.Dix@floridadep.gov",IF('Form Responses 2'!D2:D974="Pamela Marcum","Pamela.Marcum@floridadep.gov",IF('Form Responses 2'!D2:D974="Shannon Dunnigan","Shannon.Dunnigan@floridadep.gov",IF('Form Responses 2'!D2:D974="Silas Tanner","Silas.Tanner@floridadep.gov",IF('Form Responses 2'!D2:D974="Katie Petrinec","Katherine.Petrinec@floridadep.gov",IF('Form Responses 2'!D2:D974="Scott Eastman","Scott.Eastman@floridadep.gov",IF('Form Responses 2'!D2:D974="Suzi Porterfield","Susan.Porterfield@floridadep.gov",IF('Form Responses 2'!D2:D974="Jimmy Tomazinis","James.Tomazinis@floridadep.gov",IF('Form Responses 2'!D2:D974="Josie Spearman","Josephine.Spearman@floridadep.gov",""))))))))))))))))))))</f>
        <v>Pamela.Marcum@floridadep.gov</v>
      </c>
      <c r="AG2" s="17" t="s">
        <v>7</v>
      </c>
      <c r="AH2" s="12"/>
      <c r="AI2" s="12" t="s">
        <v>8</v>
      </c>
      <c r="AJ2" s="12" t="s">
        <v>8</v>
      </c>
      <c r="AK2" s="12" t="s">
        <v>8</v>
      </c>
      <c r="AL2" s="12" t="s">
        <v>8</v>
      </c>
    </row>
    <row r="3">
      <c r="A3" s="10">
        <f>IFERROR(__xludf.DUMMYFUNCTION("""COMPUTED_VALUE"""),42342.63713599537)</f>
        <v>42342.63714</v>
      </c>
      <c r="B3" s="11" t="str">
        <f>IFERROR(__xludf.DUMMYFUNCTION("""COMPUTED_VALUE"""),"Kenneth Rainer")</f>
        <v>Kenneth Rainer</v>
      </c>
      <c r="C3" t="str">
        <f>IFERROR(__xludf.DUMMYFUNCTION("""COMPUTED_VALUE"""),"KennethCRainer@gmail.com")</f>
        <v>KennethCRainer@gmail.com</v>
      </c>
      <c r="D3" t="str">
        <f>IFERROR(__xludf.DUMMYFUNCTION("""COMPUTED_VALUE"""),"Education")</f>
        <v>Education</v>
      </c>
      <c r="E3" t="str">
        <f>IFERROR(__xludf.DUMMYFUNCTION("""COMPUTED_VALUE"""),"Aunt Kate's")</f>
        <v>Aunt Kate's</v>
      </c>
      <c r="F3" s="13"/>
      <c r="G3" s="14">
        <f>IFERROR(__xludf.DUMMYFUNCTION("""COMPUTED_VALUE"""),42342.0)</f>
        <v>42342</v>
      </c>
      <c r="H3" t="str">
        <f>IFERROR(__xludf.DUMMYFUNCTION("""COMPUTED_VALUE"""),"Field Station")</f>
        <v>Field Station</v>
      </c>
      <c r="I3" s="15">
        <f>IFERROR(__xludf.DUMMYFUNCTION("""COMPUTED_VALUE"""),0.052083333332120674)</f>
        <v>0.05208333333</v>
      </c>
      <c r="J3" s="16">
        <f>IFERROR(__xludf.DUMMYFUNCTION("""COMPUTED_VALUE"""),0.6666666666678793)</f>
        <v>0.6666666667</v>
      </c>
      <c r="K3" t="str">
        <f>IFERROR(__xludf.DUMMYFUNCTION("""COMPUTED_VALUE"""),"F 20ft Sea Ark (Easy 200)")</f>
        <v>F 20ft Sea Ark (Easy 200)</v>
      </c>
      <c r="M3" t="str">
        <f>IFERROR(__xludf.DUMMYFUNCTION("""COMPUTED_VALUE"""),"Ford F150 2015 (White) - DEP21448")</f>
        <v>Ford F150 2015 (White) - DEP21448</v>
      </c>
      <c r="N3" t="str">
        <f>IFERROR(__xludf.DUMMYFUNCTION("""COMPUTED_VALUE"""),"Joseph Burgess, Pam Marcum, (480) 332-5414")</f>
        <v>Joseph Burgess, Pam Marcum, (480) 332-5414</v>
      </c>
      <c r="O3" t="str">
        <f>IFERROR(__xludf.DUMMYFUNCTION("""COMPUTED_VALUE"""),"Pam Marcum, (480) 332-5414, Matt Monroe, Kenneth Rainer, (936) 499-1853")</f>
        <v>Pam Marcum, (480) 332-5414, Matt Monroe, Kenneth Rainer, (936) 499-1853</v>
      </c>
      <c r="P3" t="str">
        <f>IFERROR(__xludf.DUMMYFUNCTION("""COMPUTED_VALUE"""),"Nikki Dix, (352) 219-4079")</f>
        <v>Nikki Dix, (352) 219-4079</v>
      </c>
      <c r="AE3" s="11"/>
      <c r="AF3" s="12" t="s">
        <v>9</v>
      </c>
      <c r="AG3" s="17"/>
      <c r="AH3" s="12"/>
      <c r="AI3" s="12" t="s">
        <v>8</v>
      </c>
      <c r="AJ3" s="12" t="s">
        <v>8</v>
      </c>
      <c r="AK3" s="12" t="s">
        <v>8</v>
      </c>
      <c r="AL3" s="12" t="s">
        <v>8</v>
      </c>
    </row>
    <row r="4">
      <c r="A4" s="10">
        <f>IFERROR(__xludf.DUMMYFUNCTION("""COMPUTED_VALUE"""),42346.64814518519)</f>
        <v>42346.64815</v>
      </c>
      <c r="B4" s="11" t="str">
        <f>IFERROR(__xludf.DUMMYFUNCTION("""COMPUTED_VALUE"""),"Kenneth Rainer")</f>
        <v>Kenneth Rainer</v>
      </c>
      <c r="C4" t="str">
        <f>IFERROR(__xludf.DUMMYFUNCTION("""COMPUTED_VALUE"""),"Kenneth.Rainer@dep.state.fl.us")</f>
        <v>Kenneth.Rainer@dep.state.fl.us</v>
      </c>
      <c r="D4" t="str">
        <f>IFERROR(__xludf.DUMMYFUNCTION("""COMPUTED_VALUE"""),"Education")</f>
        <v>Education</v>
      </c>
      <c r="E4" t="str">
        <f>IFERROR(__xludf.DUMMYFUNCTION("""COMPUTED_VALUE"""),"Vilano Boat Ramp (Campeche Cove)")</f>
        <v>Vilano Boat Ramp (Campeche Cove)</v>
      </c>
      <c r="F4" s="13"/>
      <c r="G4" s="14">
        <f>IFERROR(__xludf.DUMMYFUNCTION("""COMPUTED_VALUE"""),42347.0)</f>
        <v>42347</v>
      </c>
      <c r="H4" t="str">
        <f>IFERROR(__xludf.DUMMYFUNCTION("""COMPUTED_VALUE"""),"Moses Creek")</f>
        <v>Moses Creek</v>
      </c>
      <c r="I4" s="15">
        <f>IFERROR(__xludf.DUMMYFUNCTION("""COMPUTED_VALUE"""),0.375)</f>
        <v>0.375</v>
      </c>
      <c r="J4" s="16">
        <f>IFERROR(__xludf.DUMMYFUNCTION("""COMPUTED_VALUE"""),42347.70833333333)</f>
        <v>42347.70833</v>
      </c>
      <c r="K4" t="str">
        <f>IFERROR(__xludf.DUMMYFUNCTION("""COMPUTED_VALUE"""),"F 20ft Sea Ark (Easy 200)")</f>
        <v>F 20ft Sea Ark (Easy 200)</v>
      </c>
      <c r="M4" t="str">
        <f>IFERROR(__xludf.DUMMYFUNCTION("""COMPUTED_VALUE"""),"Ford F150 2015 (White) - DEP21448")</f>
        <v>Ford F150 2015 (White) - DEP21448</v>
      </c>
      <c r="N4" t="str">
        <f>IFERROR(__xludf.DUMMYFUNCTION("""COMPUTED_VALUE"""),"Pam Marcum, (480) 332-5414, Kenneth Rainer, (936) 499-1853")</f>
        <v>Pam Marcum, (480) 332-5414, Kenneth Rainer, (936) 499-1853</v>
      </c>
      <c r="O4" t="str">
        <f>IFERROR(__xludf.DUMMYFUNCTION("""COMPUTED_VALUE"""),"Volunteers")</f>
        <v>Volunteers</v>
      </c>
      <c r="P4" t="str">
        <f>IFERROR(__xludf.DUMMYFUNCTION("""COMPUTED_VALUE"""),"Kenneth Rainer, (936) 499-1853")</f>
        <v>Kenneth Rainer, (936) 499-1853</v>
      </c>
      <c r="AE4" s="11"/>
      <c r="AF4" t="s">
        <v>9</v>
      </c>
      <c r="AG4" s="18"/>
      <c r="AH4" s="12"/>
      <c r="AI4" s="12" t="s">
        <v>8</v>
      </c>
      <c r="AJ4" s="12" t="s">
        <v>8</v>
      </c>
      <c r="AK4" s="12" t="s">
        <v>8</v>
      </c>
      <c r="AL4" s="12" t="s">
        <v>8</v>
      </c>
    </row>
    <row r="5">
      <c r="A5" s="10">
        <f>IFERROR(__xludf.DUMMYFUNCTION("""COMPUTED_VALUE"""),42536.53945409722)</f>
        <v>42536.53945</v>
      </c>
      <c r="B5" s="11" t="str">
        <f>IFERROR(__xludf.DUMMYFUNCTION("""COMPUTED_VALUE"""),"Kenneth Rainer")</f>
        <v>Kenneth Rainer</v>
      </c>
      <c r="C5" t="str">
        <f>IFERROR(__xludf.DUMMYFUNCTION("""COMPUTED_VALUE"""),"Kenneth.Rainer@dep.state.fl.us")</f>
        <v>Kenneth.Rainer@dep.state.fl.us</v>
      </c>
      <c r="D5" t="str">
        <f>IFERROR(__xludf.DUMMYFUNCTION("""COMPUTED_VALUE"""),"Education")</f>
        <v>Education</v>
      </c>
      <c r="E5" t="str">
        <f>IFERROR(__xludf.DUMMYFUNCTION("""COMPUTED_VALUE"""),"Usina Boat Ramp (Aunt Kate's)")</f>
        <v>Usina Boat Ramp (Aunt Kate's)</v>
      </c>
      <c r="F5" s="13"/>
      <c r="G5" s="14">
        <f>IFERROR(__xludf.DUMMYFUNCTION("""COMPUTED_VALUE"""),42537.0)</f>
        <v>42537</v>
      </c>
      <c r="H5" t="str">
        <f>IFERROR(__xludf.DUMMYFUNCTION("""COMPUTED_VALUE"""),"Wright's Landing (Tolomato River)")</f>
        <v>Wright's Landing (Tolomato River)</v>
      </c>
      <c r="I5" s="15">
        <f>IFERROR(__xludf.DUMMYFUNCTION("""COMPUTED_VALUE"""),0.16666666666787933)</f>
        <v>0.1666666667</v>
      </c>
      <c r="J5" s="16">
        <f>IFERROR(__xludf.DUMMYFUNCTION("""COMPUTED_VALUE"""),42537.58333333333)</f>
        <v>42537.58333</v>
      </c>
      <c r="K5" t="str">
        <f>IFERROR(__xludf.DUMMYFUNCTION("""COMPUTED_VALUE"""),"23ft Skiff FL7972LJ DEP07613")</f>
        <v>23ft Skiff FL7972LJ DEP07613</v>
      </c>
      <c r="M5" t="str">
        <f>IFERROR(__xludf.DUMMYFUNCTION("""COMPUTED_VALUE"""),"Ford F150 2015 (White) - DEP21448")</f>
        <v>Ford F150 2015 (White) - DEP21448</v>
      </c>
      <c r="N5" t="str">
        <f>IFERROR(__xludf.DUMMYFUNCTION("""COMPUTED_VALUE"""),"Kenneth Rainer, (936) 499-1853")</f>
        <v>Kenneth Rainer, (936) 499-1853</v>
      </c>
      <c r="O5" t="str">
        <f>IFERROR(__xludf.DUMMYFUNCTION("""COMPUTED_VALUE"""),"Erin Elliot, Meghan Higgins, 7-9yr campers (June 13-17, 2016 week)")</f>
        <v>Erin Elliot, Meghan Higgins, 7-9yr campers (June 13-17, 2016 week)</v>
      </c>
      <c r="P5" t="str">
        <f>IFERROR(__xludf.DUMMYFUNCTION("""COMPUTED_VALUE"""),"Kenneth Rainer, (936) 499-1853")</f>
        <v>Kenneth Rainer, (936) 499-1853</v>
      </c>
      <c r="AE5" s="11"/>
      <c r="AF5" t="s">
        <v>9</v>
      </c>
      <c r="AG5" s="18"/>
      <c r="AH5" s="12"/>
      <c r="AI5" s="12" t="s">
        <v>8</v>
      </c>
      <c r="AJ5" s="12" t="s">
        <v>8</v>
      </c>
      <c r="AK5" s="12" t="s">
        <v>8</v>
      </c>
      <c r="AL5" s="12" t="s">
        <v>8</v>
      </c>
    </row>
    <row r="6">
      <c r="A6" s="10">
        <f>IFERROR(__xludf.DUMMYFUNCTION("""COMPUTED_VALUE"""),42542.45380643518)</f>
        <v>42542.45381</v>
      </c>
      <c r="B6" s="11" t="str">
        <f>IFERROR(__xludf.DUMMYFUNCTION("""COMPUTED_VALUE"""),"Kenneth Rainer")</f>
        <v>Kenneth Rainer</v>
      </c>
      <c r="C6" t="str">
        <f>IFERROR(__xludf.DUMMYFUNCTION("""COMPUTED_VALUE"""),"Kenneth.Rainer@dep.state.fl.us")</f>
        <v>Kenneth.Rainer@dep.state.fl.us</v>
      </c>
      <c r="D6" t="str">
        <f>IFERROR(__xludf.DUMMYFUNCTION("""COMPUTED_VALUE"""),"Education")</f>
        <v>Education</v>
      </c>
      <c r="E6" t="str">
        <f>IFERROR(__xludf.DUMMYFUNCTION("""COMPUTED_VALUE"""),"Usina Boat Ramp")</f>
        <v>Usina Boat Ramp</v>
      </c>
      <c r="F6" s="13"/>
      <c r="G6" s="14">
        <f>IFERROR(__xludf.DUMMYFUNCTION("""COMPUTED_VALUE"""),42543.0)</f>
        <v>42543</v>
      </c>
      <c r="H6" t="str">
        <f>IFERROR(__xludf.DUMMYFUNCTION("""COMPUTED_VALUE"""),"Shell Bluff and then to tip of Guana Peninsula")</f>
        <v>Shell Bluff and then to tip of Guana Peninsula</v>
      </c>
      <c r="I6" s="15">
        <f>IFERROR(__xludf.DUMMYFUNCTION("""COMPUTED_VALUE"""),0.375)</f>
        <v>0.375</v>
      </c>
      <c r="J6" s="16">
        <f>IFERROR(__xludf.DUMMYFUNCTION("""COMPUTED_VALUE"""),42543.54166666667)</f>
        <v>42543.54167</v>
      </c>
      <c r="K6" t="str">
        <f>IFERROR(__xludf.DUMMYFUNCTION("""COMPUTED_VALUE"""),"23ft Skiff FL7972LJ DEP07613")</f>
        <v>23ft Skiff FL7972LJ DEP07613</v>
      </c>
      <c r="M6" t="str">
        <f>IFERROR(__xludf.DUMMYFUNCTION("""COMPUTED_VALUE"""),"Ford F150 2015 (White) - DEP21448")</f>
        <v>Ford F150 2015 (White) - DEP21448</v>
      </c>
      <c r="N6" t="str">
        <f>IFERROR(__xludf.DUMMYFUNCTION("""COMPUTED_VALUE"""),"Kenneth Rainer, (936) 499-1853")</f>
        <v>Kenneth Rainer, (936) 499-1853</v>
      </c>
      <c r="O6" t="str">
        <f>IFERROR(__xludf.DUMMYFUNCTION("""COMPUTED_VALUE"""),"Erin Elliot, Meghan Higgins, 10-12yr Ocean Week Campers")</f>
        <v>Erin Elliot, Meghan Higgins, 10-12yr Ocean Week Campers</v>
      </c>
      <c r="P6" t="str">
        <f>IFERROR(__xludf.DUMMYFUNCTION("""COMPUTED_VALUE"""),"Kenneth Rainer, (936) 499-1853")</f>
        <v>Kenneth Rainer, (936) 499-1853</v>
      </c>
      <c r="AE6" s="11"/>
      <c r="AF6" t="s">
        <v>9</v>
      </c>
      <c r="AG6" s="18"/>
      <c r="AH6" s="12"/>
      <c r="AI6" s="12" t="s">
        <v>8</v>
      </c>
      <c r="AJ6" s="12" t="s">
        <v>8</v>
      </c>
      <c r="AK6" s="12" t="s">
        <v>8</v>
      </c>
      <c r="AL6" s="12" t="s">
        <v>8</v>
      </c>
    </row>
    <row r="7">
      <c r="A7" s="10">
        <f>IFERROR(__xludf.DUMMYFUNCTION("""COMPUTED_VALUE"""),42596.45352641204)</f>
        <v>42596.45353</v>
      </c>
      <c r="B7" s="11" t="str">
        <f>IFERROR(__xludf.DUMMYFUNCTION("""COMPUTED_VALUE"""),"Kenneth Rainer")</f>
        <v>Kenneth Rainer</v>
      </c>
      <c r="C7" t="str">
        <f>IFERROR(__xludf.DUMMYFUNCTION("""COMPUTED_VALUE"""),"Kenneth.Rainer@dep.state.fl.us")</f>
        <v>Kenneth.Rainer@dep.state.fl.us</v>
      </c>
      <c r="D7" t="str">
        <f>IFERROR(__xludf.DUMMYFUNCTION("""COMPUTED_VALUE"""),"Education")</f>
        <v>Education</v>
      </c>
      <c r="E7" t="str">
        <f>IFERROR(__xludf.DUMMYFUNCTION("""COMPUTED_VALUE"""),"Vilano Boat Ramp")</f>
        <v>Vilano Boat Ramp</v>
      </c>
      <c r="F7" s="13"/>
      <c r="G7" s="14">
        <f>IFERROR(__xludf.DUMMYFUNCTION("""COMPUTED_VALUE"""),42597.0)</f>
        <v>42597</v>
      </c>
      <c r="H7" t="str">
        <f>IFERROR(__xludf.DUMMYFUNCTION("""COMPUTED_VALUE"""),"Northern Component to conduct Nekton Surveys")</f>
        <v>Northern Component to conduct Nekton Surveys</v>
      </c>
      <c r="I7" s="15">
        <f>IFERROR(__xludf.DUMMYFUNCTION("""COMPUTED_VALUE"""),0.28125)</f>
        <v>0.28125</v>
      </c>
      <c r="J7" s="16">
        <f>IFERROR(__xludf.DUMMYFUNCTION("""COMPUTED_VALUE"""),42536.54166666667)</f>
        <v>42536.54167</v>
      </c>
      <c r="K7" t="str">
        <f>IFERROR(__xludf.DUMMYFUNCTION("""COMPUTED_VALUE"""),"23ft Skiff FL7972LJ DEP07613")</f>
        <v>23ft Skiff FL7972LJ DEP07613</v>
      </c>
      <c r="M7" t="str">
        <f>IFERROR(__xludf.DUMMYFUNCTION("""COMPUTED_VALUE"""),"Ford F150 2015 (White) - DEP21448")</f>
        <v>Ford F150 2015 (White) - DEP21448</v>
      </c>
      <c r="N7" t="str">
        <f>IFERROR(__xludf.DUMMYFUNCTION("""COMPUTED_VALUE"""),"Kenneth Rainer, (936) 499-1853")</f>
        <v>Kenneth Rainer, (936) 499-1853</v>
      </c>
      <c r="O7" t="str">
        <f>IFERROR(__xludf.DUMMYFUNCTION("""COMPUTED_VALUE"""),"Ed McGinley")</f>
        <v>Ed McGinley</v>
      </c>
      <c r="P7" t="str">
        <f>IFERROR(__xludf.DUMMYFUNCTION("""COMPUTED_VALUE"""),"Kenneth Rainer, (936) 499-1853")</f>
        <v>Kenneth Rainer, (936) 499-1853</v>
      </c>
      <c r="AE7" s="11"/>
      <c r="AF7" t="s">
        <v>9</v>
      </c>
      <c r="AG7" s="18"/>
      <c r="AH7" s="12"/>
      <c r="AI7" s="12" t="s">
        <v>8</v>
      </c>
      <c r="AJ7" s="12" t="s">
        <v>8</v>
      </c>
      <c r="AK7" s="12" t="s">
        <v>8</v>
      </c>
      <c r="AL7" s="12" t="s">
        <v>8</v>
      </c>
    </row>
    <row r="8">
      <c r="A8" s="10">
        <f>IFERROR(__xludf.DUMMYFUNCTION("""COMPUTED_VALUE"""),42628.46103982639)</f>
        <v>42628.46104</v>
      </c>
      <c r="B8" s="11" t="str">
        <f>IFERROR(__xludf.DUMMYFUNCTION("""COMPUTED_VALUE"""),"Kenneth Rainer")</f>
        <v>Kenneth Rainer</v>
      </c>
      <c r="C8" t="str">
        <f>IFERROR(__xludf.DUMMYFUNCTION("""COMPUTED_VALUE"""),"Kenneth.Rainer@dep.state.fl.us")</f>
        <v>Kenneth.Rainer@dep.state.fl.us</v>
      </c>
      <c r="D8" t="str">
        <f>IFERROR(__xludf.DUMMYFUNCTION("""COMPUTED_VALUE"""),"Education")</f>
        <v>Education</v>
      </c>
      <c r="E8" t="str">
        <f>IFERROR(__xludf.DUMMYFUNCTION("""COMPUTED_VALUE"""),"Vilano Boat Ramp")</f>
        <v>Vilano Boat Ramp</v>
      </c>
      <c r="F8" s="13"/>
      <c r="G8" s="14">
        <f>IFERROR(__xludf.DUMMYFUNCTION("""COMPUTED_VALUE"""),42629.0)</f>
        <v>42629</v>
      </c>
      <c r="H8" t="str">
        <f>IFERROR(__xludf.DUMMYFUNCTION("""COMPUTED_VALUE"""),"Nekton Survey Sample Sites")</f>
        <v>Nekton Survey Sample Sites</v>
      </c>
      <c r="I8" s="15">
        <f>IFERROR(__xludf.DUMMYFUNCTION("""COMPUTED_VALUE"""),0.2916666666678793)</f>
        <v>0.2916666667</v>
      </c>
      <c r="J8" s="16">
        <f>IFERROR(__xludf.DUMMYFUNCTION("""COMPUTED_VALUE"""),42629.54166666667)</f>
        <v>42629.54167</v>
      </c>
      <c r="K8" t="str">
        <f>IFERROR(__xludf.DUMMYFUNCTION("""COMPUTED_VALUE"""),"23ft Skiff FL7972LJ DEP07613")</f>
        <v>23ft Skiff FL7972LJ DEP07613</v>
      </c>
      <c r="M8" t="str">
        <f>IFERROR(__xludf.DUMMYFUNCTION("""COMPUTED_VALUE"""),"Ford F150 2015 (White) - DEP21448")</f>
        <v>Ford F150 2015 (White) - DEP21448</v>
      </c>
      <c r="N8" t="str">
        <f>IFERROR(__xludf.DUMMYFUNCTION("""COMPUTED_VALUE"""),"Kenneth Rainer, (936) 499-1853")</f>
        <v>Kenneth Rainer, (936) 499-1853</v>
      </c>
      <c r="O8" t="str">
        <f>IFERROR(__xludf.DUMMYFUNCTION("""COMPUTED_VALUE"""),"Ed McGinley, Flagler Students")</f>
        <v>Ed McGinley, Flagler Students</v>
      </c>
      <c r="P8" t="str">
        <f>IFERROR(__xludf.DUMMYFUNCTION("""COMPUTED_VALUE"""),"Kenneth Rainer, (936) 499-1853")</f>
        <v>Kenneth Rainer, (936) 499-1853</v>
      </c>
      <c r="AE8" s="11"/>
      <c r="AF8" t="s">
        <v>9</v>
      </c>
      <c r="AG8" s="18"/>
      <c r="AH8" s="12"/>
      <c r="AI8" s="12" t="s">
        <v>8</v>
      </c>
      <c r="AJ8" s="12" t="s">
        <v>8</v>
      </c>
      <c r="AK8" s="12" t="s">
        <v>8</v>
      </c>
      <c r="AL8" s="12" t="s">
        <v>8</v>
      </c>
    </row>
    <row r="9">
      <c r="A9" s="10">
        <f>IFERROR(__xludf.DUMMYFUNCTION("""COMPUTED_VALUE"""),42642.617500659726)</f>
        <v>42642.6175</v>
      </c>
      <c r="B9" s="11" t="str">
        <f>IFERROR(__xludf.DUMMYFUNCTION("""COMPUTED_VALUE"""),"Kenneth Rainer")</f>
        <v>Kenneth Rainer</v>
      </c>
      <c r="C9" t="str">
        <f>IFERROR(__xludf.DUMMYFUNCTION("""COMPUTED_VALUE"""),"Kenneth.Rainer@dep.state.fl.us")</f>
        <v>Kenneth.Rainer@dep.state.fl.us</v>
      </c>
      <c r="D9" t="str">
        <f>IFERROR(__xludf.DUMMYFUNCTION("""COMPUTED_VALUE"""),"Education")</f>
        <v>Education</v>
      </c>
      <c r="E9" t="str">
        <f>IFERROR(__xludf.DUMMYFUNCTION("""COMPUTED_VALUE"""),"Vilano Boat Ramp")</f>
        <v>Vilano Boat Ramp</v>
      </c>
      <c r="F9" s="13"/>
      <c r="G9" s="14">
        <f>IFERROR(__xludf.DUMMYFUNCTION("""COMPUTED_VALUE"""),42643.0)</f>
        <v>42643</v>
      </c>
      <c r="H9" t="str">
        <f>IFERROR(__xludf.DUMMYFUNCTION("""COMPUTED_VALUE"""),"Nekton Survey (northern component)")</f>
        <v>Nekton Survey (northern component)</v>
      </c>
      <c r="I9" s="15">
        <f>IFERROR(__xludf.DUMMYFUNCTION("""COMPUTED_VALUE"""),0.3333333333321207)</f>
        <v>0.3333333333</v>
      </c>
      <c r="J9" s="16">
        <f>IFERROR(__xludf.DUMMYFUNCTION("""COMPUTED_VALUE"""),42643.5)</f>
        <v>42643.5</v>
      </c>
      <c r="K9" t="str">
        <f>IFERROR(__xludf.DUMMYFUNCTION("""COMPUTED_VALUE"""),"23ft Skiff FL7972LJ DEP07613")</f>
        <v>23ft Skiff FL7972LJ DEP07613</v>
      </c>
      <c r="M9" t="str">
        <f>IFERROR(__xludf.DUMMYFUNCTION("""COMPUTED_VALUE"""),"Ford F150 2015 (White) - DEP21448")</f>
        <v>Ford F150 2015 (White) - DEP21448</v>
      </c>
      <c r="N9" t="str">
        <f>IFERROR(__xludf.DUMMYFUNCTION("""COMPUTED_VALUE"""),"Kenneth Rainer, (936) 499-1853")</f>
        <v>Kenneth Rainer, (936) 499-1853</v>
      </c>
      <c r="O9" t="str">
        <f>IFERROR(__xludf.DUMMYFUNCTION("""COMPUTED_VALUE"""),"Ed McGinley, Molly Hoffman, Tim Mullen")</f>
        <v>Ed McGinley, Molly Hoffman, Tim Mullen</v>
      </c>
      <c r="P9" t="str">
        <f>IFERROR(__xludf.DUMMYFUNCTION("""COMPUTED_VALUE"""),"Kenneth Rainer, (936) 499-1853")</f>
        <v>Kenneth Rainer, (936) 499-1853</v>
      </c>
      <c r="AE9" s="11"/>
      <c r="AF9" t="s">
        <v>9</v>
      </c>
      <c r="AG9" s="18"/>
      <c r="AH9" s="12"/>
      <c r="AI9" s="12" t="s">
        <v>8</v>
      </c>
      <c r="AJ9" s="12" t="s">
        <v>8</v>
      </c>
      <c r="AK9" s="12" t="s">
        <v>8</v>
      </c>
      <c r="AL9" s="12" t="s">
        <v>8</v>
      </c>
    </row>
    <row r="10">
      <c r="A10" s="10">
        <f>IFERROR(__xludf.DUMMYFUNCTION("""COMPUTED_VALUE"""),42655.689032650465)</f>
        <v>42655.68903</v>
      </c>
      <c r="B10" s="11" t="str">
        <f>IFERROR(__xludf.DUMMYFUNCTION("""COMPUTED_VALUE"""),"Kenneth Rainer")</f>
        <v>Kenneth Rainer</v>
      </c>
      <c r="C10" t="str">
        <f>IFERROR(__xludf.DUMMYFUNCTION("""COMPUTED_VALUE"""),"Kenneth.Rainer@dep.state.fl.us")</f>
        <v>Kenneth.Rainer@dep.state.fl.us</v>
      </c>
      <c r="D10" t="str">
        <f>IFERROR(__xludf.DUMMYFUNCTION("""COMPUTED_VALUE"""),"Education")</f>
        <v>Education</v>
      </c>
      <c r="E10" t="str">
        <f>IFERROR(__xludf.DUMMYFUNCTION("""COMPUTED_VALUE"""),"Vilano Boat Ramp")</f>
        <v>Vilano Boat Ramp</v>
      </c>
      <c r="F10" s="13"/>
      <c r="G10" s="14">
        <f>IFERROR(__xludf.DUMMYFUNCTION("""COMPUTED_VALUE"""),42656.0)</f>
        <v>42656</v>
      </c>
      <c r="H10" t="str">
        <f>IFERROR(__xludf.DUMMYFUNCTION("""COMPUTED_VALUE"""),"Southern Component - Nekton Trawl")</f>
        <v>Southern Component - Nekton Trawl</v>
      </c>
      <c r="I10" s="15">
        <f>IFERROR(__xludf.DUMMYFUNCTION("""COMPUTED_VALUE"""),0.2708333333321207)</f>
        <v>0.2708333333</v>
      </c>
      <c r="J10" s="16">
        <f>IFERROR(__xludf.DUMMYFUNCTION("""COMPUTED_VALUE"""),42656.5)</f>
        <v>42656.5</v>
      </c>
      <c r="K10" t="str">
        <f>IFERROR(__xludf.DUMMYFUNCTION("""COMPUTED_VALUE"""),"23ft Skiff FL7972LJ DEP07613")</f>
        <v>23ft Skiff FL7972LJ DEP07613</v>
      </c>
      <c r="M10" t="str">
        <f>IFERROR(__xludf.DUMMYFUNCTION("""COMPUTED_VALUE"""),"Ford F150 2015 (White) - DEP21448")</f>
        <v>Ford F150 2015 (White) - DEP21448</v>
      </c>
      <c r="N10" t="str">
        <f>IFERROR(__xludf.DUMMYFUNCTION("""COMPUTED_VALUE"""),"Kenneth Rainer, (936) 499-1853")</f>
        <v>Kenneth Rainer, (936) 499-1853</v>
      </c>
      <c r="O10" t="str">
        <f>IFERROR(__xludf.DUMMYFUNCTION("""COMPUTED_VALUE"""),"Josephine Spearman, Nicholas Scheffer, Benjamin Rome, Ed McGinley")</f>
        <v>Josephine Spearman, Nicholas Scheffer, Benjamin Rome, Ed McGinley</v>
      </c>
      <c r="P10" t="str">
        <f>IFERROR(__xludf.DUMMYFUNCTION("""COMPUTED_VALUE"""),"Kenneth Rainer, (936) 499-1853")</f>
        <v>Kenneth Rainer, (936) 499-1853</v>
      </c>
      <c r="AE10" s="11"/>
      <c r="AF10" t="s">
        <v>9</v>
      </c>
      <c r="AG10" s="18"/>
      <c r="AH10" s="12"/>
      <c r="AI10" s="12" t="s">
        <v>8</v>
      </c>
      <c r="AJ10" s="12" t="s">
        <v>8</v>
      </c>
      <c r="AK10" s="12" t="s">
        <v>8</v>
      </c>
      <c r="AL10" s="12" t="s">
        <v>8</v>
      </c>
    </row>
    <row r="11">
      <c r="A11" s="10">
        <f>IFERROR(__xludf.DUMMYFUNCTION("""COMPUTED_VALUE"""),42710.56582446759)</f>
        <v>42710.56582</v>
      </c>
      <c r="B11" s="11" t="str">
        <f>IFERROR(__xludf.DUMMYFUNCTION("""COMPUTED_VALUE"""),"Kenneth Rainer")</f>
        <v>Kenneth Rainer</v>
      </c>
      <c r="C11" t="str">
        <f>IFERROR(__xludf.DUMMYFUNCTION("""COMPUTED_VALUE"""),"Kenneth.Rainer@dep.state.fl.us")</f>
        <v>Kenneth.Rainer@dep.state.fl.us</v>
      </c>
      <c r="D11" t="str">
        <f>IFERROR(__xludf.DUMMYFUNCTION("""COMPUTED_VALUE"""),"Education")</f>
        <v>Education</v>
      </c>
      <c r="E11" t="str">
        <f>IFERROR(__xludf.DUMMYFUNCTION("""COMPUTED_VALUE"""),"Vilano Boat Ramp")</f>
        <v>Vilano Boat Ramp</v>
      </c>
      <c r="F11" s="13"/>
      <c r="G11" s="14">
        <f>IFERROR(__xludf.DUMMYFUNCTION("""COMPUTED_VALUE"""),42711.0)</f>
        <v>42711</v>
      </c>
      <c r="H11" t="str">
        <f>IFERROR(__xludf.DUMMYFUNCTION("""COMPUTED_VALUE"""),"Nekton Sampling Sites")</f>
        <v>Nekton Sampling Sites</v>
      </c>
      <c r="I11" s="15">
        <f>IFERROR(__xludf.DUMMYFUNCTION("""COMPUTED_VALUE"""),0.5625)</f>
        <v>0.5625</v>
      </c>
      <c r="J11" s="16">
        <f>IFERROR(__xludf.DUMMYFUNCTION("""COMPUTED_VALUE"""),42711.70833333333)</f>
        <v>42711.70833</v>
      </c>
      <c r="K11" t="str">
        <f>IFERROR(__xludf.DUMMYFUNCTION("""COMPUTED_VALUE"""),"20ft Sea Ark FL5351SJ UNF 2015")</f>
        <v>20ft Sea Ark FL5351SJ UNF 2015</v>
      </c>
      <c r="M11" t="str">
        <f>IFERROR(__xludf.DUMMYFUNCTION("""COMPUTED_VALUE"""),"Ford F150 2015 (White) - DEP21448")</f>
        <v>Ford F150 2015 (White) - DEP21448</v>
      </c>
      <c r="N11" t="str">
        <f>IFERROR(__xludf.DUMMYFUNCTION("""COMPUTED_VALUE"""),"Kenneth Rainer, (936) 499-1853")</f>
        <v>Kenneth Rainer, (936) 499-1853</v>
      </c>
      <c r="O11" t="str">
        <f>IFERROR(__xludf.DUMMYFUNCTION("""COMPUTED_VALUE"""),"Ed McGinley")</f>
        <v>Ed McGinley</v>
      </c>
      <c r="P11" t="str">
        <f>IFERROR(__xludf.DUMMYFUNCTION("""COMPUTED_VALUE"""),"Kenneth Rainer, (936) 499-1853")</f>
        <v>Kenneth Rainer, (936) 499-1853</v>
      </c>
      <c r="AE11" s="11"/>
      <c r="AF11" t="s">
        <v>9</v>
      </c>
      <c r="AG11" s="18"/>
      <c r="AH11" s="12"/>
      <c r="AI11" s="12" t="s">
        <v>8</v>
      </c>
      <c r="AJ11" s="12" t="s">
        <v>8</v>
      </c>
      <c r="AK11" s="12" t="s">
        <v>8</v>
      </c>
      <c r="AL11" s="12" t="s">
        <v>8</v>
      </c>
    </row>
    <row r="12">
      <c r="A12" s="10">
        <f>IFERROR(__xludf.DUMMYFUNCTION("""COMPUTED_VALUE"""),42710.56651545139)</f>
        <v>42710.56652</v>
      </c>
      <c r="B12" s="11" t="str">
        <f>IFERROR(__xludf.DUMMYFUNCTION("""COMPUTED_VALUE"""),"Kenneth Rainer")</f>
        <v>Kenneth Rainer</v>
      </c>
      <c r="C12" t="str">
        <f>IFERROR(__xludf.DUMMYFUNCTION("""COMPUTED_VALUE"""),"Kenneth.Rainer@dep.state.fl.us")</f>
        <v>Kenneth.Rainer@dep.state.fl.us</v>
      </c>
      <c r="D12" t="str">
        <f>IFERROR(__xludf.DUMMYFUNCTION("""COMPUTED_VALUE"""),"Education")</f>
        <v>Education</v>
      </c>
      <c r="E12" t="str">
        <f>IFERROR(__xludf.DUMMYFUNCTION("""COMPUTED_VALUE"""),"Vilano Boat Ramp")</f>
        <v>Vilano Boat Ramp</v>
      </c>
      <c r="F12" s="13"/>
      <c r="G12" s="14">
        <f>IFERROR(__xludf.DUMMYFUNCTION("""COMPUTED_VALUE"""),42713.0)</f>
        <v>42713</v>
      </c>
      <c r="H12" t="str">
        <f>IFERROR(__xludf.DUMMYFUNCTION("""COMPUTED_VALUE"""),"Nekton Sampling Sites")</f>
        <v>Nekton Sampling Sites</v>
      </c>
      <c r="I12" s="15">
        <f>IFERROR(__xludf.DUMMYFUNCTION("""COMPUTED_VALUE"""),0.6458333333321207)</f>
        <v>0.6458333333</v>
      </c>
      <c r="J12" s="16">
        <f>IFERROR(__xludf.DUMMYFUNCTION("""COMPUTED_VALUE"""),42713.75)</f>
        <v>42713.75</v>
      </c>
      <c r="K12" t="str">
        <f>IFERROR(__xludf.DUMMYFUNCTION("""COMPUTED_VALUE"""),"20ft Sea Ark FL5351SJ UNF 2015")</f>
        <v>20ft Sea Ark FL5351SJ UNF 2015</v>
      </c>
      <c r="M12" t="str">
        <f>IFERROR(__xludf.DUMMYFUNCTION("""COMPUTED_VALUE"""),"Ford F150 2015 (White) - DEP21448")</f>
        <v>Ford F150 2015 (White) - DEP21448</v>
      </c>
      <c r="N12" t="str">
        <f>IFERROR(__xludf.DUMMYFUNCTION("""COMPUTED_VALUE"""),"Kenneth Rainer, (936) 499-1853")</f>
        <v>Kenneth Rainer, (936) 499-1853</v>
      </c>
      <c r="O12" t="str">
        <f>IFERROR(__xludf.DUMMYFUNCTION("""COMPUTED_VALUE"""),"Ed McGinley")</f>
        <v>Ed McGinley</v>
      </c>
      <c r="P12" t="str">
        <f>IFERROR(__xludf.DUMMYFUNCTION("""COMPUTED_VALUE"""),"Kenneth Rainer, (936) 499-1853")</f>
        <v>Kenneth Rainer, (936) 499-1853</v>
      </c>
      <c r="AE12" s="11"/>
      <c r="AF12" t="s">
        <v>9</v>
      </c>
      <c r="AG12" s="18"/>
      <c r="AH12" s="12"/>
      <c r="AI12" s="12" t="s">
        <v>8</v>
      </c>
      <c r="AJ12" s="12" t="s">
        <v>8</v>
      </c>
      <c r="AK12" s="12" t="s">
        <v>8</v>
      </c>
      <c r="AL12" s="12" t="s">
        <v>8</v>
      </c>
    </row>
    <row r="13">
      <c r="A13" s="10">
        <f>IFERROR(__xludf.DUMMYFUNCTION("""COMPUTED_VALUE"""),42775.52267298611)</f>
        <v>42775.52267</v>
      </c>
      <c r="B13" s="11" t="str">
        <f>IFERROR(__xludf.DUMMYFUNCTION("""COMPUTED_VALUE"""),"Kenneth Rainer")</f>
        <v>Kenneth Rainer</v>
      </c>
      <c r="C13" t="str">
        <f>IFERROR(__xludf.DUMMYFUNCTION("""COMPUTED_VALUE"""),"Kenneth.Rainer@dep.state.fl.us")</f>
        <v>Kenneth.Rainer@dep.state.fl.us</v>
      </c>
      <c r="D13" t="str">
        <f>IFERROR(__xludf.DUMMYFUNCTION("""COMPUTED_VALUE"""),"Education")</f>
        <v>Education</v>
      </c>
      <c r="E13" t="str">
        <f>IFERROR(__xludf.DUMMYFUNCTION("""COMPUTED_VALUE"""),"Vilano Boat Ramp")</f>
        <v>Vilano Boat Ramp</v>
      </c>
      <c r="F13" s="13"/>
      <c r="G13" s="14">
        <f>IFERROR(__xludf.DUMMYFUNCTION("""COMPUTED_VALUE"""),42776.0)</f>
        <v>42776</v>
      </c>
      <c r="H13" t="str">
        <f>IFERROR(__xludf.DUMMYFUNCTION("""COMPUTED_VALUE"""),"Southern Component")</f>
        <v>Southern Component</v>
      </c>
      <c r="I13" s="15">
        <f>IFERROR(__xludf.DUMMYFUNCTION("""COMPUTED_VALUE"""),0.3020833333321207)</f>
        <v>0.3020833333</v>
      </c>
      <c r="J13" s="16">
        <f>IFERROR(__xludf.DUMMYFUNCTION("""COMPUTED_VALUE"""),42776.5)</f>
        <v>42776.5</v>
      </c>
      <c r="M13" t="str">
        <f>IFERROR(__xludf.DUMMYFUNCTION("""COMPUTED_VALUE"""),"Ford F150 2015 (White) - DEP21448")</f>
        <v>Ford F150 2015 (White) - DEP21448</v>
      </c>
      <c r="N13" t="str">
        <f>IFERROR(__xludf.DUMMYFUNCTION("""COMPUTED_VALUE"""),"Kenneth Rainer, (936) 499-1853")</f>
        <v>Kenneth Rainer, (936) 499-1853</v>
      </c>
      <c r="O13" t="str">
        <f>IFERROR(__xludf.DUMMYFUNCTION("""COMPUTED_VALUE"""),"Lia Sansom, Ed McGinley, Two Flagler Students")</f>
        <v>Lia Sansom, Ed McGinley, Two Flagler Students</v>
      </c>
      <c r="P13" t="str">
        <f>IFERROR(__xludf.DUMMYFUNCTION("""COMPUTED_VALUE"""),"Kenneth Rainer, (936) 499-1853")</f>
        <v>Kenneth Rainer, (936) 499-1853</v>
      </c>
      <c r="AE13" s="11"/>
      <c r="AF13" t="s">
        <v>9</v>
      </c>
      <c r="AG13" s="18"/>
      <c r="AH13" s="12"/>
      <c r="AI13" s="12" t="s">
        <v>8</v>
      </c>
      <c r="AJ13" s="12" t="s">
        <v>8</v>
      </c>
      <c r="AK13" s="12" t="s">
        <v>8</v>
      </c>
      <c r="AL13" s="12" t="s">
        <v>8</v>
      </c>
    </row>
    <row r="14">
      <c r="A14" s="10">
        <f>IFERROR(__xludf.DUMMYFUNCTION("""COMPUTED_VALUE"""),42789.423990752315)</f>
        <v>42789.42399</v>
      </c>
      <c r="B14" s="11" t="str">
        <f>IFERROR(__xludf.DUMMYFUNCTION("""COMPUTED_VALUE"""),"Kenneth Rainer")</f>
        <v>Kenneth Rainer</v>
      </c>
      <c r="C14" t="str">
        <f>IFERROR(__xludf.DUMMYFUNCTION("""COMPUTED_VALUE"""),"Kenneth.Rainer@dep.state.fl.us")</f>
        <v>Kenneth.Rainer@dep.state.fl.us</v>
      </c>
      <c r="D14" t="str">
        <f>IFERROR(__xludf.DUMMYFUNCTION("""COMPUTED_VALUE"""),"Education")</f>
        <v>Education</v>
      </c>
      <c r="E14" t="str">
        <f>IFERROR(__xludf.DUMMYFUNCTION("""COMPUTED_VALUE"""),"Vilano Boat Ramp")</f>
        <v>Vilano Boat Ramp</v>
      </c>
      <c r="F14" s="13"/>
      <c r="G14" s="14">
        <f>IFERROR(__xludf.DUMMYFUNCTION("""COMPUTED_VALUE"""),42790.0)</f>
        <v>42790</v>
      </c>
      <c r="H14" t="str">
        <f>IFERROR(__xludf.DUMMYFUNCTION("""COMPUTED_VALUE"""),"Northern Component for Nekton Survey")</f>
        <v>Northern Component for Nekton Survey</v>
      </c>
      <c r="I14" s="15">
        <f>IFERROR(__xludf.DUMMYFUNCTION("""COMPUTED_VALUE"""),0.26388888889050577)</f>
        <v>0.2638888889</v>
      </c>
      <c r="J14" s="16">
        <f>IFERROR(__xludf.DUMMYFUNCTION("""COMPUTED_VALUE"""),42790.5)</f>
        <v>42790.5</v>
      </c>
      <c r="K14" t="str">
        <f>IFERROR(__xludf.DUMMYFUNCTION("""COMPUTED_VALUE"""),"23ft Skiff FL7972LJ DEP07613")</f>
        <v>23ft Skiff FL7972LJ DEP07613</v>
      </c>
      <c r="M14" t="str">
        <f>IFERROR(__xludf.DUMMYFUNCTION("""COMPUTED_VALUE"""),"Ford F150 2015 (White) - DEP21448")</f>
        <v>Ford F150 2015 (White) - DEP21448</v>
      </c>
      <c r="N14" t="str">
        <f>IFERROR(__xludf.DUMMYFUNCTION("""COMPUTED_VALUE"""),"Kenneth Rainer, (936) 499-1853")</f>
        <v>Kenneth Rainer, (936) 499-1853</v>
      </c>
      <c r="O14" t="str">
        <f>IFERROR(__xludf.DUMMYFUNCTION("""COMPUTED_VALUE"""),"Ed McGinley, 3 Flagler Students")</f>
        <v>Ed McGinley, 3 Flagler Students</v>
      </c>
      <c r="P14" t="str">
        <f>IFERROR(__xludf.DUMMYFUNCTION("""COMPUTED_VALUE"""),"Kenneth Rainer, (936) 499-1853")</f>
        <v>Kenneth Rainer, (936) 499-1853</v>
      </c>
      <c r="AE14" s="11"/>
      <c r="AF14" t="s">
        <v>9</v>
      </c>
      <c r="AG14" s="18"/>
      <c r="AH14" s="12"/>
      <c r="AI14" s="12" t="s">
        <v>8</v>
      </c>
      <c r="AJ14" s="12" t="s">
        <v>8</v>
      </c>
      <c r="AK14" s="12" t="s">
        <v>8</v>
      </c>
      <c r="AL14" s="12" t="s">
        <v>8</v>
      </c>
    </row>
    <row r="15">
      <c r="A15" s="10">
        <f>IFERROR(__xludf.DUMMYFUNCTION("""COMPUTED_VALUE"""),42804.322415208335)</f>
        <v>42804.32242</v>
      </c>
      <c r="B15" s="11" t="str">
        <f>IFERROR(__xludf.DUMMYFUNCTION("""COMPUTED_VALUE"""),"Kenneth Rainer")</f>
        <v>Kenneth Rainer</v>
      </c>
      <c r="C15" t="str">
        <f>IFERROR(__xludf.DUMMYFUNCTION("""COMPUTED_VALUE"""),"Kenneth.Rainer@dep.state.fl.us")</f>
        <v>Kenneth.Rainer@dep.state.fl.us</v>
      </c>
      <c r="D15" t="str">
        <f>IFERROR(__xludf.DUMMYFUNCTION("""COMPUTED_VALUE"""),"Education")</f>
        <v>Education</v>
      </c>
      <c r="E15" t="str">
        <f>IFERROR(__xludf.DUMMYFUNCTION("""COMPUTED_VALUE"""),"Usina Boat Ramp")</f>
        <v>Usina Boat Ramp</v>
      </c>
      <c r="F15" s="13"/>
      <c r="G15" s="14">
        <f>IFERROR(__xludf.DUMMYFUNCTION("""COMPUTED_VALUE"""),42804.0)</f>
        <v>42804</v>
      </c>
      <c r="H15" t="str">
        <f>IFERROR(__xludf.DUMMYFUNCTION("""COMPUTED_VALUE"""),"Northern Component of GTM")</f>
        <v>Northern Component of GTM</v>
      </c>
      <c r="I15" s="15">
        <f>IFERROR(__xludf.DUMMYFUNCTION("""COMPUTED_VALUE"""),0.3541666666678793)</f>
        <v>0.3541666667</v>
      </c>
      <c r="J15" s="16">
        <f>IFERROR(__xludf.DUMMYFUNCTION("""COMPUTED_VALUE"""),42804.54166666667)</f>
        <v>42804.54167</v>
      </c>
      <c r="K15" t="str">
        <f>IFERROR(__xludf.DUMMYFUNCTION("""COMPUTED_VALUE"""),"23ft Skiff FL7972LJ DEP07613")</f>
        <v>23ft Skiff FL7972LJ DEP07613</v>
      </c>
      <c r="N15" t="str">
        <f>IFERROR(__xludf.DUMMYFUNCTION("""COMPUTED_VALUE"""),"Kenneth Rainer, (936) 499-1853")</f>
        <v>Kenneth Rainer, (936) 499-1853</v>
      </c>
      <c r="O15" t="str">
        <f>IFERROR(__xludf.DUMMYFUNCTION("""COMPUTED_VALUE"""),"Kenneth Rainer, (936) 499-1853, McCoy students and teachers")</f>
        <v>Kenneth Rainer, (936) 499-1853, McCoy students and teachers</v>
      </c>
      <c r="P15" t="str">
        <f>IFERROR(__xludf.DUMMYFUNCTION("""COMPUTED_VALUE"""),"Kenneth Rainer, (936) 499-1853")</f>
        <v>Kenneth Rainer, (936) 499-1853</v>
      </c>
      <c r="AE15" s="11"/>
      <c r="AF15" t="s">
        <v>9</v>
      </c>
      <c r="AG15" s="18"/>
      <c r="AH15" s="12"/>
      <c r="AI15" s="12" t="s">
        <v>8</v>
      </c>
      <c r="AJ15" s="12" t="s">
        <v>8</v>
      </c>
      <c r="AK15" s="12" t="s">
        <v>8</v>
      </c>
      <c r="AL15" s="12" t="s">
        <v>8</v>
      </c>
    </row>
    <row r="16">
      <c r="A16" s="10">
        <f>IFERROR(__xludf.DUMMYFUNCTION("""COMPUTED_VALUE"""),42838.392366643515)</f>
        <v>42838.39237</v>
      </c>
      <c r="B16" s="11" t="str">
        <f>IFERROR(__xludf.DUMMYFUNCTION("""COMPUTED_VALUE"""),"Kenneth Rainer")</f>
        <v>Kenneth Rainer</v>
      </c>
      <c r="C16" t="str">
        <f>IFERROR(__xludf.DUMMYFUNCTION("""COMPUTED_VALUE"""),"Kenneth.Rainer@dep.state.fl.us")</f>
        <v>Kenneth.Rainer@dep.state.fl.us</v>
      </c>
      <c r="D16" t="str">
        <f>IFERROR(__xludf.DUMMYFUNCTION("""COMPUTED_VALUE"""),"Education")</f>
        <v>Education</v>
      </c>
      <c r="E16" t="str">
        <f>IFERROR(__xludf.DUMMYFUNCTION("""COMPUTED_VALUE"""),"Vilano Boat Ramp")</f>
        <v>Vilano Boat Ramp</v>
      </c>
      <c r="F16" s="13"/>
      <c r="G16" s="14">
        <f>IFERROR(__xludf.DUMMYFUNCTION("""COMPUTED_VALUE"""),42840.0)</f>
        <v>42840</v>
      </c>
      <c r="H16" t="str">
        <f>IFERROR(__xludf.DUMMYFUNCTION("""COMPUTED_VALUE"""),"Northern Component")</f>
        <v>Northern Component</v>
      </c>
      <c r="I16" s="15">
        <f>IFERROR(__xludf.DUMMYFUNCTION("""COMPUTED_VALUE"""),0.3333333333321207)</f>
        <v>0.3333333333</v>
      </c>
      <c r="J16" s="16">
        <f>IFERROR(__xludf.DUMMYFUNCTION("""COMPUTED_VALUE"""),42842.33333333333)</f>
        <v>42842.33333</v>
      </c>
      <c r="K16" t="str">
        <f>IFERROR(__xludf.DUMMYFUNCTION("""COMPUTED_VALUE"""),"23ft Skiff FL7972LJ DEP07613")</f>
        <v>23ft Skiff FL7972LJ DEP07613</v>
      </c>
      <c r="M16" t="str">
        <f>IFERROR(__xludf.DUMMYFUNCTION("""COMPUTED_VALUE"""),"Ford F150 2015 (White) - DEP21448")</f>
        <v>Ford F150 2015 (White) - DEP21448</v>
      </c>
      <c r="N16" t="str">
        <f>IFERROR(__xludf.DUMMYFUNCTION("""COMPUTED_VALUE"""),"Kenneth Rainer, (936) 499-1853")</f>
        <v>Kenneth Rainer, (936) 499-1853</v>
      </c>
      <c r="O16" t="str">
        <f>IFERROR(__xludf.DUMMYFUNCTION("""COMPUTED_VALUE"""),"Joe McCoy; Nancy Watson; Mary Turner; Michael Chen; Matthew Petty; Isabella Cioffi; Kaleb Cowart")</f>
        <v>Joe McCoy; Nancy Watson; Mary Turner; Michael Chen; Matthew Petty; Isabella Cioffi; Kaleb Cowart</v>
      </c>
      <c r="P16" t="str">
        <f>IFERROR(__xludf.DUMMYFUNCTION("""COMPUTED_VALUE"""),"Kenneth Rainer, (936) 499-1853")</f>
        <v>Kenneth Rainer, (936) 499-1853</v>
      </c>
      <c r="AE16" s="11"/>
      <c r="AF16" t="s">
        <v>9</v>
      </c>
      <c r="AG16" s="18"/>
      <c r="AH16" s="12"/>
      <c r="AI16" s="12" t="s">
        <v>8</v>
      </c>
      <c r="AJ16" s="12" t="s">
        <v>8</v>
      </c>
      <c r="AK16" s="12" t="s">
        <v>8</v>
      </c>
      <c r="AL16" s="12" t="s">
        <v>8</v>
      </c>
    </row>
    <row r="17">
      <c r="A17" s="10">
        <f>IFERROR(__xludf.DUMMYFUNCTION("""COMPUTED_VALUE"""),42845.52479333334)</f>
        <v>42845.52479</v>
      </c>
      <c r="B17" s="11" t="str">
        <f>IFERROR(__xludf.DUMMYFUNCTION("""COMPUTED_VALUE"""),"Kenneth Rainer")</f>
        <v>Kenneth Rainer</v>
      </c>
      <c r="C17" t="str">
        <f>IFERROR(__xludf.DUMMYFUNCTION("""COMPUTED_VALUE"""),"Kenneth.Rainer@dep.state.fl.us")</f>
        <v>Kenneth.Rainer@dep.state.fl.us</v>
      </c>
      <c r="D17" t="str">
        <f>IFERROR(__xludf.DUMMYFUNCTION("""COMPUTED_VALUE"""),"Education")</f>
        <v>Education</v>
      </c>
      <c r="E17" t="str">
        <f>IFERROR(__xludf.DUMMYFUNCTION("""COMPUTED_VALUE"""),"Vilano Boat Ramp")</f>
        <v>Vilano Boat Ramp</v>
      </c>
      <c r="F17" s="13"/>
      <c r="G17" s="14">
        <f>IFERROR(__xludf.DUMMYFUNCTION("""COMPUTED_VALUE"""),42846.0)</f>
        <v>42846</v>
      </c>
      <c r="H17" t="str">
        <f>IFERROR(__xludf.DUMMYFUNCTION("""COMPUTED_VALUE"""),"Northern Component")</f>
        <v>Northern Component</v>
      </c>
      <c r="I17" s="15">
        <f>IFERROR(__xludf.DUMMYFUNCTION("""COMPUTED_VALUE"""),0.2708333333321207)</f>
        <v>0.2708333333</v>
      </c>
      <c r="J17" s="16">
        <f>IFERROR(__xludf.DUMMYFUNCTION("""COMPUTED_VALUE"""),42846.54166666667)</f>
        <v>42846.54167</v>
      </c>
      <c r="K17" t="str">
        <f>IFERROR(__xludf.DUMMYFUNCTION("""COMPUTED_VALUE"""),"20ft Sea Ark FL5351SJ UNF 2015")</f>
        <v>20ft Sea Ark FL5351SJ UNF 2015</v>
      </c>
      <c r="M17" t="str">
        <f>IFERROR(__xludf.DUMMYFUNCTION("""COMPUTED_VALUE"""),"Ford F150 2015 (White) - DEP21448")</f>
        <v>Ford F150 2015 (White) - DEP21448</v>
      </c>
      <c r="N17" t="str">
        <f>IFERROR(__xludf.DUMMYFUNCTION("""COMPUTED_VALUE"""),"Kenneth Rainer, (936) 499-1853")</f>
        <v>Kenneth Rainer, (936) 499-1853</v>
      </c>
      <c r="O17" t="str">
        <f>IFERROR(__xludf.DUMMYFUNCTION("""COMPUTED_VALUE"""),"Nikki Dix, (352) 219-4079, Matt Monroe, Ed McGinley")</f>
        <v>Nikki Dix, (352) 219-4079, Matt Monroe, Ed McGinley</v>
      </c>
      <c r="P17" t="str">
        <f>IFERROR(__xludf.DUMMYFUNCTION("""COMPUTED_VALUE"""),"Kenneth Rainer, (936) 499-1853")</f>
        <v>Kenneth Rainer, (936) 499-1853</v>
      </c>
      <c r="AE17" s="11"/>
      <c r="AF17" t="s">
        <v>9</v>
      </c>
      <c r="AG17" s="18"/>
      <c r="AH17" s="12"/>
      <c r="AI17" s="12" t="s">
        <v>8</v>
      </c>
      <c r="AJ17" s="12" t="s">
        <v>8</v>
      </c>
      <c r="AK17" s="12" t="s">
        <v>8</v>
      </c>
      <c r="AL17" s="12" t="s">
        <v>8</v>
      </c>
    </row>
    <row r="18">
      <c r="A18" s="10">
        <f>IFERROR(__xludf.DUMMYFUNCTION("""COMPUTED_VALUE"""),42852.416892210655)</f>
        <v>42852.41689</v>
      </c>
      <c r="B18" s="11" t="str">
        <f>IFERROR(__xludf.DUMMYFUNCTION("""COMPUTED_VALUE"""),"Kenneth Rainer")</f>
        <v>Kenneth Rainer</v>
      </c>
      <c r="C18" t="str">
        <f>IFERROR(__xludf.DUMMYFUNCTION("""COMPUTED_VALUE"""),"Kenneth.Rainer@dep.state.fl.us")</f>
        <v>Kenneth.Rainer@dep.state.fl.us</v>
      </c>
      <c r="D18" t="str">
        <f>IFERROR(__xludf.DUMMYFUNCTION("""COMPUTED_VALUE"""),"Education")</f>
        <v>Education</v>
      </c>
      <c r="E18" t="str">
        <f>IFERROR(__xludf.DUMMYFUNCTION("""COMPUTED_VALUE"""),"Vilano Boat Ramp")</f>
        <v>Vilano Boat Ramp</v>
      </c>
      <c r="F18" s="13"/>
      <c r="G18" s="14">
        <f>IFERROR(__xludf.DUMMYFUNCTION("""COMPUTED_VALUE"""),42853.0)</f>
        <v>42853</v>
      </c>
      <c r="H18" t="str">
        <f>IFERROR(__xludf.DUMMYFUNCTION("""COMPUTED_VALUE"""),"Southern Component")</f>
        <v>Southern Component</v>
      </c>
      <c r="I18" s="15">
        <f>IFERROR(__xludf.DUMMYFUNCTION("""COMPUTED_VALUE"""),0.4166666666678793)</f>
        <v>0.4166666667</v>
      </c>
      <c r="J18" s="16">
        <f>IFERROR(__xludf.DUMMYFUNCTION("""COMPUTED_VALUE"""),42853.58333333333)</f>
        <v>42853.58333</v>
      </c>
      <c r="K18" t="str">
        <f>IFERROR(__xludf.DUMMYFUNCTION("""COMPUTED_VALUE"""),"23ft Skiff FL7972LJ DEP07613")</f>
        <v>23ft Skiff FL7972LJ DEP07613</v>
      </c>
      <c r="M18" t="str">
        <f>IFERROR(__xludf.DUMMYFUNCTION("""COMPUTED_VALUE"""),"Ford F150 2015 (White) - DEP21448")</f>
        <v>Ford F150 2015 (White) - DEP21448</v>
      </c>
      <c r="N18" t="str">
        <f>IFERROR(__xludf.DUMMYFUNCTION("""COMPUTED_VALUE"""),"Kenneth Rainer, (936) 499-1853")</f>
        <v>Kenneth Rainer, (936) 499-1853</v>
      </c>
      <c r="O18" t="str">
        <f>IFERROR(__xludf.DUMMYFUNCTION("""COMPUTED_VALUE"""),"Matt Monroe, Ed McGinley")</f>
        <v>Matt Monroe, Ed McGinley</v>
      </c>
      <c r="AE18" s="11"/>
      <c r="AF18" t="s">
        <v>9</v>
      </c>
      <c r="AG18" s="18"/>
      <c r="AH18" s="12"/>
      <c r="AI18" s="12" t="s">
        <v>8</v>
      </c>
      <c r="AJ18" s="12" t="s">
        <v>8</v>
      </c>
      <c r="AK18" s="12" t="s">
        <v>8</v>
      </c>
      <c r="AL18" s="12" t="s">
        <v>8</v>
      </c>
    </row>
    <row r="19">
      <c r="A19" s="10">
        <f>IFERROR(__xludf.DUMMYFUNCTION("""COMPUTED_VALUE"""),42858.394262442125)</f>
        <v>42858.39426</v>
      </c>
      <c r="B19" s="11" t="str">
        <f>IFERROR(__xludf.DUMMYFUNCTION("""COMPUTED_VALUE"""),"Kenneth Rainer")</f>
        <v>Kenneth Rainer</v>
      </c>
      <c r="C19" t="str">
        <f>IFERROR(__xludf.DUMMYFUNCTION("""COMPUTED_VALUE"""),"Kenneth.Rainer@dep.state.fl.us")</f>
        <v>Kenneth.Rainer@dep.state.fl.us</v>
      </c>
      <c r="D19" t="str">
        <f>IFERROR(__xludf.DUMMYFUNCTION("""COMPUTED_VALUE"""),"Education")</f>
        <v>Education</v>
      </c>
      <c r="E19" t="str">
        <f>IFERROR(__xludf.DUMMYFUNCTION("""COMPUTED_VALUE"""),"Usina Boat Ramp")</f>
        <v>Usina Boat Ramp</v>
      </c>
      <c r="F19" s="13"/>
      <c r="G19" s="14">
        <f>IFERROR(__xludf.DUMMYFUNCTION("""COMPUTED_VALUE"""),42860.0)</f>
        <v>42860</v>
      </c>
      <c r="H19" t="str">
        <f>IFERROR(__xludf.DUMMYFUNCTION("""COMPUTED_VALUE"""),"Northern Portion of GTM NERR")</f>
        <v>Northern Portion of GTM NERR</v>
      </c>
      <c r="I19" s="15">
        <f>IFERROR(__xludf.DUMMYFUNCTION("""COMPUTED_VALUE"""),0.2916666666678793)</f>
        <v>0.2916666667</v>
      </c>
      <c r="J19" s="16">
        <f>IFERROR(__xludf.DUMMYFUNCTION("""COMPUTED_VALUE"""),42860.58333333333)</f>
        <v>42860.58333</v>
      </c>
      <c r="K19" t="str">
        <f>IFERROR(__xludf.DUMMYFUNCTION("""COMPUTED_VALUE"""),"23ft Skiff FL7972LJ DEP07613")</f>
        <v>23ft Skiff FL7972LJ DEP07613</v>
      </c>
      <c r="M19" t="str">
        <f>IFERROR(__xludf.DUMMYFUNCTION("""COMPUTED_VALUE"""),"Ford F150 2015 (White) - DEP21448")</f>
        <v>Ford F150 2015 (White) - DEP21448</v>
      </c>
      <c r="N19" t="str">
        <f>IFERROR(__xludf.DUMMYFUNCTION("""COMPUTED_VALUE"""),"Kenneth Rainer, (936) 499-1853")</f>
        <v>Kenneth Rainer, (936) 499-1853</v>
      </c>
      <c r="O19" t="str">
        <f>IFERROR(__xludf.DUMMYFUNCTION("""COMPUTED_VALUE"""),"Emma Hanson")</f>
        <v>Emma Hanson</v>
      </c>
      <c r="P19" t="str">
        <f>IFERROR(__xludf.DUMMYFUNCTION("""COMPUTED_VALUE"""),"Kenneth Rainer, (936) 499-1853")</f>
        <v>Kenneth Rainer, (936) 499-1853</v>
      </c>
      <c r="AE19" s="11"/>
      <c r="AF19" t="s">
        <v>9</v>
      </c>
      <c r="AG19" s="18"/>
      <c r="AH19" s="12"/>
      <c r="AI19" s="12" t="s">
        <v>8</v>
      </c>
      <c r="AJ19" s="12" t="s">
        <v>8</v>
      </c>
      <c r="AK19" s="12" t="s">
        <v>8</v>
      </c>
      <c r="AL19" s="12" t="s">
        <v>8</v>
      </c>
    </row>
    <row r="20">
      <c r="A20" s="10">
        <f>IFERROR(__xludf.DUMMYFUNCTION("""COMPUTED_VALUE"""),42891.496738761576)</f>
        <v>42891.49674</v>
      </c>
      <c r="B20" s="11" t="str">
        <f>IFERROR(__xludf.DUMMYFUNCTION("""COMPUTED_VALUE"""),"Kenneth Rainer")</f>
        <v>Kenneth Rainer</v>
      </c>
      <c r="C20" t="str">
        <f>IFERROR(__xludf.DUMMYFUNCTION("""COMPUTED_VALUE"""),"Kenneth.Rainer@dep.state.fl.us")</f>
        <v>Kenneth.Rainer@dep.state.fl.us</v>
      </c>
      <c r="D20" t="str">
        <f>IFERROR(__xludf.DUMMYFUNCTION("""COMPUTED_VALUE"""),"Education")</f>
        <v>Education</v>
      </c>
      <c r="F20" s="13"/>
      <c r="G20" s="14">
        <f>IFERROR(__xludf.DUMMYFUNCTION("""COMPUTED_VALUE"""),42894.0)</f>
        <v>42894</v>
      </c>
      <c r="I20" s="15">
        <f>IFERROR(__xludf.DUMMYFUNCTION("""COMPUTED_VALUE"""),0.3333333333321207)</f>
        <v>0.3333333333</v>
      </c>
      <c r="J20" s="16">
        <f>IFERROR(__xludf.DUMMYFUNCTION("""COMPUTED_VALUE"""),42894.58333333333)</f>
        <v>42894.58333</v>
      </c>
      <c r="K20" t="str">
        <f>IFERROR(__xludf.DUMMYFUNCTION("""COMPUTED_VALUE"""),"23ft Skiff FL7972LJ DEP07613")</f>
        <v>23ft Skiff FL7972LJ DEP07613</v>
      </c>
      <c r="M20" t="str">
        <f>IFERROR(__xludf.DUMMYFUNCTION("""COMPUTED_VALUE"""),"Ford F150 2015 (White) - DEP21448")</f>
        <v>Ford F150 2015 (White) - DEP21448</v>
      </c>
      <c r="N20" t="str">
        <f>IFERROR(__xludf.DUMMYFUNCTION("""COMPUTED_VALUE"""),"Kenneth Rainer, (936) 499-1853")</f>
        <v>Kenneth Rainer, (936) 499-1853</v>
      </c>
      <c r="O20" t="str">
        <f>IFERROR(__xludf.DUMMYFUNCTION("""COMPUTED_VALUE"""),"Kenneth Rainer, (936) 499-1853")</f>
        <v>Kenneth Rainer, (936) 499-1853</v>
      </c>
      <c r="P20" t="str">
        <f>IFERROR(__xludf.DUMMYFUNCTION("""COMPUTED_VALUE"""),"Kenneth Rainer, (936) 499-1853")</f>
        <v>Kenneth Rainer, (936) 499-1853</v>
      </c>
      <c r="AE20" s="11"/>
      <c r="AF20" t="s">
        <v>9</v>
      </c>
      <c r="AG20" s="18"/>
      <c r="AH20" s="12"/>
      <c r="AI20" s="12" t="s">
        <v>8</v>
      </c>
      <c r="AJ20" s="12" t="s">
        <v>8</v>
      </c>
      <c r="AK20" s="12" t="s">
        <v>8</v>
      </c>
      <c r="AL20" s="12" t="s">
        <v>8</v>
      </c>
    </row>
    <row r="21">
      <c r="A21" s="10">
        <f>IFERROR(__xludf.DUMMYFUNCTION("""COMPUTED_VALUE"""),42891.49732659722)</f>
        <v>42891.49733</v>
      </c>
      <c r="B21" s="11" t="str">
        <f>IFERROR(__xludf.DUMMYFUNCTION("""COMPUTED_VALUE"""),"Kenneth Rainer")</f>
        <v>Kenneth Rainer</v>
      </c>
      <c r="C21" t="str">
        <f>IFERROR(__xludf.DUMMYFUNCTION("""COMPUTED_VALUE"""),"Kenneth.Rainer@dep.state.fl.us")</f>
        <v>Kenneth.Rainer@dep.state.fl.us</v>
      </c>
      <c r="D21" t="str">
        <f>IFERROR(__xludf.DUMMYFUNCTION("""COMPUTED_VALUE"""),"Education")</f>
        <v>Education</v>
      </c>
      <c r="F21" s="13"/>
      <c r="G21" s="14">
        <f>IFERROR(__xludf.DUMMYFUNCTION("""COMPUTED_VALUE"""),42895.0)</f>
        <v>42895</v>
      </c>
      <c r="I21" s="15">
        <f>IFERROR(__xludf.DUMMYFUNCTION("""COMPUTED_VALUE"""),0.3333333333321207)</f>
        <v>0.3333333333</v>
      </c>
      <c r="J21" s="16">
        <f>IFERROR(__xludf.DUMMYFUNCTION("""COMPUTED_VALUE"""),42895.58333333333)</f>
        <v>42895.58333</v>
      </c>
      <c r="K21" t="str">
        <f>IFERROR(__xludf.DUMMYFUNCTION("""COMPUTED_VALUE"""),"23ft Skiff FL7972LJ DEP07613")</f>
        <v>23ft Skiff FL7972LJ DEP07613</v>
      </c>
      <c r="M21" t="str">
        <f>IFERROR(__xludf.DUMMYFUNCTION("""COMPUTED_VALUE"""),"Ford F150 2015 (White) - DEP21448")</f>
        <v>Ford F150 2015 (White) - DEP21448</v>
      </c>
      <c r="N21" t="str">
        <f>IFERROR(__xludf.DUMMYFUNCTION("""COMPUTED_VALUE"""),"Kenneth Rainer, (936) 499-1853")</f>
        <v>Kenneth Rainer, (936) 499-1853</v>
      </c>
      <c r="O21" t="str">
        <f>IFERROR(__xludf.DUMMYFUNCTION("""COMPUTED_VALUE"""),"Kenneth Rainer, (936) 499-1853")</f>
        <v>Kenneth Rainer, (936) 499-1853</v>
      </c>
      <c r="P21" t="str">
        <f>IFERROR(__xludf.DUMMYFUNCTION("""COMPUTED_VALUE"""),"Kenneth Rainer, (936) 499-1853")</f>
        <v>Kenneth Rainer, (936) 499-1853</v>
      </c>
      <c r="AE21" s="11"/>
      <c r="AF21" t="s">
        <v>9</v>
      </c>
      <c r="AG21" s="18"/>
      <c r="AH21" s="12"/>
      <c r="AI21" s="12" t="s">
        <v>8</v>
      </c>
      <c r="AJ21" s="12" t="s">
        <v>8</v>
      </c>
      <c r="AK21" s="12" t="s">
        <v>8</v>
      </c>
      <c r="AL21" s="12" t="s">
        <v>8</v>
      </c>
    </row>
    <row r="22">
      <c r="A22" s="10">
        <f>IFERROR(__xludf.DUMMYFUNCTION("""COMPUTED_VALUE"""),42899.43015910879)</f>
        <v>42899.43016</v>
      </c>
      <c r="B22" s="11" t="str">
        <f>IFERROR(__xludf.DUMMYFUNCTION("""COMPUTED_VALUE"""),"Kenneth Rainer")</f>
        <v>Kenneth Rainer</v>
      </c>
      <c r="C22" t="str">
        <f>IFERROR(__xludf.DUMMYFUNCTION("""COMPUTED_VALUE"""),"Kenneth.Rainer@dep.state.fl.us")</f>
        <v>Kenneth.Rainer@dep.state.fl.us</v>
      </c>
      <c r="D22" t="str">
        <f>IFERROR(__xludf.DUMMYFUNCTION("""COMPUTED_VALUE"""),"Education")</f>
        <v>Education</v>
      </c>
      <c r="E22" t="str">
        <f>IFERROR(__xludf.DUMMYFUNCTION("""COMPUTED_VALUE"""),"Aunt Kate's")</f>
        <v>Aunt Kate's</v>
      </c>
      <c r="F22" s="13"/>
      <c r="G22" s="14">
        <f>IFERROR(__xludf.DUMMYFUNCTION("""COMPUTED_VALUE"""),42900.0)</f>
        <v>42900</v>
      </c>
      <c r="H22" t="str">
        <f>IFERROR(__xludf.DUMMYFUNCTION("""COMPUTED_VALUE"""),"Guana Peninsula")</f>
        <v>Guana Peninsula</v>
      </c>
      <c r="I22" s="15">
        <f>IFERROR(__xludf.DUMMYFUNCTION("""COMPUTED_VALUE"""),0.375)</f>
        <v>0.375</v>
      </c>
      <c r="J22" s="16">
        <f>IFERROR(__xludf.DUMMYFUNCTION("""COMPUTED_VALUE"""),42900.54166666667)</f>
        <v>42900.54167</v>
      </c>
      <c r="K22" t="str">
        <f>IFERROR(__xludf.DUMMYFUNCTION("""COMPUTED_VALUE"""),"23ft Skiff FL7972LJ DEP07613")</f>
        <v>23ft Skiff FL7972LJ DEP07613</v>
      </c>
      <c r="M22" t="str">
        <f>IFERROR(__xludf.DUMMYFUNCTION("""COMPUTED_VALUE"""),"Ford F150 2015 (White) - DEP21448")</f>
        <v>Ford F150 2015 (White) - DEP21448</v>
      </c>
      <c r="N22" t="str">
        <f>IFERROR(__xludf.DUMMYFUNCTION("""COMPUTED_VALUE"""),"Kenneth Rainer, (936) 499-1853")</f>
        <v>Kenneth Rainer, (936) 499-1853</v>
      </c>
      <c r="O22" t="str">
        <f>IFERROR(__xludf.DUMMYFUNCTION("""COMPUTED_VALUE"""),"Kenneth Rainer, (936) 499-1853")</f>
        <v>Kenneth Rainer, (936) 499-1853</v>
      </c>
      <c r="P22" t="str">
        <f>IFERROR(__xludf.DUMMYFUNCTION("""COMPUTED_VALUE"""),"Kenneth Rainer, (936) 499-1853")</f>
        <v>Kenneth Rainer, (936) 499-1853</v>
      </c>
      <c r="AD22" t="str">
        <f>IFERROR(__xludf.DUMMYFUNCTION("""COMPUTED_VALUE"""),"Weather at 9:00 A.M. - 78F, 51% rain, 3mph S")</f>
        <v>Weather at 9:00 A.M. - 78F, 51% rain, 3mph S</v>
      </c>
      <c r="AE22" s="11" t="str">
        <f>IFERROR(__xludf.DUMMYFUNCTION("""COMPUTED_VALUE"""),"Tides: Low at 6:31 A.M. and High at 12:34 P.M.")</f>
        <v>Tides: Low at 6:31 A.M. and High at 12:34 P.M.</v>
      </c>
      <c r="AF22" t="s">
        <v>9</v>
      </c>
      <c r="AG22" s="18"/>
      <c r="AH22" s="12"/>
      <c r="AI22" s="12" t="s">
        <v>8</v>
      </c>
      <c r="AJ22" s="12" t="s">
        <v>8</v>
      </c>
      <c r="AK22" s="12" t="s">
        <v>8</v>
      </c>
      <c r="AL22" s="12" t="s">
        <v>8</v>
      </c>
    </row>
    <row r="23">
      <c r="A23" s="10">
        <f>IFERROR(__xludf.DUMMYFUNCTION("""COMPUTED_VALUE"""),42906.52277644676)</f>
        <v>42906.52278</v>
      </c>
      <c r="B23" s="11" t="str">
        <f>IFERROR(__xludf.DUMMYFUNCTION("""COMPUTED_VALUE"""),"Kenneth Rainer")</f>
        <v>Kenneth Rainer</v>
      </c>
      <c r="C23" t="str">
        <f>IFERROR(__xludf.DUMMYFUNCTION("""COMPUTED_VALUE"""),"Kenneth.Rainer@dep.state.fl.us")</f>
        <v>Kenneth.Rainer@dep.state.fl.us</v>
      </c>
      <c r="D23" t="str">
        <f>IFERROR(__xludf.DUMMYFUNCTION("""COMPUTED_VALUE"""),"Education")</f>
        <v>Education</v>
      </c>
      <c r="E23" t="str">
        <f>IFERROR(__xludf.DUMMYFUNCTION("""COMPUTED_VALUE"""),"Aunt Kate's Boat Ramp")</f>
        <v>Aunt Kate's Boat Ramp</v>
      </c>
      <c r="F23" s="13"/>
      <c r="G23" s="14">
        <f>IFERROR(__xludf.DUMMYFUNCTION("""COMPUTED_VALUE"""),42907.0)</f>
        <v>42907</v>
      </c>
      <c r="H23" t="str">
        <f>IFERROR(__xludf.DUMMYFUNCTION("""COMPUTED_VALUE"""),"Northern Component (along Guana peninsula)")</f>
        <v>Northern Component (along Guana peninsula)</v>
      </c>
      <c r="I23" s="15">
        <f>IFERROR(__xludf.DUMMYFUNCTION("""COMPUTED_VALUE"""),0.3541666666678793)</f>
        <v>0.3541666667</v>
      </c>
      <c r="J23" s="16">
        <f>IFERROR(__xludf.DUMMYFUNCTION("""COMPUTED_VALUE"""),42907.5625)</f>
        <v>42907.5625</v>
      </c>
      <c r="K23" t="str">
        <f>IFERROR(__xludf.DUMMYFUNCTION("""COMPUTED_VALUE"""),"23ft Skiff FL7972LJ DEP07613")</f>
        <v>23ft Skiff FL7972LJ DEP07613</v>
      </c>
      <c r="M23" t="str">
        <f>IFERROR(__xludf.DUMMYFUNCTION("""COMPUTED_VALUE"""),"Ford F150 2015 (White) - DEP21448")</f>
        <v>Ford F150 2015 (White) - DEP21448</v>
      </c>
      <c r="N23" t="str">
        <f>IFERROR(__xludf.DUMMYFUNCTION("""COMPUTED_VALUE"""),"Kenneth Rainer, (936) 499-1853")</f>
        <v>Kenneth Rainer, (936) 499-1853</v>
      </c>
      <c r="O23" t="str">
        <f>IFERROR(__xludf.DUMMYFUNCTION("""COMPUTED_VALUE"""),"Kenneth Rainer, (936) 499-1853")</f>
        <v>Kenneth Rainer, (936) 499-1853</v>
      </c>
      <c r="P23" t="str">
        <f>IFERROR(__xludf.DUMMYFUNCTION("""COMPUTED_VALUE"""),"Kenneth Rainer, (936) 499-1853")</f>
        <v>Kenneth Rainer, (936) 499-1853</v>
      </c>
      <c r="AD23" t="str">
        <f>IFERROR(__xludf.DUMMYFUNCTION("""COMPUTED_VALUE"""),"Weather: 8AM, 78F, 15% chance rain, 8mph SSE")</f>
        <v>Weather: 8AM, 78F, 15% chance rain, 8mph SSE</v>
      </c>
      <c r="AE23" s="11" t="str">
        <f>IFERROR(__xludf.DUMMYFUNCTION("""COMPUTED_VALUE"""),"Tides: High is 6:26AM, Low is 12:38PM")</f>
        <v>Tides: High is 6:26AM, Low is 12:38PM</v>
      </c>
      <c r="AF23" t="s">
        <v>9</v>
      </c>
      <c r="AG23" s="18"/>
      <c r="AH23" s="12"/>
      <c r="AI23" s="12" t="s">
        <v>8</v>
      </c>
      <c r="AJ23" s="12" t="s">
        <v>8</v>
      </c>
      <c r="AK23" s="12" t="s">
        <v>8</v>
      </c>
      <c r="AL23" s="12" t="s">
        <v>8</v>
      </c>
    </row>
    <row r="24">
      <c r="A24" s="10">
        <f>IFERROR(__xludf.DUMMYFUNCTION("""COMPUTED_VALUE"""),42927.4307686574)</f>
        <v>42927.43077</v>
      </c>
      <c r="B24" s="11" t="str">
        <f>IFERROR(__xludf.DUMMYFUNCTION("""COMPUTED_VALUE"""),"Kenneth Rainer")</f>
        <v>Kenneth Rainer</v>
      </c>
      <c r="C24" t="str">
        <f>IFERROR(__xludf.DUMMYFUNCTION("""COMPUTED_VALUE"""),"Kenneth.Rainer@dep.state.fl.us")</f>
        <v>Kenneth.Rainer@dep.state.fl.us</v>
      </c>
      <c r="D24" t="str">
        <f>IFERROR(__xludf.DUMMYFUNCTION("""COMPUTED_VALUE"""),"Education")</f>
        <v>Education</v>
      </c>
      <c r="E24" t="str">
        <f>IFERROR(__xludf.DUMMYFUNCTION("""COMPUTED_VALUE"""),"Usina Boat Ramp")</f>
        <v>Usina Boat Ramp</v>
      </c>
      <c r="F24" s="13"/>
      <c r="G24" s="14">
        <f>IFERROR(__xludf.DUMMYFUNCTION("""COMPUTED_VALUE"""),42928.0)</f>
        <v>42928</v>
      </c>
      <c r="H24" t="str">
        <f>IFERROR(__xludf.DUMMYFUNCTION("""COMPUTED_VALUE"""),"Northern Component")</f>
        <v>Northern Component</v>
      </c>
      <c r="I24" s="15">
        <f>IFERROR(__xludf.DUMMYFUNCTION("""COMPUTED_VALUE"""),0.3541666666678793)</f>
        <v>0.3541666667</v>
      </c>
      <c r="J24" s="16">
        <f>IFERROR(__xludf.DUMMYFUNCTION("""COMPUTED_VALUE"""),42928.54166666667)</f>
        <v>42928.54167</v>
      </c>
      <c r="K24" t="str">
        <f>IFERROR(__xludf.DUMMYFUNCTION("""COMPUTED_VALUE"""),"23ft Skiff FL7972LJ DEP07613")</f>
        <v>23ft Skiff FL7972LJ DEP07613</v>
      </c>
      <c r="M24" t="str">
        <f>IFERROR(__xludf.DUMMYFUNCTION("""COMPUTED_VALUE"""),"Ford F150 2015 (White) - DEP21448")</f>
        <v>Ford F150 2015 (White) - DEP21448</v>
      </c>
      <c r="N24" t="str">
        <f>IFERROR(__xludf.DUMMYFUNCTION("""COMPUTED_VALUE"""),"Kenneth Rainer, (936) 499-1853")</f>
        <v>Kenneth Rainer, (936) 499-1853</v>
      </c>
      <c r="O24" t="str">
        <f>IFERROR(__xludf.DUMMYFUNCTION("""COMPUTED_VALUE"""),"7-9yr Summer Campers, Taylor, Silvia, Ashton, Emma")</f>
        <v>7-9yr Summer Campers, Taylor, Silvia, Ashton, Emma</v>
      </c>
      <c r="P24" t="str">
        <f>IFERROR(__xludf.DUMMYFUNCTION("""COMPUTED_VALUE"""),"Kenneth Rainer, (936) 499-1853")</f>
        <v>Kenneth Rainer, (936) 499-1853</v>
      </c>
      <c r="AD24" t="str">
        <f>IFERROR(__xludf.DUMMYFUNCTION("""COMPUTED_VALUE"""),"Weather (9am): 82F, 7% chance rain, 3mph ESE")</f>
        <v>Weather (9am): 82F, 7% chance rain, 3mph ESE</v>
      </c>
      <c r="AE24" s="11" t="str">
        <f>IFERROR(__xludf.DUMMYFUNCTION("""COMPUTED_VALUE"""),"Tides: Low Tide 5:22AM; High Tide 11:28pm (incoming tide)")</f>
        <v>Tides: Low Tide 5:22AM; High Tide 11:28pm (incoming tide)</v>
      </c>
      <c r="AF24" t="s">
        <v>9</v>
      </c>
      <c r="AG24" s="18"/>
      <c r="AH24" s="12"/>
      <c r="AI24" s="12" t="s">
        <v>8</v>
      </c>
      <c r="AJ24" s="12" t="s">
        <v>8</v>
      </c>
      <c r="AK24" s="12" t="s">
        <v>8</v>
      </c>
      <c r="AL24" s="12" t="s">
        <v>8</v>
      </c>
    </row>
    <row r="25">
      <c r="A25" s="10">
        <f>IFERROR(__xludf.DUMMYFUNCTION("""COMPUTED_VALUE"""),42928.63136636574)</f>
        <v>42928.63137</v>
      </c>
      <c r="B25" s="11" t="str">
        <f>IFERROR(__xludf.DUMMYFUNCTION("""COMPUTED_VALUE"""),"Josephine Spearman")</f>
        <v>Josephine Spearman</v>
      </c>
      <c r="C25" t="str">
        <f>IFERROR(__xludf.DUMMYFUNCTION("""COMPUTED_VALUE"""),"Josephine.Spearman@dep.state.fl.us")</f>
        <v>Josephine.Spearman@dep.state.fl.us</v>
      </c>
      <c r="D25" t="str">
        <f>IFERROR(__xludf.DUMMYFUNCTION("""COMPUTED_VALUE"""),"Education")</f>
        <v>Education</v>
      </c>
      <c r="E25" t="str">
        <f>IFERROR(__xludf.DUMMYFUNCTION("""COMPUTED_VALUE"""),"Guana Dam")</f>
        <v>Guana Dam</v>
      </c>
      <c r="F25" s="13"/>
      <c r="G25" s="14">
        <f>IFERROR(__xludf.DUMMYFUNCTION("""COMPUTED_VALUE"""),42929.0)</f>
        <v>42929</v>
      </c>
      <c r="H25" t="str">
        <f>IFERROR(__xludf.DUMMYFUNCTION("""COMPUTED_VALUE"""),"Guana Lake")</f>
        <v>Guana Lake</v>
      </c>
      <c r="I25" s="15">
        <f>IFERROR(__xludf.DUMMYFUNCTION("""COMPUTED_VALUE"""),0.375)</f>
        <v>0.375</v>
      </c>
      <c r="J25" s="16">
        <f>IFERROR(__xludf.DUMMYFUNCTION("""COMPUTED_VALUE"""),42929.54166666667)</f>
        <v>42929.54167</v>
      </c>
      <c r="K25" t="str">
        <f>IFERROR(__xludf.DUMMYFUNCTION("""COMPUTED_VALUE"""),"Kayak(s)")</f>
        <v>Kayak(s)</v>
      </c>
      <c r="L25">
        <f>IFERROR(__xludf.DUMMYFUNCTION("""COMPUTED_VALUE"""),7.0)</f>
        <v>7</v>
      </c>
      <c r="M25" t="str">
        <f>IFERROR(__xludf.DUMMYFUNCTION("""COMPUTED_VALUE"""),"Ford F150 2015 (White) - DEP21448")</f>
        <v>Ford F150 2015 (White) - DEP21448</v>
      </c>
      <c r="N25" t="str">
        <f>IFERROR(__xludf.DUMMYFUNCTION("""COMPUTED_VALUE"""),"Josephine Spearman")</f>
        <v>Josephine Spearman</v>
      </c>
      <c r="O25" t="str">
        <f>IFERROR(__xludf.DUMMYFUNCTION("""COMPUTED_VALUE"""),"7-9yr Campers, Ashton, Emma, Taylor, Sylvia")</f>
        <v>7-9yr Campers, Ashton, Emma, Taylor, Sylvia</v>
      </c>
      <c r="P25" t="str">
        <f>IFERROR(__xludf.DUMMYFUNCTION("""COMPUTED_VALUE"""),"Josephine Spearman")</f>
        <v>Josephine Spearman</v>
      </c>
      <c r="AD25" t="str">
        <f>IFERROR(__xludf.DUMMYFUNCTION("""COMPUTED_VALUE"""),"Weather (@9am): 82F, 15% chance rain, 6mph ENE")</f>
        <v>Weather (@9am): 82F, 15% chance rain, 6mph ENE</v>
      </c>
      <c r="AE25" s="11"/>
      <c r="AF25" t="s">
        <v>9</v>
      </c>
      <c r="AG25" s="18"/>
      <c r="AH25" s="12"/>
      <c r="AI25" s="12" t="s">
        <v>8</v>
      </c>
      <c r="AJ25" s="12" t="s">
        <v>8</v>
      </c>
      <c r="AK25" s="12" t="s">
        <v>8</v>
      </c>
      <c r="AL25" s="12" t="s">
        <v>8</v>
      </c>
    </row>
    <row r="26">
      <c r="A26" s="10">
        <f>IFERROR(__xludf.DUMMYFUNCTION("""COMPUTED_VALUE"""),42935.510615416664)</f>
        <v>42935.51062</v>
      </c>
      <c r="B26" s="11" t="str">
        <f>IFERROR(__xludf.DUMMYFUNCTION("""COMPUTED_VALUE"""),"Kenneth Rainer")</f>
        <v>Kenneth Rainer</v>
      </c>
      <c r="C26" t="str">
        <f>IFERROR(__xludf.DUMMYFUNCTION("""COMPUTED_VALUE"""),"Kenneth.Rainer@dep.state.fl.us")</f>
        <v>Kenneth.Rainer@dep.state.fl.us</v>
      </c>
      <c r="D26" t="str">
        <f>IFERROR(__xludf.DUMMYFUNCTION("""COMPUTED_VALUE"""),"Education")</f>
        <v>Education</v>
      </c>
      <c r="E26" t="str">
        <f>IFERROR(__xludf.DUMMYFUNCTION("""COMPUTED_VALUE"""),"Usina Boat Ramp")</f>
        <v>Usina Boat Ramp</v>
      </c>
      <c r="F26" s="13"/>
      <c r="G26" s="14">
        <f>IFERROR(__xludf.DUMMYFUNCTION("""COMPUTED_VALUE"""),42936.0)</f>
        <v>42936</v>
      </c>
      <c r="H26" t="str">
        <f>IFERROR(__xludf.DUMMYFUNCTION("""COMPUTED_VALUE"""),"Northern Component")</f>
        <v>Northern Component</v>
      </c>
      <c r="I26" s="15">
        <f>IFERROR(__xludf.DUMMYFUNCTION("""COMPUTED_VALUE"""),0.3333333333321207)</f>
        <v>0.3333333333</v>
      </c>
      <c r="J26" s="16">
        <f>IFERROR(__xludf.DUMMYFUNCTION("""COMPUTED_VALUE"""),42936.54166666667)</f>
        <v>42936.54167</v>
      </c>
      <c r="K26" t="str">
        <f>IFERROR(__xludf.DUMMYFUNCTION("""COMPUTED_VALUE"""),"23ft Skiff FL7972LJ DEP07613")</f>
        <v>23ft Skiff FL7972LJ DEP07613</v>
      </c>
      <c r="M26" t="str">
        <f>IFERROR(__xludf.DUMMYFUNCTION("""COMPUTED_VALUE"""),"Ford F150 2015 (White) - DEP21448")</f>
        <v>Ford F150 2015 (White) - DEP21448</v>
      </c>
      <c r="N26" t="str">
        <f>IFERROR(__xludf.DUMMYFUNCTION("""COMPUTED_VALUE"""),"Kenneth Rainer, (936) 499-1853")</f>
        <v>Kenneth Rainer, (936) 499-1853</v>
      </c>
      <c r="O26" t="str">
        <f>IFERROR(__xludf.DUMMYFUNCTION("""COMPUTED_VALUE"""),"Ashton, Taylor, Sylvia, 10-12yr Campers")</f>
        <v>Ashton, Taylor, Sylvia, 10-12yr Campers</v>
      </c>
      <c r="P26" t="str">
        <f>IFERROR(__xludf.DUMMYFUNCTION("""COMPUTED_VALUE"""),"Kenneth Rainer, (936) 499-1853")</f>
        <v>Kenneth Rainer, (936) 499-1853</v>
      </c>
      <c r="AD26" t="str">
        <f>IFERROR(__xludf.DUMMYFUNCTION("""COMPUTED_VALUE"""),"Weather: 9am 81F, 6% chance rain, 4mph WNW")</f>
        <v>Weather: 9am 81F, 6% chance rain, 4mph WNW</v>
      </c>
      <c r="AE26" s="11" t="str">
        <f>IFERROR(__xludf.DUMMYFUNCTION("""COMPUTED_VALUE"""),"Tides: High Tide (6:04 a.m.), Low Tide (12:16 p.m.)")</f>
        <v>Tides: High Tide (6:04 a.m.), Low Tide (12:16 p.m.)</v>
      </c>
      <c r="AF26" t="s">
        <v>9</v>
      </c>
      <c r="AG26" s="18"/>
      <c r="AH26" s="12"/>
      <c r="AI26" s="12" t="s">
        <v>8</v>
      </c>
      <c r="AJ26" s="12" t="s">
        <v>8</v>
      </c>
      <c r="AK26" s="12" t="s">
        <v>8</v>
      </c>
      <c r="AL26" s="12" t="s">
        <v>8</v>
      </c>
    </row>
    <row r="27">
      <c r="A27" s="10">
        <f>IFERROR(__xludf.DUMMYFUNCTION("""COMPUTED_VALUE"""),43166.42401879629)</f>
        <v>43166.42402</v>
      </c>
      <c r="B27" s="11" t="str">
        <f>IFERROR(__xludf.DUMMYFUNCTION("""COMPUTED_VALUE"""),"Trey Tester")</f>
        <v>Trey Tester</v>
      </c>
      <c r="C27" t="str">
        <f>IFERROR(__xludf.DUMMYFUNCTION("""COMPUTED_VALUE"""),"Kenneth.Rainer@floridadep.gov")</f>
        <v>Kenneth.Rainer@floridadep.gov</v>
      </c>
      <c r="D27" t="str">
        <f>IFERROR(__xludf.DUMMYFUNCTION("""COMPUTED_VALUE"""),"Education")</f>
        <v>Education</v>
      </c>
      <c r="E27" t="str">
        <f>IFERROR(__xludf.DUMMYFUNCTION("""COMPUTED_VALUE"""),"Usina Boat Ramp")</f>
        <v>Usina Boat Ramp</v>
      </c>
      <c r="F27" s="13"/>
      <c r="G27" s="14">
        <f>IFERROR(__xludf.DUMMYFUNCTION("""COMPUTED_VALUE"""),43166.0)</f>
        <v>43166</v>
      </c>
      <c r="H27" t="str">
        <f>IFERROR(__xludf.DUMMYFUNCTION("""COMPUTED_VALUE"""),"Angelini Project")</f>
        <v>Angelini Project</v>
      </c>
      <c r="I27" s="15">
        <f>IFERROR(__xludf.DUMMYFUNCTION("""COMPUTED_VALUE"""),0.125)</f>
        <v>0.125</v>
      </c>
      <c r="J27" s="16">
        <f>IFERROR(__xludf.DUMMYFUNCTION("""COMPUTED_VALUE"""),43166.70833333333)</f>
        <v>43166.70833</v>
      </c>
      <c r="K27" t="str">
        <f>IFERROR(__xludf.DUMMYFUNCTION("""COMPUTED_VALUE"""),"F 20ft Sea Ark (Easy 200) FL8534PY DEP21451")</f>
        <v>F 20ft Sea Ark (Easy 200) FL8534PY DEP21451</v>
      </c>
      <c r="M27" t="str">
        <f>IFERROR(__xludf.DUMMYFUNCTION("""COMPUTED_VALUE"""),"Ford F150 2005 (Blue Bomber) - DEP06139")</f>
        <v>Ford F150 2005 (Blue Bomber) - DEP06139</v>
      </c>
      <c r="N27" t="str">
        <f>IFERROR(__xludf.DUMMYFUNCTION("""COMPUTED_VALUE"""),"Kenneth Rainer, (936) 499-1853")</f>
        <v>Kenneth Rainer, (936) 499-1853</v>
      </c>
      <c r="O27" t="str">
        <f>IFERROR(__xludf.DUMMYFUNCTION("""COMPUTED_VALUE"""),"Silas Tanner, Scott Eastman, Joseph Burgess, Josie Spearman")</f>
        <v>Silas Tanner, Scott Eastman, Joseph Burgess, Josie Spearman</v>
      </c>
      <c r="P27" t="str">
        <f>IFERROR(__xludf.DUMMYFUNCTION("""COMPUTED_VALUE"""),"Kenneth Rainer")</f>
        <v>Kenneth Rainer</v>
      </c>
      <c r="Q27" t="str">
        <f>IFERROR(__xludf.DUMMYFUNCTION("""COMPUTED_VALUE"""),"Good")</f>
        <v>Good</v>
      </c>
      <c r="R27" t="str">
        <f>IFERROR(__xludf.DUMMYFUNCTION("""COMPUTED_VALUE"""),"Good")</f>
        <v>Good</v>
      </c>
      <c r="S27" t="str">
        <f>IFERROR(__xludf.DUMMYFUNCTION("""COMPUTED_VALUE"""),"Good")</f>
        <v>Good</v>
      </c>
      <c r="T27" t="str">
        <f>IFERROR(__xludf.DUMMYFUNCTION("""COMPUTED_VALUE"""),"Good")</f>
        <v>Good</v>
      </c>
      <c r="U27" t="str">
        <f>IFERROR(__xludf.DUMMYFUNCTION("""COMPUTED_VALUE"""),"Good")</f>
        <v>Good</v>
      </c>
      <c r="V27" t="str">
        <f>IFERROR(__xludf.DUMMYFUNCTION("""COMPUTED_VALUE"""),"Good")</f>
        <v>Good</v>
      </c>
      <c r="W27" t="str">
        <f>IFERROR(__xludf.DUMMYFUNCTION("""COMPUTED_VALUE"""),"Good")</f>
        <v>Good</v>
      </c>
      <c r="X27" t="str">
        <f>IFERROR(__xludf.DUMMYFUNCTION("""COMPUTED_VALUE"""),"Good")</f>
        <v>Good</v>
      </c>
      <c r="Y27" t="str">
        <f>IFERROR(__xludf.DUMMYFUNCTION("""COMPUTED_VALUE"""),"Good")</f>
        <v>Good</v>
      </c>
      <c r="Z27" t="str">
        <f>IFERROR(__xludf.DUMMYFUNCTION("""COMPUTED_VALUE"""),"Good")</f>
        <v>Good</v>
      </c>
      <c r="AA27" t="str">
        <f>IFERROR(__xludf.DUMMYFUNCTION("""COMPUTED_VALUE"""),"Good")</f>
        <v>Good</v>
      </c>
      <c r="AB27" t="str">
        <f>IFERROR(__xludf.DUMMYFUNCTION("""COMPUTED_VALUE"""),"Good")</f>
        <v>Good</v>
      </c>
      <c r="AC27" t="str">
        <f>IFERROR(__xludf.DUMMYFUNCTION("""COMPUTED_VALUE"""),"Good")</f>
        <v>Good</v>
      </c>
      <c r="AD27" t="str">
        <f>IFERROR(__xludf.DUMMYFUNCTION("""COMPUTED_VALUE"""),"Beautiful")</f>
        <v>Beautiful</v>
      </c>
      <c r="AE27" s="11" t="str">
        <f>IFERROR(__xludf.DUMMYFUNCTION("""COMPUTED_VALUE"""),"Very Very High")</f>
        <v>Very Very High</v>
      </c>
      <c r="AF27" s="12" t="s">
        <v>9</v>
      </c>
      <c r="AG27" s="17" t="s">
        <v>7</v>
      </c>
      <c r="AH27" s="12"/>
      <c r="AI27" s="12" t="s">
        <v>10</v>
      </c>
      <c r="AJ27" s="19" t="s">
        <v>11</v>
      </c>
      <c r="AK27" s="20" t="str">
        <f>HYPERLINK("https://drive.google.com/a/gtmnerr.org/file/d/1-xBJcM5t4rp1kF8CtiHFHCGIYOyemNCh/view?usp=drivesdk","Trey Tester - 3/7/2018")</f>
        <v>Trey Tester - 3/7/2018</v>
      </c>
      <c r="AL27" s="12" t="s">
        <v>12</v>
      </c>
    </row>
    <row r="28">
      <c r="A28" s="10">
        <f>IFERROR(__xludf.DUMMYFUNCTION("""COMPUTED_VALUE"""),43175.39909888889)</f>
        <v>43175.3991</v>
      </c>
      <c r="B28" s="11" t="str">
        <f>IFERROR(__xludf.DUMMYFUNCTION("""COMPUTED_VALUE"""),"Pamela Marcum")</f>
        <v>Pamela Marcum</v>
      </c>
      <c r="C28" t="str">
        <f>IFERROR(__xludf.DUMMYFUNCTION("""COMPUTED_VALUE"""),"Pamela.Marcum@Dep.state.fl.us")</f>
        <v>Pamela.Marcum@Dep.state.fl.us</v>
      </c>
      <c r="D28" t="str">
        <f>IFERROR(__xludf.DUMMYFUNCTION("""COMPUTED_VALUE"""),"Research")</f>
        <v>Research</v>
      </c>
      <c r="E28" t="str">
        <f>IFERROR(__xludf.DUMMYFUNCTION("""COMPUTED_VALUE"""),"Bing's Landing")</f>
        <v>Bing's Landing</v>
      </c>
      <c r="F28" s="13"/>
      <c r="G28" s="14">
        <f>IFERROR(__xludf.DUMMYFUNCTION("""COMPUTED_VALUE"""),43175.0)</f>
        <v>43175</v>
      </c>
      <c r="H28" t="str">
        <f>IFERROR(__xludf.DUMMYFUNCTION("""COMPUTED_VALUE"""),"Matanzas River &amp; Jordan Island")</f>
        <v>Matanzas River &amp; Jordan Island</v>
      </c>
      <c r="I28" s="15">
        <f>IFERROR(__xludf.DUMMYFUNCTION("""COMPUTED_VALUE"""),0.6458333333321207)</f>
        <v>0.6458333333</v>
      </c>
      <c r="J28" s="16">
        <f>IFERROR(__xludf.DUMMYFUNCTION("""COMPUTED_VALUE"""),43175.6875)</f>
        <v>43175.6875</v>
      </c>
      <c r="K28" t="str">
        <f>IFERROR(__xludf.DUMMYFUNCTION("""COMPUTED_VALUE"""),"23ft Skiff (Bertha) FL7972LJ DEP07613")</f>
        <v>23ft Skiff (Bertha) FL7972LJ DEP07613</v>
      </c>
      <c r="M28" t="str">
        <f>IFERROR(__xludf.DUMMYFUNCTION("""COMPUTED_VALUE"""),"Ford F150 2008 - DEP18041 (ML)")</f>
        <v>Ford F150 2008 - DEP18041 (ML)</v>
      </c>
      <c r="N28" t="str">
        <f>IFERROR(__xludf.DUMMYFUNCTION("""COMPUTED_VALUE"""),"Pam Marcum, (480) 332-5414")</f>
        <v>Pam Marcum, (480) 332-5414</v>
      </c>
      <c r="O28" t="str">
        <f>IFERROR(__xludf.DUMMYFUNCTION("""COMPUTED_VALUE"""),"Ben Mowbray, Weslty Woodward")</f>
        <v>Ben Mowbray, Weslty Woodward</v>
      </c>
      <c r="P28" t="str">
        <f>IFERROR(__xludf.DUMMYFUNCTION("""COMPUTED_VALUE"""),"Pam")</f>
        <v>Pam</v>
      </c>
      <c r="Q28" t="str">
        <f>IFERROR(__xludf.DUMMYFUNCTION("""COMPUTED_VALUE"""),"Good")</f>
        <v>Good</v>
      </c>
      <c r="R28" t="str">
        <f>IFERROR(__xludf.DUMMYFUNCTION("""COMPUTED_VALUE"""),"Good")</f>
        <v>Good</v>
      </c>
      <c r="S28" t="str">
        <f>IFERROR(__xludf.DUMMYFUNCTION("""COMPUTED_VALUE"""),"Good")</f>
        <v>Good</v>
      </c>
      <c r="T28" t="str">
        <f>IFERROR(__xludf.DUMMYFUNCTION("""COMPUTED_VALUE"""),"Good")</f>
        <v>Good</v>
      </c>
      <c r="U28" t="str">
        <f>IFERROR(__xludf.DUMMYFUNCTION("""COMPUTED_VALUE"""),"Good")</f>
        <v>Good</v>
      </c>
      <c r="V28" t="str">
        <f>IFERROR(__xludf.DUMMYFUNCTION("""COMPUTED_VALUE"""),"Good")</f>
        <v>Good</v>
      </c>
      <c r="W28" t="str">
        <f>IFERROR(__xludf.DUMMYFUNCTION("""COMPUTED_VALUE"""),"Good")</f>
        <v>Good</v>
      </c>
      <c r="X28" t="str">
        <f>IFERROR(__xludf.DUMMYFUNCTION("""COMPUTED_VALUE"""),"Good")</f>
        <v>Good</v>
      </c>
      <c r="Y28" t="str">
        <f>IFERROR(__xludf.DUMMYFUNCTION("""COMPUTED_VALUE"""),"Good")</f>
        <v>Good</v>
      </c>
      <c r="Z28" t="str">
        <f>IFERROR(__xludf.DUMMYFUNCTION("""COMPUTED_VALUE"""),"Good")</f>
        <v>Good</v>
      </c>
      <c r="AA28" t="str">
        <f>IFERROR(__xludf.DUMMYFUNCTION("""COMPUTED_VALUE"""),"Good")</f>
        <v>Good</v>
      </c>
      <c r="AB28" t="str">
        <f>IFERROR(__xludf.DUMMYFUNCTION("""COMPUTED_VALUE"""),"Good")</f>
        <v>Good</v>
      </c>
      <c r="AC28" t="str">
        <f>IFERROR(__xludf.DUMMYFUNCTION("""COMPUTED_VALUE"""),"Good")</f>
        <v>Good</v>
      </c>
      <c r="AD28" t="str">
        <f>IFERROR(__xludf.DUMMYFUNCTION("""COMPUTED_VALUE"""),"OK")</f>
        <v>OK</v>
      </c>
      <c r="AE28" s="11"/>
      <c r="AF28" s="12" t="s">
        <v>13</v>
      </c>
      <c r="AG28" s="17" t="s">
        <v>14</v>
      </c>
      <c r="AH28" s="12"/>
      <c r="AI28" s="12" t="s">
        <v>15</v>
      </c>
      <c r="AJ28" s="19" t="s">
        <v>16</v>
      </c>
      <c r="AK28" s="20" t="str">
        <f>HYPERLINK("https://drive.google.com/a/gtmnerr.org/file/d/1PoGr328HmybT9p6Khc3j48PbR5wcYaea/view?usp=drivesdk","Pamela Marcum - 3/16/2018")</f>
        <v>Pamela Marcum - 3/16/2018</v>
      </c>
      <c r="AL28" s="12" t="s">
        <v>17</v>
      </c>
    </row>
    <row r="29">
      <c r="A29" s="10">
        <f>IFERROR(__xludf.DUMMYFUNCTION("""COMPUTED_VALUE"""),43182.36099422454)</f>
        <v>43182.36099</v>
      </c>
      <c r="B29" s="11" t="str">
        <f>IFERROR(__xludf.DUMMYFUNCTION("""COMPUTED_VALUE"""),"Pamela Marcum")</f>
        <v>Pamela Marcum</v>
      </c>
      <c r="C29" t="str">
        <f>IFERROR(__xludf.DUMMYFUNCTION("""COMPUTED_VALUE"""),"Pamela.Marcum@dep.state.fl.us")</f>
        <v>Pamela.Marcum@dep.state.fl.us</v>
      </c>
      <c r="D29" t="str">
        <f>IFERROR(__xludf.DUMMYFUNCTION("""COMPUTED_VALUE"""),"Research")</f>
        <v>Research</v>
      </c>
      <c r="F29" s="13"/>
      <c r="G29" s="14">
        <f>IFERROR(__xludf.DUMMYFUNCTION("""COMPUTED_VALUE"""),43181.0)</f>
        <v>43181</v>
      </c>
      <c r="H29" t="str">
        <f>IFERROR(__xludf.DUMMYFUNCTION("""COMPUTED_VALUE"""),"Upper Pellicer Creek")</f>
        <v>Upper Pellicer Creek</v>
      </c>
      <c r="I29" s="15">
        <f>IFERROR(__xludf.DUMMYFUNCTION("""COMPUTED_VALUE"""),0.625)</f>
        <v>0.625</v>
      </c>
      <c r="J29" s="16">
        <f>IFERROR(__xludf.DUMMYFUNCTION("""COMPUTED_VALUE"""),43181.6875)</f>
        <v>43181.6875</v>
      </c>
      <c r="K29" t="str">
        <f>IFERROR(__xludf.DUMMYFUNCTION("""COMPUTED_VALUE"""),"23ft Skiff (Bertha) FL7972LJ DEP07613")</f>
        <v>23ft Skiff (Bertha) FL7972LJ DEP07613</v>
      </c>
      <c r="M29" t="str">
        <f>IFERROR(__xludf.DUMMYFUNCTION("""COMPUTED_VALUE"""),"Ford F150 2008 - DEP18041 (ML)")</f>
        <v>Ford F150 2008 - DEP18041 (ML)</v>
      </c>
      <c r="N29" t="str">
        <f>IFERROR(__xludf.DUMMYFUNCTION("""COMPUTED_VALUE"""),"Pam Marcum, (480) 332-5414, Remo Mondazzi")</f>
        <v>Pam Marcum, (480) 332-5414, Remo Mondazzi</v>
      </c>
      <c r="O29" t="str">
        <f>IFERROR(__xludf.DUMMYFUNCTION("""COMPUTED_VALUE"""),"Ben Mowbray")</f>
        <v>Ben Mowbray</v>
      </c>
      <c r="P29" t="str">
        <f>IFERROR(__xludf.DUMMYFUNCTION("""COMPUTED_VALUE"""),"Pamela Marcum")</f>
        <v>Pamela Marcum</v>
      </c>
      <c r="Q29" t="str">
        <f>IFERROR(__xludf.DUMMYFUNCTION("""COMPUTED_VALUE"""),"Good")</f>
        <v>Good</v>
      </c>
      <c r="R29" t="str">
        <f>IFERROR(__xludf.DUMMYFUNCTION("""COMPUTED_VALUE"""),"Good")</f>
        <v>Good</v>
      </c>
      <c r="S29" t="str">
        <f>IFERROR(__xludf.DUMMYFUNCTION("""COMPUTED_VALUE"""),"Good")</f>
        <v>Good</v>
      </c>
      <c r="T29" t="str">
        <f>IFERROR(__xludf.DUMMYFUNCTION("""COMPUTED_VALUE"""),"Good")</f>
        <v>Good</v>
      </c>
      <c r="U29" t="str">
        <f>IFERROR(__xludf.DUMMYFUNCTION("""COMPUTED_VALUE"""),"Good")</f>
        <v>Good</v>
      </c>
      <c r="V29" t="str">
        <f>IFERROR(__xludf.DUMMYFUNCTION("""COMPUTED_VALUE"""),"Good")</f>
        <v>Good</v>
      </c>
      <c r="W29" t="str">
        <f>IFERROR(__xludf.DUMMYFUNCTION("""COMPUTED_VALUE"""),"Good")</f>
        <v>Good</v>
      </c>
      <c r="X29" t="str">
        <f>IFERROR(__xludf.DUMMYFUNCTION("""COMPUTED_VALUE"""),"Good")</f>
        <v>Good</v>
      </c>
      <c r="Y29" t="str">
        <f>IFERROR(__xludf.DUMMYFUNCTION("""COMPUTED_VALUE"""),"Good")</f>
        <v>Good</v>
      </c>
      <c r="Z29" t="str">
        <f>IFERROR(__xludf.DUMMYFUNCTION("""COMPUTED_VALUE"""),"Good")</f>
        <v>Good</v>
      </c>
      <c r="AA29" t="str">
        <f>IFERROR(__xludf.DUMMYFUNCTION("""COMPUTED_VALUE"""),"Good")</f>
        <v>Good</v>
      </c>
      <c r="AB29" t="str">
        <f>IFERROR(__xludf.DUMMYFUNCTION("""COMPUTED_VALUE"""),"Good")</f>
        <v>Good</v>
      </c>
      <c r="AC29" t="str">
        <f>IFERROR(__xludf.DUMMYFUNCTION("""COMPUTED_VALUE"""),"Good")</f>
        <v>Good</v>
      </c>
      <c r="AE29" s="11"/>
      <c r="AF29" s="12" t="s">
        <v>13</v>
      </c>
      <c r="AG29" s="17" t="s">
        <v>18</v>
      </c>
      <c r="AH29" s="12"/>
      <c r="AI29" s="12" t="s">
        <v>19</v>
      </c>
      <c r="AJ29" s="19" t="s">
        <v>20</v>
      </c>
      <c r="AK29" s="20" t="str">
        <f>HYPERLINK("https://drive.google.com/a/gtmnerr.org/file/d/1lZDSHrj3qsq_O52lhKl_J8Ol3Ppm2wpf/view?usp=drivesdk","Pamela Marcum - 3/22/2018")</f>
        <v>Pamela Marcum - 3/22/2018</v>
      </c>
      <c r="AL29" s="12" t="s">
        <v>21</v>
      </c>
    </row>
    <row r="30">
      <c r="A30" s="10">
        <f>IFERROR(__xludf.DUMMYFUNCTION("""COMPUTED_VALUE"""),43183.37221592592)</f>
        <v>43183.37222</v>
      </c>
      <c r="B30" s="11" t="str">
        <f>IFERROR(__xludf.DUMMYFUNCTION("""COMPUTED_VALUE"""),"Pamela Marcum")</f>
        <v>Pamela Marcum</v>
      </c>
      <c r="C30" t="str">
        <f>IFERROR(__xludf.DUMMYFUNCTION("""COMPUTED_VALUE"""),"Pamela.Marcum@Dep.state.fl.us")</f>
        <v>Pamela.Marcum@Dep.state.fl.us</v>
      </c>
      <c r="D30" t="str">
        <f>IFERROR(__xludf.DUMMYFUNCTION("""COMPUTED_VALUE"""),"Research")</f>
        <v>Research</v>
      </c>
      <c r="E30" t="str">
        <f>IFERROR(__xludf.DUMMYFUNCTION("""COMPUTED_VALUE"""),"Faver-Dykes")</f>
        <v>Faver-Dykes</v>
      </c>
      <c r="F30" s="13"/>
      <c r="G30" s="14">
        <f>IFERROR(__xludf.DUMMYFUNCTION("""COMPUTED_VALUE"""),43183.0)</f>
        <v>43183</v>
      </c>
      <c r="H30" t="str">
        <f>IFERROR(__xludf.DUMMYFUNCTION("""COMPUTED_VALUE"""),"Middle Pellicer Creek")</f>
        <v>Middle Pellicer Creek</v>
      </c>
      <c r="I30" s="15">
        <f>IFERROR(__xludf.DUMMYFUNCTION("""COMPUTED_VALUE"""),0.625)</f>
        <v>0.625</v>
      </c>
      <c r="J30" s="16">
        <f>IFERROR(__xludf.DUMMYFUNCTION("""COMPUTED_VALUE"""),43183.6875)</f>
        <v>43183.6875</v>
      </c>
      <c r="K30" t="str">
        <f>IFERROR(__xludf.DUMMYFUNCTION("""COMPUTED_VALUE"""),"23ft Skiff (Bertha) FL7972LJ DEP07613")</f>
        <v>23ft Skiff (Bertha) FL7972LJ DEP07613</v>
      </c>
      <c r="M30" t="str">
        <f>IFERROR(__xludf.DUMMYFUNCTION("""COMPUTED_VALUE"""),"Ford F150 2008 - DEP18041 (ML)")</f>
        <v>Ford F150 2008 - DEP18041 (ML)</v>
      </c>
      <c r="N30" t="str">
        <f>IFERROR(__xludf.DUMMYFUNCTION("""COMPUTED_VALUE"""),"Pam Marcum, (480) 332-5414")</f>
        <v>Pam Marcum, (480) 332-5414</v>
      </c>
      <c r="O30" t="str">
        <f>IFERROR(__xludf.DUMMYFUNCTION("""COMPUTED_VALUE"""),"Greg Hornsby")</f>
        <v>Greg Hornsby</v>
      </c>
      <c r="P30" t="str">
        <f>IFERROR(__xludf.DUMMYFUNCTION("""COMPUTED_VALUE"""),"Pamela Marcum")</f>
        <v>Pamela Marcum</v>
      </c>
      <c r="Q30" t="str">
        <f>IFERROR(__xludf.DUMMYFUNCTION("""COMPUTED_VALUE"""),"Good")</f>
        <v>Good</v>
      </c>
      <c r="R30" t="str">
        <f>IFERROR(__xludf.DUMMYFUNCTION("""COMPUTED_VALUE"""),"Good")</f>
        <v>Good</v>
      </c>
      <c r="S30" t="str">
        <f>IFERROR(__xludf.DUMMYFUNCTION("""COMPUTED_VALUE"""),"Good")</f>
        <v>Good</v>
      </c>
      <c r="T30" t="str">
        <f>IFERROR(__xludf.DUMMYFUNCTION("""COMPUTED_VALUE"""),"Good")</f>
        <v>Good</v>
      </c>
      <c r="U30" t="str">
        <f>IFERROR(__xludf.DUMMYFUNCTION("""COMPUTED_VALUE"""),"Good")</f>
        <v>Good</v>
      </c>
      <c r="V30" t="str">
        <f>IFERROR(__xludf.DUMMYFUNCTION("""COMPUTED_VALUE"""),"Good")</f>
        <v>Good</v>
      </c>
      <c r="W30" t="str">
        <f>IFERROR(__xludf.DUMMYFUNCTION("""COMPUTED_VALUE"""),"Good")</f>
        <v>Good</v>
      </c>
      <c r="X30" t="str">
        <f>IFERROR(__xludf.DUMMYFUNCTION("""COMPUTED_VALUE"""),"Good")</f>
        <v>Good</v>
      </c>
      <c r="Y30" t="str">
        <f>IFERROR(__xludf.DUMMYFUNCTION("""COMPUTED_VALUE"""),"Good")</f>
        <v>Good</v>
      </c>
      <c r="Z30" t="str">
        <f>IFERROR(__xludf.DUMMYFUNCTION("""COMPUTED_VALUE"""),"Good")</f>
        <v>Good</v>
      </c>
      <c r="AA30" t="str">
        <f>IFERROR(__xludf.DUMMYFUNCTION("""COMPUTED_VALUE"""),"Good")</f>
        <v>Good</v>
      </c>
      <c r="AB30" t="str">
        <f>IFERROR(__xludf.DUMMYFUNCTION("""COMPUTED_VALUE"""),"Good")</f>
        <v>Good</v>
      </c>
      <c r="AC30" t="str">
        <f>IFERROR(__xludf.DUMMYFUNCTION("""COMPUTED_VALUE"""),"Good")</f>
        <v>Good</v>
      </c>
      <c r="AE30" s="11"/>
      <c r="AF30" s="12" t="s">
        <v>13</v>
      </c>
      <c r="AG30" s="17" t="s">
        <v>22</v>
      </c>
      <c r="AH30" s="12"/>
      <c r="AI30" s="12" t="s">
        <v>23</v>
      </c>
      <c r="AJ30" s="19" t="s">
        <v>24</v>
      </c>
      <c r="AK30" s="20" t="str">
        <f>HYPERLINK("https://drive.google.com/a/gtmnerr.org/file/d/1QvAZ7R1p5_SFBt5mF93Am43VNlxMzFTn/view?usp=drivesdk","Pamela Marcum - 3/24/2018")</f>
        <v>Pamela Marcum - 3/24/2018</v>
      </c>
      <c r="AL30" s="12" t="s">
        <v>25</v>
      </c>
    </row>
    <row r="31">
      <c r="A31" s="10">
        <f>IFERROR(__xludf.DUMMYFUNCTION("""COMPUTED_VALUE"""),43185.58520390047)</f>
        <v>43185.5852</v>
      </c>
      <c r="B31" s="11" t="str">
        <f>IFERROR(__xludf.DUMMYFUNCTION("""COMPUTED_VALUE"""),"Silas Tanner")</f>
        <v>Silas Tanner</v>
      </c>
      <c r="C31" t="str">
        <f>IFERROR(__xludf.DUMMYFUNCTION("""COMPUTED_VALUE"""),"silas.tanner@floridadep.gov")</f>
        <v>silas.tanner@floridadep.gov</v>
      </c>
      <c r="D31" t="str">
        <f>IFERROR(__xludf.DUMMYFUNCTION("""COMPUTED_VALUE"""),"Research")</f>
        <v>Research</v>
      </c>
      <c r="E31" t="str">
        <f>IFERROR(__xludf.DUMMYFUNCTION("""COMPUTED_VALUE"""),"Usina Boat Ramp")</f>
        <v>Usina Boat Ramp</v>
      </c>
      <c r="F31" s="13"/>
      <c r="G31" s="14">
        <f>IFERROR(__xludf.DUMMYFUNCTION("""COMPUTED_VALUE"""),43186.0)</f>
        <v>43186</v>
      </c>
      <c r="H31" t="str">
        <f>IFERROR(__xludf.DUMMYFUNCTION("""COMPUTED_VALUE"""),"ICW around Pine Island")</f>
        <v>ICW around Pine Island</v>
      </c>
      <c r="I31" s="15">
        <f>IFERROR(__xludf.DUMMYFUNCTION("""COMPUTED_VALUE"""),0.9791666666678793)</f>
        <v>0.9791666667</v>
      </c>
      <c r="J31" s="16">
        <f>IFERROR(__xludf.DUMMYFUNCTION("""COMPUTED_VALUE"""),43186.98958333333)</f>
        <v>43186.98958</v>
      </c>
      <c r="K31" t="str">
        <f>IFERROR(__xludf.DUMMYFUNCTION("""COMPUTED_VALUE"""),"23ft Skiff (Bertha) FL7972LJ DEP07613")</f>
        <v>23ft Skiff (Bertha) FL7972LJ DEP07613</v>
      </c>
      <c r="M31" t="str">
        <f>IFERROR(__xludf.DUMMYFUNCTION("""COMPUTED_VALUE"""),"Ford F250 2017 (Moby Dix) - DEP0021578")</f>
        <v>Ford F250 2017 (Moby Dix) - DEP0021578</v>
      </c>
      <c r="N31" t="str">
        <f>IFERROR(__xludf.DUMMYFUNCTION("""COMPUTED_VALUE"""),"Silas Tanner, Jimmy Tomazinis")</f>
        <v>Silas Tanner, Jimmy Tomazinis</v>
      </c>
      <c r="O31" t="str">
        <f>IFERROR(__xludf.DUMMYFUNCTION("""COMPUTED_VALUE"""),"Adam Rosenblatt, Courtney Lanasa, Mason Thackston")</f>
        <v>Adam Rosenblatt, Courtney Lanasa, Mason Thackston</v>
      </c>
      <c r="P31" t="str">
        <f>IFERROR(__xludf.DUMMYFUNCTION("""COMPUTED_VALUE"""),"Silas Tanner")</f>
        <v>Silas Tanner</v>
      </c>
      <c r="Q31" t="str">
        <f>IFERROR(__xludf.DUMMYFUNCTION("""COMPUTED_VALUE"""),"Good")</f>
        <v>Good</v>
      </c>
      <c r="R31" t="str">
        <f>IFERROR(__xludf.DUMMYFUNCTION("""COMPUTED_VALUE"""),"Good")</f>
        <v>Good</v>
      </c>
      <c r="S31" t="str">
        <f>IFERROR(__xludf.DUMMYFUNCTION("""COMPUTED_VALUE"""),"Good")</f>
        <v>Good</v>
      </c>
      <c r="T31" t="str">
        <f>IFERROR(__xludf.DUMMYFUNCTION("""COMPUTED_VALUE"""),"Good")</f>
        <v>Good</v>
      </c>
      <c r="U31" t="str">
        <f>IFERROR(__xludf.DUMMYFUNCTION("""COMPUTED_VALUE"""),"Good")</f>
        <v>Good</v>
      </c>
      <c r="V31" t="str">
        <f>IFERROR(__xludf.DUMMYFUNCTION("""COMPUTED_VALUE"""),"Good")</f>
        <v>Good</v>
      </c>
      <c r="W31" t="str">
        <f>IFERROR(__xludf.DUMMYFUNCTION("""COMPUTED_VALUE"""),"Good")</f>
        <v>Good</v>
      </c>
      <c r="X31" t="str">
        <f>IFERROR(__xludf.DUMMYFUNCTION("""COMPUTED_VALUE"""),"Good")</f>
        <v>Good</v>
      </c>
      <c r="Y31" t="str">
        <f>IFERROR(__xludf.DUMMYFUNCTION("""COMPUTED_VALUE"""),"Good")</f>
        <v>Good</v>
      </c>
      <c r="Z31" t="str">
        <f>IFERROR(__xludf.DUMMYFUNCTION("""COMPUTED_VALUE"""),"Good")</f>
        <v>Good</v>
      </c>
      <c r="AA31" t="str">
        <f>IFERROR(__xludf.DUMMYFUNCTION("""COMPUTED_VALUE"""),"Good")</f>
        <v>Good</v>
      </c>
      <c r="AB31" t="str">
        <f>IFERROR(__xludf.DUMMYFUNCTION("""COMPUTED_VALUE"""),"Good")</f>
        <v>Good</v>
      </c>
      <c r="AC31" t="str">
        <f>IFERROR(__xludf.DUMMYFUNCTION("""COMPUTED_VALUE"""),"Good")</f>
        <v>Good</v>
      </c>
      <c r="AE31" s="11"/>
      <c r="AF31" s="12" t="s">
        <v>13</v>
      </c>
      <c r="AG31" s="17" t="s">
        <v>22</v>
      </c>
      <c r="AH31" s="12"/>
      <c r="AI31" s="12" t="s">
        <v>26</v>
      </c>
      <c r="AJ31" s="19" t="s">
        <v>27</v>
      </c>
      <c r="AK31" s="20" t="str">
        <f>HYPERLINK("https://drive.google.com/a/gtmnerr.org/file/d/1YinwlBsrG6skh50eUb96HFs4ROS8w5Vd/view?usp=drivesdk","Silas Tanner - 3/27/2018")</f>
        <v>Silas Tanner - 3/27/2018</v>
      </c>
      <c r="AL31" s="12" t="s">
        <v>28</v>
      </c>
    </row>
    <row r="32">
      <c r="A32" s="10">
        <f>IFERROR(__xludf.DUMMYFUNCTION("""COMPUTED_VALUE"""),43185.587777546294)</f>
        <v>43185.58778</v>
      </c>
      <c r="B32" s="11" t="str">
        <f>IFERROR(__xludf.DUMMYFUNCTION("""COMPUTED_VALUE"""),"Silas Tanner")</f>
        <v>Silas Tanner</v>
      </c>
      <c r="C32" t="str">
        <f>IFERROR(__xludf.DUMMYFUNCTION("""COMPUTED_VALUE"""),"silas.tanner@floridadep.gov")</f>
        <v>silas.tanner@floridadep.gov</v>
      </c>
      <c r="D32" t="str">
        <f>IFERROR(__xludf.DUMMYFUNCTION("""COMPUTED_VALUE"""),"Research")</f>
        <v>Research</v>
      </c>
      <c r="E32" t="str">
        <f>IFERROR(__xludf.DUMMYFUNCTION("""COMPUTED_VALUE"""),"Vilano County Ramp")</f>
        <v>Vilano County Ramp</v>
      </c>
      <c r="F32" s="13"/>
      <c r="G32" s="14">
        <f>IFERROR(__xludf.DUMMYFUNCTION("""COMPUTED_VALUE"""),43186.0)</f>
        <v>43186</v>
      </c>
      <c r="H32" t="str">
        <f>IFERROR(__xludf.DUMMYFUNCTION("""COMPUTED_VALUE"""),"ICW: SWMP sites")</f>
        <v>ICW: SWMP sites</v>
      </c>
      <c r="I32" s="15">
        <f>IFERROR(__xludf.DUMMYFUNCTION("""COMPUTED_VALUE"""),0.5625)</f>
        <v>0.5625</v>
      </c>
      <c r="J32" s="16">
        <f>IFERROR(__xludf.DUMMYFUNCTION("""COMPUTED_VALUE"""),43186.57291666667)</f>
        <v>43186.57292</v>
      </c>
      <c r="K32" t="str">
        <f>IFERROR(__xludf.DUMMYFUNCTION("""COMPUTED_VALUE"""),"23ft Skiff (Bertha) FL7972LJ DEP07613")</f>
        <v>23ft Skiff (Bertha) FL7972LJ DEP07613</v>
      </c>
      <c r="M32" t="str">
        <f>IFERROR(__xludf.DUMMYFUNCTION("""COMPUTED_VALUE"""),"Ford F250 2017 (Moby Dix) - DEP0021578")</f>
        <v>Ford F250 2017 (Moby Dix) - DEP0021578</v>
      </c>
      <c r="N32" t="str">
        <f>IFERROR(__xludf.DUMMYFUNCTION("""COMPUTED_VALUE"""),"Silas Tanner, Jimmy Tomazinis")</f>
        <v>Silas Tanner, Jimmy Tomazinis</v>
      </c>
      <c r="O32" t="str">
        <f>IFERROR(__xludf.DUMMYFUNCTION("""COMPUTED_VALUE"""),"Matthew Sturchio")</f>
        <v>Matthew Sturchio</v>
      </c>
      <c r="P32" t="str">
        <f>IFERROR(__xludf.DUMMYFUNCTION("""COMPUTED_VALUE"""),"Silas Tanner")</f>
        <v>Silas Tanner</v>
      </c>
      <c r="Q32" t="str">
        <f>IFERROR(__xludf.DUMMYFUNCTION("""COMPUTED_VALUE"""),"Good")</f>
        <v>Good</v>
      </c>
      <c r="R32" t="str">
        <f>IFERROR(__xludf.DUMMYFUNCTION("""COMPUTED_VALUE"""),"Good")</f>
        <v>Good</v>
      </c>
      <c r="S32" t="str">
        <f>IFERROR(__xludf.DUMMYFUNCTION("""COMPUTED_VALUE"""),"Good")</f>
        <v>Good</v>
      </c>
      <c r="T32" t="str">
        <f>IFERROR(__xludf.DUMMYFUNCTION("""COMPUTED_VALUE"""),"Good")</f>
        <v>Good</v>
      </c>
      <c r="U32" t="str">
        <f>IFERROR(__xludf.DUMMYFUNCTION("""COMPUTED_VALUE"""),"Good")</f>
        <v>Good</v>
      </c>
      <c r="V32" t="str">
        <f>IFERROR(__xludf.DUMMYFUNCTION("""COMPUTED_VALUE"""),"Good")</f>
        <v>Good</v>
      </c>
      <c r="W32" t="str">
        <f>IFERROR(__xludf.DUMMYFUNCTION("""COMPUTED_VALUE"""),"Good")</f>
        <v>Good</v>
      </c>
      <c r="X32" t="str">
        <f>IFERROR(__xludf.DUMMYFUNCTION("""COMPUTED_VALUE"""),"Good")</f>
        <v>Good</v>
      </c>
      <c r="Y32" t="str">
        <f>IFERROR(__xludf.DUMMYFUNCTION("""COMPUTED_VALUE"""),"Good")</f>
        <v>Good</v>
      </c>
      <c r="Z32" t="str">
        <f>IFERROR(__xludf.DUMMYFUNCTION("""COMPUTED_VALUE"""),"Good")</f>
        <v>Good</v>
      </c>
      <c r="AA32" t="str">
        <f>IFERROR(__xludf.DUMMYFUNCTION("""COMPUTED_VALUE"""),"Good")</f>
        <v>Good</v>
      </c>
      <c r="AB32" t="str">
        <f>IFERROR(__xludf.DUMMYFUNCTION("""COMPUTED_VALUE"""),"Good")</f>
        <v>Good</v>
      </c>
      <c r="AC32" t="str">
        <f>IFERROR(__xludf.DUMMYFUNCTION("""COMPUTED_VALUE"""),"Good")</f>
        <v>Good</v>
      </c>
      <c r="AE32" s="11"/>
      <c r="AF32" s="12" t="s">
        <v>13</v>
      </c>
      <c r="AG32" s="17" t="s">
        <v>18</v>
      </c>
      <c r="AH32" s="12"/>
      <c r="AI32" s="12" t="s">
        <v>29</v>
      </c>
      <c r="AJ32" s="19" t="s">
        <v>30</v>
      </c>
      <c r="AK32" s="20" t="str">
        <f>HYPERLINK("https://drive.google.com/a/gtmnerr.org/file/d/1UDcTZ57HVMirRLXojC9fGFCmlWToZDMk/view?usp=drivesdk","Silas Tanner - 3/27/2018")</f>
        <v>Silas Tanner - 3/27/2018</v>
      </c>
      <c r="AL32" s="12" t="s">
        <v>31</v>
      </c>
    </row>
    <row r="33">
      <c r="A33" s="10">
        <f>IFERROR(__xludf.DUMMYFUNCTION("""COMPUTED_VALUE"""),43187.317305231474)</f>
        <v>43187.31731</v>
      </c>
      <c r="B33" s="11" t="str">
        <f>IFERROR(__xludf.DUMMYFUNCTION("""COMPUTED_VALUE"""),"James Tomazinis")</f>
        <v>James Tomazinis</v>
      </c>
      <c r="C33" t="str">
        <f>IFERROR(__xludf.DUMMYFUNCTION("""COMPUTED_VALUE"""),"james.tomazinis@floridadep.gov")</f>
        <v>james.tomazinis@floridadep.gov</v>
      </c>
      <c r="D33" t="str">
        <f>IFERROR(__xludf.DUMMYFUNCTION("""COMPUTED_VALUE"""),"Stewardship (Aquatic)")</f>
        <v>Stewardship (Aquatic)</v>
      </c>
      <c r="E33" t="str">
        <f>IFERROR(__xludf.DUMMYFUNCTION("""COMPUTED_VALUE"""),"Guana Dam")</f>
        <v>Guana Dam</v>
      </c>
      <c r="F33" s="13"/>
      <c r="G33" s="14">
        <f>IFERROR(__xludf.DUMMYFUNCTION("""COMPUTED_VALUE"""),43187.0)</f>
        <v>43187</v>
      </c>
      <c r="H33" t="str">
        <f>IFERROR(__xludf.DUMMYFUNCTION("""COMPUTED_VALUE"""),"Guana Nutrient sites")</f>
        <v>Guana Nutrient sites</v>
      </c>
      <c r="I33" s="15">
        <f>IFERROR(__xludf.DUMMYFUNCTION("""COMPUTED_VALUE"""),0.5)</f>
        <v>0.5</v>
      </c>
      <c r="J33" s="16">
        <f>IFERROR(__xludf.DUMMYFUNCTION("""COMPUTED_VALUE"""),43187.01041666667)</f>
        <v>43187.01042</v>
      </c>
      <c r="K33" t="str">
        <f>IFERROR(__xludf.DUMMYFUNCTION("""COMPUTED_VALUE"""),"Jon Boat FL0484NP DEP06819")</f>
        <v>Jon Boat FL0484NP DEP06819</v>
      </c>
      <c r="M33" t="str">
        <f>IFERROR(__xludf.DUMMYFUNCTION("""COMPUTED_VALUE"""),"Ford F150 2008 - DEP18041 (ML)")</f>
        <v>Ford F150 2008 - DEP18041 (ML)</v>
      </c>
      <c r="N33" t="str">
        <f>IFERROR(__xludf.DUMMYFUNCTION("""COMPUTED_VALUE"""),"Silas Tanner, Jimmy Tomazinis")</f>
        <v>Silas Tanner, Jimmy Tomazinis</v>
      </c>
      <c r="P33" t="str">
        <f>IFERROR(__xludf.DUMMYFUNCTION("""COMPUTED_VALUE"""),"James Tomazinis")</f>
        <v>James Tomazinis</v>
      </c>
      <c r="Q33" t="str">
        <f>IFERROR(__xludf.DUMMYFUNCTION("""COMPUTED_VALUE"""),"Good")</f>
        <v>Good</v>
      </c>
      <c r="R33" t="str">
        <f>IFERROR(__xludf.DUMMYFUNCTION("""COMPUTED_VALUE"""),"Good")</f>
        <v>Good</v>
      </c>
      <c r="S33" t="str">
        <f>IFERROR(__xludf.DUMMYFUNCTION("""COMPUTED_VALUE"""),"Good")</f>
        <v>Good</v>
      </c>
      <c r="T33" t="str">
        <f>IFERROR(__xludf.DUMMYFUNCTION("""COMPUTED_VALUE"""),"Good")</f>
        <v>Good</v>
      </c>
      <c r="U33" t="str">
        <f>IFERROR(__xludf.DUMMYFUNCTION("""COMPUTED_VALUE"""),"Good")</f>
        <v>Good</v>
      </c>
      <c r="V33" t="str">
        <f>IFERROR(__xludf.DUMMYFUNCTION("""COMPUTED_VALUE"""),"Good")</f>
        <v>Good</v>
      </c>
      <c r="W33" t="str">
        <f>IFERROR(__xludf.DUMMYFUNCTION("""COMPUTED_VALUE"""),"Good")</f>
        <v>Good</v>
      </c>
      <c r="X33" t="str">
        <f>IFERROR(__xludf.DUMMYFUNCTION("""COMPUTED_VALUE"""),"Good")</f>
        <v>Good</v>
      </c>
      <c r="Y33" t="str">
        <f>IFERROR(__xludf.DUMMYFUNCTION("""COMPUTED_VALUE"""),"Good")</f>
        <v>Good</v>
      </c>
      <c r="Z33" t="str">
        <f>IFERROR(__xludf.DUMMYFUNCTION("""COMPUTED_VALUE"""),"Good")</f>
        <v>Good</v>
      </c>
      <c r="AA33" t="str">
        <f>IFERROR(__xludf.DUMMYFUNCTION("""COMPUTED_VALUE"""),"Good")</f>
        <v>Good</v>
      </c>
      <c r="AB33" t="str">
        <f>IFERROR(__xludf.DUMMYFUNCTION("""COMPUTED_VALUE"""),"Good")</f>
        <v>Good</v>
      </c>
      <c r="AC33" t="str">
        <f>IFERROR(__xludf.DUMMYFUNCTION("""COMPUTED_VALUE"""),"Good")</f>
        <v>Good</v>
      </c>
      <c r="AE33" s="11"/>
      <c r="AF33" s="12" t="s">
        <v>32</v>
      </c>
      <c r="AG33" s="17" t="s">
        <v>18</v>
      </c>
      <c r="AH33" s="12"/>
      <c r="AI33" s="12" t="s">
        <v>33</v>
      </c>
      <c r="AJ33" s="19" t="s">
        <v>34</v>
      </c>
      <c r="AK33" s="20" t="str">
        <f>HYPERLINK("https://drive.google.com/a/gtmnerr.org/file/d/1jgjcWdO9z2WyqZPvktwTx42rtdLSC_0a/view?usp=drivesdk","James Tomazinis - 3/28/2018")</f>
        <v>James Tomazinis - 3/28/2018</v>
      </c>
      <c r="AL33" s="12" t="s">
        <v>35</v>
      </c>
    </row>
    <row r="34">
      <c r="A34" s="10">
        <f>IFERROR(__xludf.DUMMYFUNCTION("""COMPUTED_VALUE"""),43188.36082784722)</f>
        <v>43188.36083</v>
      </c>
      <c r="B34" s="11" t="str">
        <f>IFERROR(__xludf.DUMMYFUNCTION("""COMPUTED_VALUE"""),"James Tomazinis")</f>
        <v>James Tomazinis</v>
      </c>
      <c r="C34" t="str">
        <f>IFERROR(__xludf.DUMMYFUNCTION("""COMPUTED_VALUE"""),"james.tomazinis@floridadep.gov")</f>
        <v>james.tomazinis@floridadep.gov</v>
      </c>
      <c r="D34" t="str">
        <f>IFERROR(__xludf.DUMMYFUNCTION("""COMPUTED_VALUE"""),"Stewardship (Aquatic)")</f>
        <v>Stewardship (Aquatic)</v>
      </c>
      <c r="E34" t="str">
        <f>IFERROR(__xludf.DUMMYFUNCTION("""COMPUTED_VALUE"""),"Aunt Kates")</f>
        <v>Aunt Kates</v>
      </c>
      <c r="F34" s="13"/>
      <c r="G34" s="14">
        <f>IFERROR(__xludf.DUMMYFUNCTION("""COMPUTED_VALUE"""),43188.0)</f>
        <v>43188</v>
      </c>
      <c r="H34" t="str">
        <f>IFERROR(__xludf.DUMMYFUNCTION("""COMPUTED_VALUE"""),"Angelini Sites")</f>
        <v>Angelini Sites</v>
      </c>
      <c r="I34" s="15">
        <f>IFERROR(__xludf.DUMMYFUNCTION("""COMPUTED_VALUE"""),0.7083333333321207)</f>
        <v>0.7083333333</v>
      </c>
      <c r="J34" s="16">
        <f>IFERROR(__xludf.DUMMYFUNCTION("""COMPUTED_VALUE"""),43188.71875)</f>
        <v>43188.71875</v>
      </c>
      <c r="K34" t="str">
        <f>IFERROR(__xludf.DUMMYFUNCTION("""COMPUTED_VALUE"""),"23ft Skiff (Bertha) FL7972LJ DEP07613")</f>
        <v>23ft Skiff (Bertha) FL7972LJ DEP07613</v>
      </c>
      <c r="M34" t="str">
        <f>IFERROR(__xludf.DUMMYFUNCTION("""COMPUTED_VALUE"""),"Ford F250 2017 (Moby Dix) - DEP0021578")</f>
        <v>Ford F250 2017 (Moby Dix) - DEP0021578</v>
      </c>
      <c r="N34" t="str">
        <f>IFERROR(__xludf.DUMMYFUNCTION("""COMPUTED_VALUE"""),"Jimmy Tomazinis")</f>
        <v>Jimmy Tomazinis</v>
      </c>
      <c r="O34" t="str">
        <f>IFERROR(__xludf.DUMMYFUNCTION("""COMPUTED_VALUE"""),"Greg")</f>
        <v>Greg</v>
      </c>
      <c r="P34" t="str">
        <f>IFERROR(__xludf.DUMMYFUNCTION("""COMPUTED_VALUE"""),"Jimmy")</f>
        <v>Jimmy</v>
      </c>
      <c r="Q34" t="str">
        <f>IFERROR(__xludf.DUMMYFUNCTION("""COMPUTED_VALUE"""),"Good")</f>
        <v>Good</v>
      </c>
      <c r="R34" t="str">
        <f>IFERROR(__xludf.DUMMYFUNCTION("""COMPUTED_VALUE"""),"Good")</f>
        <v>Good</v>
      </c>
      <c r="S34" t="str">
        <f>IFERROR(__xludf.DUMMYFUNCTION("""COMPUTED_VALUE"""),"Good")</f>
        <v>Good</v>
      </c>
      <c r="T34" t="str">
        <f>IFERROR(__xludf.DUMMYFUNCTION("""COMPUTED_VALUE"""),"Good")</f>
        <v>Good</v>
      </c>
      <c r="U34" t="str">
        <f>IFERROR(__xludf.DUMMYFUNCTION("""COMPUTED_VALUE"""),"Good")</f>
        <v>Good</v>
      </c>
      <c r="V34" t="str">
        <f>IFERROR(__xludf.DUMMYFUNCTION("""COMPUTED_VALUE"""),"Good")</f>
        <v>Good</v>
      </c>
      <c r="W34" t="str">
        <f>IFERROR(__xludf.DUMMYFUNCTION("""COMPUTED_VALUE"""),"Good")</f>
        <v>Good</v>
      </c>
      <c r="X34" t="str">
        <f>IFERROR(__xludf.DUMMYFUNCTION("""COMPUTED_VALUE"""),"Good")</f>
        <v>Good</v>
      </c>
      <c r="Y34" t="str">
        <f>IFERROR(__xludf.DUMMYFUNCTION("""COMPUTED_VALUE"""),"Good")</f>
        <v>Good</v>
      </c>
      <c r="Z34" t="str">
        <f>IFERROR(__xludf.DUMMYFUNCTION("""COMPUTED_VALUE"""),"Good")</f>
        <v>Good</v>
      </c>
      <c r="AA34" t="str">
        <f>IFERROR(__xludf.DUMMYFUNCTION("""COMPUTED_VALUE"""),"Good")</f>
        <v>Good</v>
      </c>
      <c r="AB34" t="str">
        <f>IFERROR(__xludf.DUMMYFUNCTION("""COMPUTED_VALUE"""),"Good")</f>
        <v>Good</v>
      </c>
      <c r="AC34" t="str">
        <f>IFERROR(__xludf.DUMMYFUNCTION("""COMPUTED_VALUE"""),"Good")</f>
        <v>Good</v>
      </c>
      <c r="AE34" s="11"/>
      <c r="AF34" s="12" t="s">
        <v>32</v>
      </c>
      <c r="AG34" s="17" t="s">
        <v>22</v>
      </c>
      <c r="AH34" s="12"/>
      <c r="AI34" s="12" t="s">
        <v>36</v>
      </c>
      <c r="AJ34" s="19" t="s">
        <v>37</v>
      </c>
      <c r="AK34" s="20" t="str">
        <f>HYPERLINK("https://drive.google.com/a/gtmnerr.org/file/d/1xdZPUxBQL3Q04nu9hZKEqU5OAwvcXjY4/view?usp=drivesdk","James Tomazinis - 3/29/2018")</f>
        <v>James Tomazinis - 3/29/2018</v>
      </c>
      <c r="AL34" s="12" t="s">
        <v>38</v>
      </c>
    </row>
    <row r="35">
      <c r="A35" s="10">
        <f>IFERROR(__xludf.DUMMYFUNCTION("""COMPUTED_VALUE"""),43189.49478293981)</f>
        <v>43189.49478</v>
      </c>
      <c r="B35" s="11" t="str">
        <f>IFERROR(__xludf.DUMMYFUNCTION("""COMPUTED_VALUE"""),"Kenneth Rainer")</f>
        <v>Kenneth Rainer</v>
      </c>
      <c r="C35" t="str">
        <f>IFERROR(__xludf.DUMMYFUNCTION("""COMPUTED_VALUE"""),"Kenneth.Rainer@dep.state.fl.us")</f>
        <v>Kenneth.Rainer@dep.state.fl.us</v>
      </c>
      <c r="D35" t="str">
        <f>IFERROR(__xludf.DUMMYFUNCTION("""COMPUTED_VALUE"""),"Education")</f>
        <v>Education</v>
      </c>
      <c r="E35" t="str">
        <f>IFERROR(__xludf.DUMMYFUNCTION("""COMPUTED_VALUE"""),"Frank Butler West Boat Ramp")</f>
        <v>Frank Butler West Boat Ramp</v>
      </c>
      <c r="F35" s="13"/>
      <c r="G35" s="14">
        <f>IFERROR(__xludf.DUMMYFUNCTION("""COMPUTED_VALUE"""),43190.0)</f>
        <v>43190</v>
      </c>
      <c r="H35" t="str">
        <f>IFERROR(__xludf.DUMMYFUNCTION("""COMPUTED_VALUE"""),"Southern Component (Matanzas River)")</f>
        <v>Southern Component (Matanzas River)</v>
      </c>
      <c r="I35" s="15">
        <f>IFERROR(__xludf.DUMMYFUNCTION("""COMPUTED_VALUE"""),0.5416666666678793)</f>
        <v>0.5416666667</v>
      </c>
      <c r="J35" s="16">
        <f>IFERROR(__xludf.DUMMYFUNCTION("""COMPUTED_VALUE"""),43190.70833333333)</f>
        <v>43190.70833</v>
      </c>
      <c r="K35" t="str">
        <f>IFERROR(__xludf.DUMMYFUNCTION("""COMPUTED_VALUE"""),"23ft Skiff (Bertha) FL7972LJ DEP07613")</f>
        <v>23ft Skiff (Bertha) FL7972LJ DEP07613</v>
      </c>
      <c r="M35" t="str">
        <f>IFERROR(__xludf.DUMMYFUNCTION("""COMPUTED_VALUE"""),"Ford F250 2017 (Moby Dix) - DEP0021578")</f>
        <v>Ford F250 2017 (Moby Dix) - DEP0021578</v>
      </c>
      <c r="N35" t="str">
        <f>IFERROR(__xludf.DUMMYFUNCTION("""COMPUTED_VALUE"""),"Kenneth Rainer, (936) 499-1853")</f>
        <v>Kenneth Rainer, (936) 499-1853</v>
      </c>
      <c r="O35" t="str">
        <f>IFERROR(__xludf.DUMMYFUNCTION("""COMPUTED_VALUE"""),"Joe McCoy, Five High School Students (provided DEP release waivers)")</f>
        <v>Joe McCoy, Five High School Students (provided DEP release waivers)</v>
      </c>
      <c r="P35" t="str">
        <f>IFERROR(__xludf.DUMMYFUNCTION("""COMPUTED_VALUE"""),"Kenneth Rainer")</f>
        <v>Kenneth Rainer</v>
      </c>
      <c r="Q35" t="str">
        <f>IFERROR(__xludf.DUMMYFUNCTION("""COMPUTED_VALUE"""),"Good")</f>
        <v>Good</v>
      </c>
      <c r="R35" t="str">
        <f>IFERROR(__xludf.DUMMYFUNCTION("""COMPUTED_VALUE"""),"Good")</f>
        <v>Good</v>
      </c>
      <c r="S35" t="str">
        <f>IFERROR(__xludf.DUMMYFUNCTION("""COMPUTED_VALUE"""),"Good")</f>
        <v>Good</v>
      </c>
      <c r="T35" t="str">
        <f>IFERROR(__xludf.DUMMYFUNCTION("""COMPUTED_VALUE"""),"Good")</f>
        <v>Good</v>
      </c>
      <c r="U35" t="str">
        <f>IFERROR(__xludf.DUMMYFUNCTION("""COMPUTED_VALUE"""),"Good")</f>
        <v>Good</v>
      </c>
      <c r="V35" t="str">
        <f>IFERROR(__xludf.DUMMYFUNCTION("""COMPUTED_VALUE"""),"Good")</f>
        <v>Good</v>
      </c>
      <c r="W35" t="str">
        <f>IFERROR(__xludf.DUMMYFUNCTION("""COMPUTED_VALUE"""),"Good")</f>
        <v>Good</v>
      </c>
      <c r="X35" t="str">
        <f>IFERROR(__xludf.DUMMYFUNCTION("""COMPUTED_VALUE"""),"Good")</f>
        <v>Good</v>
      </c>
      <c r="Y35" t="str">
        <f>IFERROR(__xludf.DUMMYFUNCTION("""COMPUTED_VALUE"""),"Good")</f>
        <v>Good</v>
      </c>
      <c r="Z35" t="str">
        <f>IFERROR(__xludf.DUMMYFUNCTION("""COMPUTED_VALUE"""),"Good")</f>
        <v>Good</v>
      </c>
      <c r="AA35" t="str">
        <f>IFERROR(__xludf.DUMMYFUNCTION("""COMPUTED_VALUE"""),"Good")</f>
        <v>Good</v>
      </c>
      <c r="AB35" t="str">
        <f>IFERROR(__xludf.DUMMYFUNCTION("""COMPUTED_VALUE"""),"Good")</f>
        <v>Good</v>
      </c>
      <c r="AC35" t="str">
        <f>IFERROR(__xludf.DUMMYFUNCTION("""COMPUTED_VALUE"""),"Good")</f>
        <v>Good</v>
      </c>
      <c r="AD35" t="str">
        <f>IFERROR(__xludf.DUMMYFUNCTION("""COMPUTED_VALUE"""),"Partly Cloudy, High 72 F, 16% rain, wind is 10mph NNW")</f>
        <v>Partly Cloudy, High 72 F, 16% rain, wind is 10mph NNW</v>
      </c>
      <c r="AE35" s="11" t="str">
        <f>IFERROR(__xludf.DUMMYFUNCTION("""COMPUTED_VALUE"""),"High Tide (4.8') 10:07 AM; Low Tide (-0.2') 4:34 PM")</f>
        <v>High Tide (4.8') 10:07 AM; Low Tide (-0.2') 4:34 PM</v>
      </c>
      <c r="AF35" s="12" t="s">
        <v>9</v>
      </c>
      <c r="AG35" s="17" t="s">
        <v>39</v>
      </c>
      <c r="AH35" s="12"/>
      <c r="AI35" s="12" t="s">
        <v>40</v>
      </c>
      <c r="AJ35" s="19" t="s">
        <v>41</v>
      </c>
      <c r="AK35" s="20" t="str">
        <f>HYPERLINK("https://drive.google.com/a/gtmnerr.org/file/d/1CqRffsFMJFT8y9LOWdRzM3m5rD9ZeP2D/view?usp=drivesdk","Kenneth Rainer - 3/31/2018")</f>
        <v>Kenneth Rainer - 3/31/2018</v>
      </c>
      <c r="AL35" s="12" t="s">
        <v>42</v>
      </c>
    </row>
    <row r="36">
      <c r="A36" s="10">
        <f>IFERROR(__xludf.DUMMYFUNCTION("""COMPUTED_VALUE"""),43193.314899652774)</f>
        <v>43193.3149</v>
      </c>
      <c r="B36" s="11" t="str">
        <f>IFERROR(__xludf.DUMMYFUNCTION("""COMPUTED_VALUE"""),"Pamela Marcum")</f>
        <v>Pamela Marcum</v>
      </c>
      <c r="C36" t="str">
        <f>IFERROR(__xludf.DUMMYFUNCTION("""COMPUTED_VALUE"""),"Pamela.Marcum@dep.state.fl.us")</f>
        <v>Pamela.Marcum@dep.state.fl.us</v>
      </c>
      <c r="D36" t="str">
        <f>IFERROR(__xludf.DUMMYFUNCTION("""COMPUTED_VALUE"""),"Research")</f>
        <v>Research</v>
      </c>
      <c r="E36" t="str">
        <f>IFERROR(__xludf.DUMMYFUNCTION("""COMPUTED_VALUE"""),"Aunt Kate's/Usina")</f>
        <v>Aunt Kate's/Usina</v>
      </c>
      <c r="F36" s="13"/>
      <c r="G36" s="14">
        <f>IFERROR(__xludf.DUMMYFUNCTION("""COMPUTED_VALUE"""),43193.0)</f>
        <v>43193</v>
      </c>
      <c r="H36" t="str">
        <f>IFERROR(__xludf.DUMMYFUNCTION("""COMPUTED_VALUE"""),"Spat Run, Marsh Platforms, Angelini Site")</f>
        <v>Spat Run, Marsh Platforms, Angelini Site</v>
      </c>
      <c r="I36" s="15">
        <f>IFERROR(__xludf.DUMMYFUNCTION("""COMPUTED_VALUE"""),0.6458333333321207)</f>
        <v>0.6458333333</v>
      </c>
      <c r="J36" s="16">
        <f>IFERROR(__xludf.DUMMYFUNCTION("""COMPUTED_VALUE"""),43193.66666666667)</f>
        <v>43193.66667</v>
      </c>
      <c r="K36" t="str">
        <f>IFERROR(__xludf.DUMMYFUNCTION("""COMPUTED_VALUE"""),"23ft Skiff (Bertha) FL7972LJ DEP07613")</f>
        <v>23ft Skiff (Bertha) FL7972LJ DEP07613</v>
      </c>
      <c r="M36" t="str">
        <f>IFERROR(__xludf.DUMMYFUNCTION("""COMPUTED_VALUE"""),"Ford F150 2008 - DEP18041 (ML)")</f>
        <v>Ford F150 2008 - DEP18041 (ML)</v>
      </c>
      <c r="N36" t="str">
        <f>IFERROR(__xludf.DUMMYFUNCTION("""COMPUTED_VALUE"""),"Pam Marcum, (480) 332-5414")</f>
        <v>Pam Marcum, (480) 332-5414</v>
      </c>
      <c r="O36" t="str">
        <f>IFERROR(__xludf.DUMMYFUNCTION("""COMPUTED_VALUE"""),"Ben Mowbray")</f>
        <v>Ben Mowbray</v>
      </c>
      <c r="P36" t="str">
        <f>IFERROR(__xludf.DUMMYFUNCTION("""COMPUTED_VALUE"""),"Pam ")</f>
        <v>Pam </v>
      </c>
      <c r="Q36" t="str">
        <f>IFERROR(__xludf.DUMMYFUNCTION("""COMPUTED_VALUE"""),"Good")</f>
        <v>Good</v>
      </c>
      <c r="R36" t="str">
        <f>IFERROR(__xludf.DUMMYFUNCTION("""COMPUTED_VALUE"""),"Good")</f>
        <v>Good</v>
      </c>
      <c r="S36" t="str">
        <f>IFERROR(__xludf.DUMMYFUNCTION("""COMPUTED_VALUE"""),"Good")</f>
        <v>Good</v>
      </c>
      <c r="T36" t="str">
        <f>IFERROR(__xludf.DUMMYFUNCTION("""COMPUTED_VALUE"""),"Good")</f>
        <v>Good</v>
      </c>
      <c r="U36" t="str">
        <f>IFERROR(__xludf.DUMMYFUNCTION("""COMPUTED_VALUE"""),"Good")</f>
        <v>Good</v>
      </c>
      <c r="V36" t="str">
        <f>IFERROR(__xludf.DUMMYFUNCTION("""COMPUTED_VALUE"""),"Good")</f>
        <v>Good</v>
      </c>
      <c r="W36" t="str">
        <f>IFERROR(__xludf.DUMMYFUNCTION("""COMPUTED_VALUE"""),"Good")</f>
        <v>Good</v>
      </c>
      <c r="X36" t="str">
        <f>IFERROR(__xludf.DUMMYFUNCTION("""COMPUTED_VALUE"""),"Good")</f>
        <v>Good</v>
      </c>
      <c r="Y36" t="str">
        <f>IFERROR(__xludf.DUMMYFUNCTION("""COMPUTED_VALUE"""),"Good")</f>
        <v>Good</v>
      </c>
      <c r="Z36" t="str">
        <f>IFERROR(__xludf.DUMMYFUNCTION("""COMPUTED_VALUE"""),"Good")</f>
        <v>Good</v>
      </c>
      <c r="AA36" t="str">
        <f>IFERROR(__xludf.DUMMYFUNCTION("""COMPUTED_VALUE"""),"Good")</f>
        <v>Good</v>
      </c>
      <c r="AB36" t="str">
        <f>IFERROR(__xludf.DUMMYFUNCTION("""COMPUTED_VALUE"""),"Good")</f>
        <v>Good</v>
      </c>
      <c r="AC36" t="str">
        <f>IFERROR(__xludf.DUMMYFUNCTION("""COMPUTED_VALUE"""),"Good")</f>
        <v>Good</v>
      </c>
      <c r="AE36" s="11"/>
      <c r="AF36" s="12" t="s">
        <v>13</v>
      </c>
      <c r="AG36" s="17" t="s">
        <v>43</v>
      </c>
      <c r="AH36" s="12"/>
      <c r="AI36" s="12" t="s">
        <v>44</v>
      </c>
      <c r="AJ36" s="19" t="s">
        <v>45</v>
      </c>
      <c r="AK36" s="20" t="str">
        <f>HYPERLINK("https://drive.google.com/a/gtmnerr.org/file/d/1VQkdorZRbfabc3AEa7o8ja86ZuyLfsIJ/view?usp=drivesdk","Pamela Marcum - 4/3/2018")</f>
        <v>Pamela Marcum - 4/3/2018</v>
      </c>
      <c r="AL36" s="12" t="s">
        <v>46</v>
      </c>
    </row>
    <row r="37">
      <c r="A37" s="10">
        <f>IFERROR(__xludf.DUMMYFUNCTION("""COMPUTED_VALUE"""),43195.325308298605)</f>
        <v>43195.32531</v>
      </c>
      <c r="B37" s="11" t="str">
        <f>IFERROR(__xludf.DUMMYFUNCTION("""COMPUTED_VALUE"""),"Pam Marcum")</f>
        <v>Pam Marcum</v>
      </c>
      <c r="C37" t="str">
        <f>IFERROR(__xludf.DUMMYFUNCTION("""COMPUTED_VALUE"""),"Pamela.Marcum@dep.state.fl.us")</f>
        <v>Pamela.Marcum@dep.state.fl.us</v>
      </c>
      <c r="D37" t="str">
        <f>IFERROR(__xludf.DUMMYFUNCTION("""COMPUTED_VALUE"""),"Research")</f>
        <v>Research</v>
      </c>
      <c r="E37" t="str">
        <f>IFERROR(__xludf.DUMMYFUNCTION("""COMPUTED_VALUE"""),"Usina")</f>
        <v>Usina</v>
      </c>
      <c r="F37" s="13"/>
      <c r="G37" s="14">
        <f>IFERROR(__xludf.DUMMYFUNCTION("""COMPUTED_VALUE"""),43195.0)</f>
        <v>43195</v>
      </c>
      <c r="H37" t="str">
        <f>IFERROR(__xludf.DUMMYFUNCTION("""COMPUTED_VALUE"""),"Guana River")</f>
        <v>Guana River</v>
      </c>
      <c r="I37" s="15">
        <f>IFERROR(__xludf.DUMMYFUNCTION("""COMPUTED_VALUE"""),0.4375)</f>
        <v>0.4375</v>
      </c>
      <c r="J37" s="16">
        <f>IFERROR(__xludf.DUMMYFUNCTION("""COMPUTED_VALUE"""),43195.45833333333)</f>
        <v>43195.45833</v>
      </c>
      <c r="K37" t="str">
        <f>IFERROR(__xludf.DUMMYFUNCTION("""COMPUTED_VALUE"""),"23ft Skiff (Bertha) FL7972LJ DEP07613")</f>
        <v>23ft Skiff (Bertha) FL7972LJ DEP07613</v>
      </c>
      <c r="M37" t="str">
        <f>IFERROR(__xludf.DUMMYFUNCTION("""COMPUTED_VALUE"""),"Ford F150 2008 - DEP18041 (ML)")</f>
        <v>Ford F150 2008 - DEP18041 (ML)</v>
      </c>
      <c r="N37" t="str">
        <f>IFERROR(__xludf.DUMMYFUNCTION("""COMPUTED_VALUE"""),"Pam Marcum, (480) 332-5414")</f>
        <v>Pam Marcum, (480) 332-5414</v>
      </c>
      <c r="O37" t="str">
        <f>IFERROR(__xludf.DUMMYFUNCTION("""COMPUTED_VALUE"""),"Ben Mowbray (407) 962-8782")</f>
        <v>Ben Mowbray (407) 962-8782</v>
      </c>
      <c r="P37" t="str">
        <f>IFERROR(__xludf.DUMMYFUNCTION("""COMPUTED_VALUE"""),"Pam Marcum")</f>
        <v>Pam Marcum</v>
      </c>
      <c r="Q37" t="str">
        <f>IFERROR(__xludf.DUMMYFUNCTION("""COMPUTED_VALUE"""),"Good")</f>
        <v>Good</v>
      </c>
      <c r="R37" t="str">
        <f>IFERROR(__xludf.DUMMYFUNCTION("""COMPUTED_VALUE"""),"Good")</f>
        <v>Good</v>
      </c>
      <c r="S37" t="str">
        <f>IFERROR(__xludf.DUMMYFUNCTION("""COMPUTED_VALUE"""),"Good")</f>
        <v>Good</v>
      </c>
      <c r="T37" t="str">
        <f>IFERROR(__xludf.DUMMYFUNCTION("""COMPUTED_VALUE"""),"Good")</f>
        <v>Good</v>
      </c>
      <c r="U37" t="str">
        <f>IFERROR(__xludf.DUMMYFUNCTION("""COMPUTED_VALUE"""),"Good")</f>
        <v>Good</v>
      </c>
      <c r="V37" t="str">
        <f>IFERROR(__xludf.DUMMYFUNCTION("""COMPUTED_VALUE"""),"Good")</f>
        <v>Good</v>
      </c>
      <c r="W37" t="str">
        <f>IFERROR(__xludf.DUMMYFUNCTION("""COMPUTED_VALUE"""),"Good")</f>
        <v>Good</v>
      </c>
      <c r="X37" t="str">
        <f>IFERROR(__xludf.DUMMYFUNCTION("""COMPUTED_VALUE"""),"Good")</f>
        <v>Good</v>
      </c>
      <c r="Y37" t="str">
        <f>IFERROR(__xludf.DUMMYFUNCTION("""COMPUTED_VALUE"""),"Good")</f>
        <v>Good</v>
      </c>
      <c r="Z37" t="str">
        <f>IFERROR(__xludf.DUMMYFUNCTION("""COMPUTED_VALUE"""),"Good")</f>
        <v>Good</v>
      </c>
      <c r="AA37" t="str">
        <f>IFERROR(__xludf.DUMMYFUNCTION("""COMPUTED_VALUE"""),"Good")</f>
        <v>Good</v>
      </c>
      <c r="AB37" t="str">
        <f>IFERROR(__xludf.DUMMYFUNCTION("""COMPUTED_VALUE"""),"Good")</f>
        <v>Good</v>
      </c>
      <c r="AC37" t="str">
        <f>IFERROR(__xludf.DUMMYFUNCTION("""COMPUTED_VALUE"""),"Good")</f>
        <v>Good</v>
      </c>
      <c r="AE37" s="11"/>
      <c r="AF37" s="12" t="s">
        <v>13</v>
      </c>
      <c r="AG37" s="17" t="s">
        <v>18</v>
      </c>
      <c r="AH37" s="12"/>
      <c r="AI37" s="12" t="s">
        <v>47</v>
      </c>
      <c r="AJ37" s="19" t="s">
        <v>48</v>
      </c>
      <c r="AK37" s="20" t="str">
        <f>HYPERLINK("https://drive.google.com/a/gtmnerr.org/file/d/1wwbmFLgI3rXytEVbNoq8P0VpSeSlZpZt/view?usp=drivesdk","Pam Marcum - 4/5/2018")</f>
        <v>Pam Marcum - 4/5/2018</v>
      </c>
      <c r="AL37" s="12" t="s">
        <v>49</v>
      </c>
    </row>
    <row r="38">
      <c r="A38" s="10">
        <f>IFERROR(__xludf.DUMMYFUNCTION("""COMPUTED_VALUE"""),43197.37090658565)</f>
        <v>43197.37091</v>
      </c>
      <c r="B38" s="11" t="str">
        <f>IFERROR(__xludf.DUMMYFUNCTION("""COMPUTED_VALUE"""),"Benjamin E Mowbray")</f>
        <v>Benjamin E Mowbray</v>
      </c>
      <c r="C38" t="str">
        <f>IFERROR(__xludf.DUMMYFUNCTION("""COMPUTED_VALUE"""),"mowbraybenjamin@gmail.com")</f>
        <v>mowbraybenjamin@gmail.com</v>
      </c>
      <c r="D38" t="str">
        <f>IFERROR(__xludf.DUMMYFUNCTION("""COMPUTED_VALUE"""),"Research")</f>
        <v>Research</v>
      </c>
      <c r="E38" t="str">
        <f>IFERROR(__xludf.DUMMYFUNCTION("""COMPUTED_VALUE"""),"Usina")</f>
        <v>Usina</v>
      </c>
      <c r="F38" s="13"/>
      <c r="G38" s="14">
        <f>IFERROR(__xludf.DUMMYFUNCTION("""COMPUTED_VALUE"""),43197.0)</f>
        <v>43197</v>
      </c>
      <c r="H38" t="str">
        <f>IFERROR(__xludf.DUMMYFUNCTION("""COMPUTED_VALUE"""),"Wright's landing")</f>
        <v>Wright's landing</v>
      </c>
      <c r="I38" s="15">
        <f>IFERROR(__xludf.DUMMYFUNCTION("""COMPUTED_VALUE"""),0.4930555555547471)</f>
        <v>0.4930555556</v>
      </c>
      <c r="J38" s="16">
        <f>IFERROR(__xludf.DUMMYFUNCTION("""COMPUTED_VALUE"""),43197.52083333333)</f>
        <v>43197.52083</v>
      </c>
      <c r="K38" t="str">
        <f>IFERROR(__xludf.DUMMYFUNCTION("""COMPUTED_VALUE"""),"23ft Skiff (Bertha) FL7972LJ DEP07613")</f>
        <v>23ft Skiff (Bertha) FL7972LJ DEP07613</v>
      </c>
      <c r="M38" t="str">
        <f>IFERROR(__xludf.DUMMYFUNCTION("""COMPUTED_VALUE"""),"Ford F250 2017 (Moby Dix) - DEP0021578")</f>
        <v>Ford F250 2017 (Moby Dix) - DEP0021578</v>
      </c>
      <c r="N38" t="str">
        <f>IFERROR(__xludf.DUMMYFUNCTION("""COMPUTED_VALUE"""),"Jimmy Tomazinis")</f>
        <v>Jimmy Tomazinis</v>
      </c>
      <c r="O38" t="str">
        <f>IFERROR(__xludf.DUMMYFUNCTION("""COMPUTED_VALUE"""),"Ben Mowbray")</f>
        <v>Ben Mowbray</v>
      </c>
      <c r="P38" t="str">
        <f>IFERROR(__xludf.DUMMYFUNCTION("""COMPUTED_VALUE"""),"Jimmy")</f>
        <v>Jimmy</v>
      </c>
      <c r="Q38" t="str">
        <f>IFERROR(__xludf.DUMMYFUNCTION("""COMPUTED_VALUE"""),"Good")</f>
        <v>Good</v>
      </c>
      <c r="R38" t="str">
        <f>IFERROR(__xludf.DUMMYFUNCTION("""COMPUTED_VALUE"""),"Good")</f>
        <v>Good</v>
      </c>
      <c r="S38" t="str">
        <f>IFERROR(__xludf.DUMMYFUNCTION("""COMPUTED_VALUE"""),"Good")</f>
        <v>Good</v>
      </c>
      <c r="T38" t="str">
        <f>IFERROR(__xludf.DUMMYFUNCTION("""COMPUTED_VALUE"""),"Good")</f>
        <v>Good</v>
      </c>
      <c r="U38" t="str">
        <f>IFERROR(__xludf.DUMMYFUNCTION("""COMPUTED_VALUE"""),"Good")</f>
        <v>Good</v>
      </c>
      <c r="V38" t="str">
        <f>IFERROR(__xludf.DUMMYFUNCTION("""COMPUTED_VALUE"""),"Good")</f>
        <v>Good</v>
      </c>
      <c r="W38" t="str">
        <f>IFERROR(__xludf.DUMMYFUNCTION("""COMPUTED_VALUE"""),"Good")</f>
        <v>Good</v>
      </c>
      <c r="X38" t="str">
        <f>IFERROR(__xludf.DUMMYFUNCTION("""COMPUTED_VALUE"""),"Good")</f>
        <v>Good</v>
      </c>
      <c r="Y38" t="str">
        <f>IFERROR(__xludf.DUMMYFUNCTION("""COMPUTED_VALUE"""),"Good")</f>
        <v>Good</v>
      </c>
      <c r="Z38" t="str">
        <f>IFERROR(__xludf.DUMMYFUNCTION("""COMPUTED_VALUE"""),"Good")</f>
        <v>Good</v>
      </c>
      <c r="AA38" t="str">
        <f>IFERROR(__xludf.DUMMYFUNCTION("""COMPUTED_VALUE"""),"Good")</f>
        <v>Good</v>
      </c>
      <c r="AB38" t="str">
        <f>IFERROR(__xludf.DUMMYFUNCTION("""COMPUTED_VALUE"""),"Good")</f>
        <v>Good</v>
      </c>
      <c r="AC38" t="str">
        <f>IFERROR(__xludf.DUMMYFUNCTION("""COMPUTED_VALUE"""),"Good")</f>
        <v>Good</v>
      </c>
      <c r="AE38" s="11"/>
      <c r="AF38" s="12" t="s">
        <v>13</v>
      </c>
      <c r="AG38" s="17" t="s">
        <v>43</v>
      </c>
      <c r="AH38" s="12"/>
      <c r="AI38" s="12" t="s">
        <v>50</v>
      </c>
      <c r="AJ38" s="19" t="s">
        <v>51</v>
      </c>
      <c r="AK38" s="20" t="str">
        <f>HYPERLINK("https://drive.google.com/a/gtmnerr.org/file/d/1PS5YPza6b0J9agPHBVTnWxTfvhLIFch7/view?usp=drivesdk","Benjamin E Mowbray - 4/7/2018")</f>
        <v>Benjamin E Mowbray - 4/7/2018</v>
      </c>
      <c r="AL38" s="12" t="s">
        <v>52</v>
      </c>
    </row>
    <row r="39">
      <c r="A39" s="10">
        <f>IFERROR(__xludf.DUMMYFUNCTION("""COMPUTED_VALUE"""),43197.37217358796)</f>
        <v>43197.37217</v>
      </c>
      <c r="B39" s="11" t="str">
        <f>IFERROR(__xludf.DUMMYFUNCTION("""COMPUTED_VALUE"""),"Ben Mowbray")</f>
        <v>Ben Mowbray</v>
      </c>
      <c r="C39" t="str">
        <f>IFERROR(__xludf.DUMMYFUNCTION("""COMPUTED_VALUE"""),"mowbraybenjamin@gmail.com")</f>
        <v>mowbraybenjamin@gmail.com</v>
      </c>
      <c r="D39" t="str">
        <f>IFERROR(__xludf.DUMMYFUNCTION("""COMPUTED_VALUE"""),"Research")</f>
        <v>Research</v>
      </c>
      <c r="E39" t="str">
        <f>IFERROR(__xludf.DUMMYFUNCTION("""COMPUTED_VALUE"""),"Usina")</f>
        <v>Usina</v>
      </c>
      <c r="F39" s="13"/>
      <c r="G39" s="14">
        <f>IFERROR(__xludf.DUMMYFUNCTION("""COMPUTED_VALUE"""),43197.0)</f>
        <v>43197</v>
      </c>
      <c r="H39" t="str">
        <f>IFERROR(__xludf.DUMMYFUNCTION("""COMPUTED_VALUE"""),"Wright's landing")</f>
        <v>Wright's landing</v>
      </c>
      <c r="I39" s="15">
        <f>IFERROR(__xludf.DUMMYFUNCTION("""COMPUTED_VALUE"""),0.4930555555547471)</f>
        <v>0.4930555556</v>
      </c>
      <c r="J39" s="16">
        <f>IFERROR(__xludf.DUMMYFUNCTION("""COMPUTED_VALUE"""),43197.52083333333)</f>
        <v>43197.52083</v>
      </c>
      <c r="K39" t="str">
        <f>IFERROR(__xludf.DUMMYFUNCTION("""COMPUTED_VALUE"""),"20ft Sea Ark FL5351SJ UNF 2015")</f>
        <v>20ft Sea Ark FL5351SJ UNF 2015</v>
      </c>
      <c r="M39" t="str">
        <f>IFERROR(__xludf.DUMMYFUNCTION("""COMPUTED_VALUE"""),"Ford F150 2008 - DEP18041 (ML)")</f>
        <v>Ford F150 2008 - DEP18041 (ML)</v>
      </c>
      <c r="N39" t="str">
        <f>IFERROR(__xludf.DUMMYFUNCTION("""COMPUTED_VALUE"""),"Pam Marcum, (480) 332-5414, Gabriela Canas")</f>
        <v>Pam Marcum, (480) 332-5414, Gabriela Canas</v>
      </c>
      <c r="P39" t="str">
        <f>IFERROR(__xludf.DUMMYFUNCTION("""COMPUTED_VALUE"""),"Pam")</f>
        <v>Pam</v>
      </c>
      <c r="Q39" t="str">
        <f>IFERROR(__xludf.DUMMYFUNCTION("""COMPUTED_VALUE"""),"Good")</f>
        <v>Good</v>
      </c>
      <c r="R39" t="str">
        <f>IFERROR(__xludf.DUMMYFUNCTION("""COMPUTED_VALUE"""),"Good")</f>
        <v>Good</v>
      </c>
      <c r="S39" t="str">
        <f>IFERROR(__xludf.DUMMYFUNCTION("""COMPUTED_VALUE"""),"Good")</f>
        <v>Good</v>
      </c>
      <c r="T39" t="str">
        <f>IFERROR(__xludf.DUMMYFUNCTION("""COMPUTED_VALUE"""),"Good")</f>
        <v>Good</v>
      </c>
      <c r="U39" t="str">
        <f>IFERROR(__xludf.DUMMYFUNCTION("""COMPUTED_VALUE"""),"Good")</f>
        <v>Good</v>
      </c>
      <c r="V39" t="str">
        <f>IFERROR(__xludf.DUMMYFUNCTION("""COMPUTED_VALUE"""),"Good")</f>
        <v>Good</v>
      </c>
      <c r="W39" t="str">
        <f>IFERROR(__xludf.DUMMYFUNCTION("""COMPUTED_VALUE"""),"Good")</f>
        <v>Good</v>
      </c>
      <c r="X39" t="str">
        <f>IFERROR(__xludf.DUMMYFUNCTION("""COMPUTED_VALUE"""),"Good")</f>
        <v>Good</v>
      </c>
      <c r="Y39" t="str">
        <f>IFERROR(__xludf.DUMMYFUNCTION("""COMPUTED_VALUE"""),"Good")</f>
        <v>Good</v>
      </c>
      <c r="Z39" t="str">
        <f>IFERROR(__xludf.DUMMYFUNCTION("""COMPUTED_VALUE"""),"Good")</f>
        <v>Good</v>
      </c>
      <c r="AA39" t="str">
        <f>IFERROR(__xludf.DUMMYFUNCTION("""COMPUTED_VALUE"""),"Good")</f>
        <v>Good</v>
      </c>
      <c r="AB39" t="str">
        <f>IFERROR(__xludf.DUMMYFUNCTION("""COMPUTED_VALUE"""),"Good")</f>
        <v>Good</v>
      </c>
      <c r="AC39" t="str">
        <f>IFERROR(__xludf.DUMMYFUNCTION("""COMPUTED_VALUE"""),"Good")</f>
        <v>Good</v>
      </c>
      <c r="AE39" s="11"/>
      <c r="AF39" s="12" t="s">
        <v>13</v>
      </c>
      <c r="AG39" s="17" t="s">
        <v>43</v>
      </c>
      <c r="AH39" s="12"/>
      <c r="AI39" s="12" t="s">
        <v>53</v>
      </c>
      <c r="AJ39" s="19" t="s">
        <v>54</v>
      </c>
      <c r="AK39" s="20" t="str">
        <f>HYPERLINK("https://drive.google.com/a/gtmnerr.org/file/d/1xtziDCcDw8NcS5SRk_17AU3Q8TKpQ1Z4/view?usp=drivesdk","Ben Mowbray - 4/7/2018")</f>
        <v>Ben Mowbray - 4/7/2018</v>
      </c>
      <c r="AL39" s="12" t="s">
        <v>55</v>
      </c>
    </row>
    <row r="40">
      <c r="A40" s="10">
        <f>IFERROR(__xludf.DUMMYFUNCTION("""COMPUTED_VALUE"""),43199.5246040625)</f>
        <v>43199.5246</v>
      </c>
      <c r="B40" s="11" t="str">
        <f>IFERROR(__xludf.DUMMYFUNCTION("""COMPUTED_VALUE"""),"Silas Tanner")</f>
        <v>Silas Tanner</v>
      </c>
      <c r="C40" t="str">
        <f>IFERROR(__xludf.DUMMYFUNCTION("""COMPUTED_VALUE"""),"silas.tanner@floridadep.gov")</f>
        <v>silas.tanner@floridadep.gov</v>
      </c>
      <c r="D40" t="str">
        <f>IFERROR(__xludf.DUMMYFUNCTION("""COMPUTED_VALUE"""),"Research")</f>
        <v>Research</v>
      </c>
      <c r="E40" t="str">
        <f>IFERROR(__xludf.DUMMYFUNCTION("""COMPUTED_VALUE"""),"Vilano County Ramp")</f>
        <v>Vilano County Ramp</v>
      </c>
      <c r="F40" s="13"/>
      <c r="G40" s="14">
        <f>IFERROR(__xludf.DUMMYFUNCTION("""COMPUTED_VALUE"""),43201.0)</f>
        <v>43201</v>
      </c>
      <c r="H40" t="str">
        <f>IFERROR(__xludf.DUMMYFUNCTION("""COMPUTED_VALUE"""),"ICW: SWMP sites")</f>
        <v>ICW: SWMP sites</v>
      </c>
      <c r="I40" s="15">
        <f>IFERROR(__xludf.DUMMYFUNCTION("""COMPUTED_VALUE"""),0.5625)</f>
        <v>0.5625</v>
      </c>
      <c r="J40" s="16">
        <f>IFERROR(__xludf.DUMMYFUNCTION("""COMPUTED_VALUE"""),43201.57291666667)</f>
        <v>43201.57292</v>
      </c>
      <c r="K40" t="str">
        <f>IFERROR(__xludf.DUMMYFUNCTION("""COMPUTED_VALUE"""),"23ft Skiff (Bertha) FL7972LJ DEP07613")</f>
        <v>23ft Skiff (Bertha) FL7972LJ DEP07613</v>
      </c>
      <c r="M40" t="str">
        <f>IFERROR(__xludf.DUMMYFUNCTION("""COMPUTED_VALUE"""),"Ford F250 2017 (Moby Dix) - DEP0021578")</f>
        <v>Ford F250 2017 (Moby Dix) - DEP0021578</v>
      </c>
      <c r="N40" t="str">
        <f>IFERROR(__xludf.DUMMYFUNCTION("""COMPUTED_VALUE"""),"Silas Tanner, Jimmy Tomazinis")</f>
        <v>Silas Tanner, Jimmy Tomazinis</v>
      </c>
      <c r="O40" t="str">
        <f>IFERROR(__xludf.DUMMYFUNCTION("""COMPUTED_VALUE"""),"Ben Mowbray, Jeff Finnan")</f>
        <v>Ben Mowbray, Jeff Finnan</v>
      </c>
      <c r="P40" t="str">
        <f>IFERROR(__xludf.DUMMYFUNCTION("""COMPUTED_VALUE"""),"Silas Tanner")</f>
        <v>Silas Tanner</v>
      </c>
      <c r="Q40" t="str">
        <f>IFERROR(__xludf.DUMMYFUNCTION("""COMPUTED_VALUE"""),"Good")</f>
        <v>Good</v>
      </c>
      <c r="R40" t="str">
        <f>IFERROR(__xludf.DUMMYFUNCTION("""COMPUTED_VALUE"""),"Good")</f>
        <v>Good</v>
      </c>
      <c r="S40" t="str">
        <f>IFERROR(__xludf.DUMMYFUNCTION("""COMPUTED_VALUE"""),"Good")</f>
        <v>Good</v>
      </c>
      <c r="T40" t="str">
        <f>IFERROR(__xludf.DUMMYFUNCTION("""COMPUTED_VALUE"""),"Good")</f>
        <v>Good</v>
      </c>
      <c r="U40" t="str">
        <f>IFERROR(__xludf.DUMMYFUNCTION("""COMPUTED_VALUE"""),"Good")</f>
        <v>Good</v>
      </c>
      <c r="V40" t="str">
        <f>IFERROR(__xludf.DUMMYFUNCTION("""COMPUTED_VALUE"""),"Good")</f>
        <v>Good</v>
      </c>
      <c r="W40" t="str">
        <f>IFERROR(__xludf.DUMMYFUNCTION("""COMPUTED_VALUE"""),"Good")</f>
        <v>Good</v>
      </c>
      <c r="X40" t="str">
        <f>IFERROR(__xludf.DUMMYFUNCTION("""COMPUTED_VALUE"""),"Good")</f>
        <v>Good</v>
      </c>
      <c r="Y40" t="str">
        <f>IFERROR(__xludf.DUMMYFUNCTION("""COMPUTED_VALUE"""),"Good")</f>
        <v>Good</v>
      </c>
      <c r="Z40" t="str">
        <f>IFERROR(__xludf.DUMMYFUNCTION("""COMPUTED_VALUE"""),"Good")</f>
        <v>Good</v>
      </c>
      <c r="AA40" t="str">
        <f>IFERROR(__xludf.DUMMYFUNCTION("""COMPUTED_VALUE"""),"Good")</f>
        <v>Good</v>
      </c>
      <c r="AB40" t="str">
        <f>IFERROR(__xludf.DUMMYFUNCTION("""COMPUTED_VALUE"""),"Good")</f>
        <v>Good</v>
      </c>
      <c r="AC40" t="str">
        <f>IFERROR(__xludf.DUMMYFUNCTION("""COMPUTED_VALUE"""),"Good")</f>
        <v>Good</v>
      </c>
      <c r="AD40" t="str">
        <f>IFERROR(__xludf.DUMMYFUNCTION("""COMPUTED_VALUE"""),"Good, clear")</f>
        <v>Good, clear</v>
      </c>
      <c r="AE40" s="11" t="str">
        <f>IFERROR(__xludf.DUMMYFUNCTION("""COMPUTED_VALUE"""),"Good, high outgoing")</f>
        <v>Good, high outgoing</v>
      </c>
      <c r="AF40" s="12" t="s">
        <v>13</v>
      </c>
      <c r="AG40" s="21" t="s">
        <v>56</v>
      </c>
      <c r="AH40" s="12"/>
      <c r="AI40" s="12" t="s">
        <v>8</v>
      </c>
      <c r="AJ40" s="12" t="s">
        <v>8</v>
      </c>
      <c r="AK40" s="12" t="s">
        <v>8</v>
      </c>
      <c r="AL40" s="12" t="s">
        <v>8</v>
      </c>
    </row>
    <row r="41">
      <c r="A41" s="10">
        <f>IFERROR(__xludf.DUMMYFUNCTION("""COMPUTED_VALUE"""),43200.445317233796)</f>
        <v>43200.44532</v>
      </c>
      <c r="B41" s="11" t="str">
        <f>IFERROR(__xludf.DUMMYFUNCTION("""COMPUTED_VALUE"""),"Silas Tanner")</f>
        <v>Silas Tanner</v>
      </c>
      <c r="C41" t="str">
        <f>IFERROR(__xludf.DUMMYFUNCTION("""COMPUTED_VALUE"""),"silas.tanner@floridadep.gov")</f>
        <v>silas.tanner@floridadep.gov</v>
      </c>
      <c r="D41" t="str">
        <f>IFERROR(__xludf.DUMMYFUNCTION("""COMPUTED_VALUE"""),"Research")</f>
        <v>Research</v>
      </c>
      <c r="E41" t="str">
        <f>IFERROR(__xludf.DUMMYFUNCTION("""COMPUTED_VALUE"""),"Vilano County Ramp")</f>
        <v>Vilano County Ramp</v>
      </c>
      <c r="F41" s="13"/>
      <c r="G41" s="14">
        <f>IFERROR(__xludf.DUMMYFUNCTION("""COMPUTED_VALUE"""),43202.0)</f>
        <v>43202</v>
      </c>
      <c r="H41" t="str">
        <f>IFERROR(__xludf.DUMMYFUNCTION("""COMPUTED_VALUE"""),"ICW: SWMP sites")</f>
        <v>ICW: SWMP sites</v>
      </c>
      <c r="I41" s="15">
        <f>IFERROR(__xludf.DUMMYFUNCTION("""COMPUTED_VALUE"""),0.5625)</f>
        <v>0.5625</v>
      </c>
      <c r="J41" s="16">
        <f>IFERROR(__xludf.DUMMYFUNCTION("""COMPUTED_VALUE"""),43202.57291666667)</f>
        <v>43202.57292</v>
      </c>
      <c r="K41" t="str">
        <f>IFERROR(__xludf.DUMMYFUNCTION("""COMPUTED_VALUE"""),"20ft Sea Ark FL5351SJ UNF 2015")</f>
        <v>20ft Sea Ark FL5351SJ UNF 2015</v>
      </c>
      <c r="M41" t="str">
        <f>IFERROR(__xludf.DUMMYFUNCTION("""COMPUTED_VALUE"""),"Ford F150 2008 - DEP18041 (ML)")</f>
        <v>Ford F150 2008 - DEP18041 (ML)</v>
      </c>
      <c r="N41" t="str">
        <f>IFERROR(__xludf.DUMMYFUNCTION("""COMPUTED_VALUE"""),"Shannon Dunnigan, Silas Tanner")</f>
        <v>Shannon Dunnigan, Silas Tanner</v>
      </c>
      <c r="P41" t="str">
        <f>IFERROR(__xludf.DUMMYFUNCTION("""COMPUTED_VALUE"""),"Tanner")</f>
        <v>Tanner</v>
      </c>
      <c r="Q41" t="str">
        <f>IFERROR(__xludf.DUMMYFUNCTION("""COMPUTED_VALUE"""),"Good")</f>
        <v>Good</v>
      </c>
      <c r="R41" t="str">
        <f>IFERROR(__xludf.DUMMYFUNCTION("""COMPUTED_VALUE"""),"Good")</f>
        <v>Good</v>
      </c>
      <c r="S41" t="str">
        <f>IFERROR(__xludf.DUMMYFUNCTION("""COMPUTED_VALUE"""),"Good")</f>
        <v>Good</v>
      </c>
      <c r="T41" t="str">
        <f>IFERROR(__xludf.DUMMYFUNCTION("""COMPUTED_VALUE"""),"Good")</f>
        <v>Good</v>
      </c>
      <c r="U41" t="str">
        <f>IFERROR(__xludf.DUMMYFUNCTION("""COMPUTED_VALUE"""),"Good")</f>
        <v>Good</v>
      </c>
      <c r="V41" t="str">
        <f>IFERROR(__xludf.DUMMYFUNCTION("""COMPUTED_VALUE"""),"Good")</f>
        <v>Good</v>
      </c>
      <c r="W41" t="str">
        <f>IFERROR(__xludf.DUMMYFUNCTION("""COMPUTED_VALUE"""),"Good")</f>
        <v>Good</v>
      </c>
      <c r="X41" t="str">
        <f>IFERROR(__xludf.DUMMYFUNCTION("""COMPUTED_VALUE"""),"Good")</f>
        <v>Good</v>
      </c>
      <c r="Y41" t="str">
        <f>IFERROR(__xludf.DUMMYFUNCTION("""COMPUTED_VALUE"""),"Good")</f>
        <v>Good</v>
      </c>
      <c r="Z41" t="str">
        <f>IFERROR(__xludf.DUMMYFUNCTION("""COMPUTED_VALUE"""),"Good")</f>
        <v>Good</v>
      </c>
      <c r="AA41" t="str">
        <f>IFERROR(__xludf.DUMMYFUNCTION("""COMPUTED_VALUE"""),"Good")</f>
        <v>Good</v>
      </c>
      <c r="AB41" t="str">
        <f>IFERROR(__xludf.DUMMYFUNCTION("""COMPUTED_VALUE"""),"Good")</f>
        <v>Good</v>
      </c>
      <c r="AC41" t="str">
        <f>IFERROR(__xludf.DUMMYFUNCTION("""COMPUTED_VALUE"""),"Good")</f>
        <v>Good</v>
      </c>
      <c r="AE41" s="11"/>
      <c r="AF41" s="12" t="s">
        <v>13</v>
      </c>
      <c r="AG41" s="17" t="s">
        <v>43</v>
      </c>
      <c r="AH41" s="12"/>
      <c r="AI41" s="12" t="s">
        <v>57</v>
      </c>
      <c r="AJ41" s="19" t="s">
        <v>58</v>
      </c>
      <c r="AK41" s="20" t="str">
        <f>HYPERLINK("https://drive.google.com/a/gtmnerr.org/file/d/1dZ2zFneiLNJ-LVQ0meYVs4oB71EuzBH6/view?usp=drivesdk","Silas Tanner - 4/12/2018")</f>
        <v>Silas Tanner - 4/12/2018</v>
      </c>
      <c r="AL41" s="12" t="s">
        <v>59</v>
      </c>
    </row>
    <row r="42">
      <c r="A42" s="10">
        <f>IFERROR(__xludf.DUMMYFUNCTION("""COMPUTED_VALUE"""),43201.392433506946)</f>
        <v>43201.39243</v>
      </c>
      <c r="B42" s="11" t="str">
        <f>IFERROR(__xludf.DUMMYFUNCTION("""COMPUTED_VALUE"""),"Silas Tanner")</f>
        <v>Silas Tanner</v>
      </c>
      <c r="C42" t="str">
        <f>IFERROR(__xludf.DUMMYFUNCTION("""COMPUTED_VALUE"""),"silas.tanner@floridadep.gov")</f>
        <v>silas.tanner@floridadep.gov</v>
      </c>
      <c r="D42" t="str">
        <f>IFERROR(__xludf.DUMMYFUNCTION("""COMPUTED_VALUE"""),"Research")</f>
        <v>Research</v>
      </c>
      <c r="E42" t="str">
        <f>IFERROR(__xludf.DUMMYFUNCTION("""COMPUTED_VALUE"""),"Bing's")</f>
        <v>Bing's</v>
      </c>
      <c r="F42" s="13"/>
      <c r="G42" s="14">
        <f>IFERROR(__xludf.DUMMYFUNCTION("""COMPUTED_VALUE"""),43203.0)</f>
        <v>43203</v>
      </c>
      <c r="H42" t="str">
        <f>IFERROR(__xludf.DUMMYFUNCTION("""COMPUTED_VALUE"""),"ICW between Rattlesnake Island and Bing's")</f>
        <v>ICW between Rattlesnake Island and Bing's</v>
      </c>
      <c r="I42" s="15">
        <f>IFERROR(__xludf.DUMMYFUNCTION("""COMPUTED_VALUE"""),0.5416666666678793)</f>
        <v>0.5416666667</v>
      </c>
      <c r="J42" s="16">
        <f>IFERROR(__xludf.DUMMYFUNCTION("""COMPUTED_VALUE"""),43203.58333333333)</f>
        <v>43203.58333</v>
      </c>
      <c r="K42" t="str">
        <f>IFERROR(__xludf.DUMMYFUNCTION("""COMPUTED_VALUE"""),"23ft Skiff (Bertha) FL7972LJ DEP07613")</f>
        <v>23ft Skiff (Bertha) FL7972LJ DEP07613</v>
      </c>
      <c r="M42" t="str">
        <f>IFERROR(__xludf.DUMMYFUNCTION("""COMPUTED_VALUE"""),"Ford F250 2017 (Moby Dix) - DEP0021578")</f>
        <v>Ford F250 2017 (Moby Dix) - DEP0021578</v>
      </c>
      <c r="N42" t="str">
        <f>IFERROR(__xludf.DUMMYFUNCTION("""COMPUTED_VALUE"""),"Silas Tanner")</f>
        <v>Silas Tanner</v>
      </c>
      <c r="O42" t="str">
        <f>IFERROR(__xludf.DUMMYFUNCTION("""COMPUTED_VALUE"""),"Matt Brown, Westly Woodward, Ally Hartnett")</f>
        <v>Matt Brown, Westly Woodward, Ally Hartnett</v>
      </c>
      <c r="P42" t="str">
        <f>IFERROR(__xludf.DUMMYFUNCTION("""COMPUTED_VALUE"""),"Silas Tanner")</f>
        <v>Silas Tanner</v>
      </c>
      <c r="Q42" t="str">
        <f>IFERROR(__xludf.DUMMYFUNCTION("""COMPUTED_VALUE"""),"Good")</f>
        <v>Good</v>
      </c>
      <c r="R42" t="str">
        <f>IFERROR(__xludf.DUMMYFUNCTION("""COMPUTED_VALUE"""),"Good")</f>
        <v>Good</v>
      </c>
      <c r="S42" t="str">
        <f>IFERROR(__xludf.DUMMYFUNCTION("""COMPUTED_VALUE"""),"Good")</f>
        <v>Good</v>
      </c>
      <c r="T42" t="str">
        <f>IFERROR(__xludf.DUMMYFUNCTION("""COMPUTED_VALUE"""),"Good")</f>
        <v>Good</v>
      </c>
      <c r="U42" t="str">
        <f>IFERROR(__xludf.DUMMYFUNCTION("""COMPUTED_VALUE"""),"Good")</f>
        <v>Good</v>
      </c>
      <c r="V42" t="str">
        <f>IFERROR(__xludf.DUMMYFUNCTION("""COMPUTED_VALUE"""),"Good")</f>
        <v>Good</v>
      </c>
      <c r="W42" t="str">
        <f>IFERROR(__xludf.DUMMYFUNCTION("""COMPUTED_VALUE"""),"Good")</f>
        <v>Good</v>
      </c>
      <c r="X42" t="str">
        <f>IFERROR(__xludf.DUMMYFUNCTION("""COMPUTED_VALUE"""),"Good")</f>
        <v>Good</v>
      </c>
      <c r="Y42" t="str">
        <f>IFERROR(__xludf.DUMMYFUNCTION("""COMPUTED_VALUE"""),"Good")</f>
        <v>Good</v>
      </c>
      <c r="Z42" t="str">
        <f>IFERROR(__xludf.DUMMYFUNCTION("""COMPUTED_VALUE"""),"Good")</f>
        <v>Good</v>
      </c>
      <c r="AA42" t="str">
        <f>IFERROR(__xludf.DUMMYFUNCTION("""COMPUTED_VALUE"""),"Good")</f>
        <v>Good</v>
      </c>
      <c r="AB42" t="str">
        <f>IFERROR(__xludf.DUMMYFUNCTION("""COMPUTED_VALUE"""),"Good")</f>
        <v>Good</v>
      </c>
      <c r="AC42" t="str">
        <f>IFERROR(__xludf.DUMMYFUNCTION("""COMPUTED_VALUE"""),"Good")</f>
        <v>Good</v>
      </c>
      <c r="AD42" t="str">
        <f>IFERROR(__xludf.DUMMYFUNCTION("""COMPUTED_VALUE"""),"Mostly sunny")</f>
        <v>Mostly sunny</v>
      </c>
      <c r="AE42" s="11" t="str">
        <f>IFERROR(__xludf.DUMMYFUNCTION("""COMPUTED_VALUE"""),"High outgoing")</f>
        <v>High outgoing</v>
      </c>
      <c r="AF42" s="12" t="s">
        <v>13</v>
      </c>
      <c r="AG42" s="17" t="s">
        <v>60</v>
      </c>
      <c r="AH42" s="12"/>
      <c r="AI42" s="12" t="s">
        <v>61</v>
      </c>
      <c r="AJ42" s="19" t="s">
        <v>62</v>
      </c>
      <c r="AK42" s="20" t="str">
        <f>HYPERLINK("https://drive.google.com/a/gtmnerr.org/file/d/1iSoKHDcZ4JzQNG4JwzRoVeKu0BXy7IBM/view?usp=drivesdk","Silas Tanner - 4/13/2018")</f>
        <v>Silas Tanner - 4/13/2018</v>
      </c>
      <c r="AL42" s="12" t="s">
        <v>63</v>
      </c>
    </row>
    <row r="43">
      <c r="A43" s="10">
        <f>IFERROR(__xludf.DUMMYFUNCTION("""COMPUTED_VALUE"""),43202.3330612963)</f>
        <v>43202.33306</v>
      </c>
      <c r="B43" s="11" t="str">
        <f>IFERROR(__xludf.DUMMYFUNCTION("""COMPUTED_VALUE"""),"Pamela Marcum")</f>
        <v>Pamela Marcum</v>
      </c>
      <c r="C43" t="str">
        <f>IFERROR(__xludf.DUMMYFUNCTION("""COMPUTED_VALUE"""),"Pamela.Marcum@floridadep.gov")</f>
        <v>Pamela.Marcum@floridadep.gov</v>
      </c>
      <c r="D43" t="str">
        <f>IFERROR(__xludf.DUMMYFUNCTION("""COMPUTED_VALUE"""),"Research")</f>
        <v>Research</v>
      </c>
      <c r="E43" t="str">
        <f>IFERROR(__xludf.DUMMYFUNCTION("""COMPUTED_VALUE"""),"Vilano ")</f>
        <v>Vilano </v>
      </c>
      <c r="F43" s="13"/>
      <c r="G43" s="14">
        <f>IFERROR(__xludf.DUMMYFUNCTION("""COMPUTED_VALUE"""),43202.0)</f>
        <v>43202</v>
      </c>
      <c r="H43" t="str">
        <f>IFERROR(__xludf.DUMMYFUNCTION("""COMPUTED_VALUE"""),"Matanzas River")</f>
        <v>Matanzas River</v>
      </c>
      <c r="I43" s="15">
        <f>IFERROR(__xludf.DUMMYFUNCTION("""COMPUTED_VALUE"""),0.5416666666678793)</f>
        <v>0.5416666667</v>
      </c>
      <c r="J43" s="16">
        <f>IFERROR(__xludf.DUMMYFUNCTION("""COMPUTED_VALUE"""),43202.5625)</f>
        <v>43202.5625</v>
      </c>
      <c r="K43" t="str">
        <f>IFERROR(__xludf.DUMMYFUNCTION("""COMPUTED_VALUE"""),"23ft Skiff (Bertha) FL7972LJ DEP07613")</f>
        <v>23ft Skiff (Bertha) FL7972LJ DEP07613</v>
      </c>
      <c r="M43" t="str">
        <f>IFERROR(__xludf.DUMMYFUNCTION("""COMPUTED_VALUE"""),"Ford F250 2017 (Moby Dix) - DEP0021578")</f>
        <v>Ford F250 2017 (Moby Dix) - DEP0021578</v>
      </c>
      <c r="N43" t="str">
        <f>IFERROR(__xludf.DUMMYFUNCTION("""COMPUTED_VALUE"""),"Pam Marcum, (480) 332-5414")</f>
        <v>Pam Marcum, (480) 332-5414</v>
      </c>
      <c r="O43" t="str">
        <f>IFERROR(__xludf.DUMMYFUNCTION("""COMPUTED_VALUE"""),"Admin Tour Members (see Nikki's email)")</f>
        <v>Admin Tour Members (see Nikki's email)</v>
      </c>
      <c r="P43" t="str">
        <f>IFERROR(__xludf.DUMMYFUNCTION("""COMPUTED_VALUE"""),"Pam")</f>
        <v>Pam</v>
      </c>
      <c r="Q43" t="str">
        <f>IFERROR(__xludf.DUMMYFUNCTION("""COMPUTED_VALUE"""),"Good")</f>
        <v>Good</v>
      </c>
      <c r="R43" t="str">
        <f>IFERROR(__xludf.DUMMYFUNCTION("""COMPUTED_VALUE"""),"Good")</f>
        <v>Good</v>
      </c>
      <c r="S43" t="str">
        <f>IFERROR(__xludf.DUMMYFUNCTION("""COMPUTED_VALUE"""),"Good")</f>
        <v>Good</v>
      </c>
      <c r="T43" t="str">
        <f>IFERROR(__xludf.DUMMYFUNCTION("""COMPUTED_VALUE"""),"Good")</f>
        <v>Good</v>
      </c>
      <c r="U43" t="str">
        <f>IFERROR(__xludf.DUMMYFUNCTION("""COMPUTED_VALUE"""),"Good")</f>
        <v>Good</v>
      </c>
      <c r="V43" t="str">
        <f>IFERROR(__xludf.DUMMYFUNCTION("""COMPUTED_VALUE"""),"Good")</f>
        <v>Good</v>
      </c>
      <c r="W43" t="str">
        <f>IFERROR(__xludf.DUMMYFUNCTION("""COMPUTED_VALUE"""),"Good")</f>
        <v>Good</v>
      </c>
      <c r="X43" t="str">
        <f>IFERROR(__xludf.DUMMYFUNCTION("""COMPUTED_VALUE"""),"Good")</f>
        <v>Good</v>
      </c>
      <c r="Y43" t="str">
        <f>IFERROR(__xludf.DUMMYFUNCTION("""COMPUTED_VALUE"""),"Good")</f>
        <v>Good</v>
      </c>
      <c r="Z43" t="str">
        <f>IFERROR(__xludf.DUMMYFUNCTION("""COMPUTED_VALUE"""),"Good")</f>
        <v>Good</v>
      </c>
      <c r="AA43" t="str">
        <f>IFERROR(__xludf.DUMMYFUNCTION("""COMPUTED_VALUE"""),"Good")</f>
        <v>Good</v>
      </c>
      <c r="AB43" t="str">
        <f>IFERROR(__xludf.DUMMYFUNCTION("""COMPUTED_VALUE"""),"Good")</f>
        <v>Good</v>
      </c>
      <c r="AC43" t="str">
        <f>IFERROR(__xludf.DUMMYFUNCTION("""COMPUTED_VALUE"""),"Good")</f>
        <v>Good</v>
      </c>
      <c r="AE43" s="11"/>
      <c r="AF43" s="12" t="s">
        <v>13</v>
      </c>
      <c r="AG43" s="17" t="s">
        <v>43</v>
      </c>
      <c r="AH43" s="12"/>
      <c r="AI43" s="12" t="s">
        <v>64</v>
      </c>
      <c r="AJ43" s="19" t="s">
        <v>65</v>
      </c>
      <c r="AK43" s="20" t="str">
        <f>HYPERLINK("https://drive.google.com/a/gtmnerr.org/file/d/1X-tbMcKrUC7VZG_2B5PruW_7lMpu_1vI/view?usp=drivesdk","Pamela Marcum - 4/12/2018")</f>
        <v>Pamela Marcum - 4/12/2018</v>
      </c>
      <c r="AL43" s="12" t="s">
        <v>66</v>
      </c>
    </row>
    <row r="44">
      <c r="A44" s="10">
        <f>IFERROR(__xludf.DUMMYFUNCTION("""COMPUTED_VALUE"""),43206.54286314815)</f>
        <v>43206.54286</v>
      </c>
      <c r="B44" s="11" t="str">
        <f>IFERROR(__xludf.DUMMYFUNCTION("""COMPUTED_VALUE"""),"Ben Mowbray")</f>
        <v>Ben Mowbray</v>
      </c>
      <c r="C44" t="str">
        <f>IFERROR(__xludf.DUMMYFUNCTION("""COMPUTED_VALUE"""),"Ben.Mowbray@dep.state.fl.us")</f>
        <v>Ben.Mowbray@dep.state.fl.us</v>
      </c>
      <c r="D44" t="str">
        <f>IFERROR(__xludf.DUMMYFUNCTION("""COMPUTED_VALUE"""),"Research")</f>
        <v>Research</v>
      </c>
      <c r="E44" t="str">
        <f>IFERROR(__xludf.DUMMYFUNCTION("""COMPUTED_VALUE"""),"Faver-Dykes")</f>
        <v>Faver-Dykes</v>
      </c>
      <c r="F44" s="13"/>
      <c r="G44" s="14">
        <f>IFERROR(__xludf.DUMMYFUNCTION("""COMPUTED_VALUE"""),43207.0)</f>
        <v>43207</v>
      </c>
      <c r="H44" t="str">
        <f>IFERROR(__xludf.DUMMYFUNCTION("""COMPUTED_VALUE"""),"Vegetation platforms")</f>
        <v>Vegetation platforms</v>
      </c>
      <c r="I44" s="15">
        <f>IFERROR(__xludf.DUMMYFUNCTION("""COMPUTED_VALUE"""),0.5208333333321207)</f>
        <v>0.5208333333</v>
      </c>
      <c r="J44" s="16">
        <f>IFERROR(__xludf.DUMMYFUNCTION("""COMPUTED_VALUE"""),43207.05208333333)</f>
        <v>43207.05208</v>
      </c>
      <c r="K44" t="str">
        <f>IFERROR(__xludf.DUMMYFUNCTION("""COMPUTED_VALUE"""),"20ft Sea Ark FL5351SJ UNF 2015")</f>
        <v>20ft Sea Ark FL5351SJ UNF 2015</v>
      </c>
      <c r="M44" t="str">
        <f>IFERROR(__xludf.DUMMYFUNCTION("""COMPUTED_VALUE"""),"Ford F250 2017 (Moby Dix) - DEP0021578")</f>
        <v>Ford F250 2017 (Moby Dix) - DEP0021578</v>
      </c>
      <c r="N44" t="str">
        <f>IFERROR(__xludf.DUMMYFUNCTION("""COMPUTED_VALUE"""),"Pam Marcum, (480) 332-5414, Silas Tanner")</f>
        <v>Pam Marcum, (480) 332-5414, Silas Tanner</v>
      </c>
      <c r="O44" t="str">
        <f>IFERROR(__xludf.DUMMYFUNCTION("""COMPUTED_VALUE"""),"Benjamin Mowbray, Jennifer Odzinski")</f>
        <v>Benjamin Mowbray, Jennifer Odzinski</v>
      </c>
      <c r="P44" t="str">
        <f>IFERROR(__xludf.DUMMYFUNCTION("""COMPUTED_VALUE"""),"Pam")</f>
        <v>Pam</v>
      </c>
      <c r="Q44" t="str">
        <f>IFERROR(__xludf.DUMMYFUNCTION("""COMPUTED_VALUE"""),"Good")</f>
        <v>Good</v>
      </c>
      <c r="R44" t="str">
        <f>IFERROR(__xludf.DUMMYFUNCTION("""COMPUTED_VALUE"""),"Good")</f>
        <v>Good</v>
      </c>
      <c r="S44" t="str">
        <f>IFERROR(__xludf.DUMMYFUNCTION("""COMPUTED_VALUE"""),"Good")</f>
        <v>Good</v>
      </c>
      <c r="T44" t="str">
        <f>IFERROR(__xludf.DUMMYFUNCTION("""COMPUTED_VALUE"""),"Good")</f>
        <v>Good</v>
      </c>
      <c r="U44" t="str">
        <f>IFERROR(__xludf.DUMMYFUNCTION("""COMPUTED_VALUE"""),"Good")</f>
        <v>Good</v>
      </c>
      <c r="V44" t="str">
        <f>IFERROR(__xludf.DUMMYFUNCTION("""COMPUTED_VALUE"""),"Good")</f>
        <v>Good</v>
      </c>
      <c r="W44" t="str">
        <f>IFERROR(__xludf.DUMMYFUNCTION("""COMPUTED_VALUE"""),"Good")</f>
        <v>Good</v>
      </c>
      <c r="X44" t="str">
        <f>IFERROR(__xludf.DUMMYFUNCTION("""COMPUTED_VALUE"""),"Good")</f>
        <v>Good</v>
      </c>
      <c r="Y44" t="str">
        <f>IFERROR(__xludf.DUMMYFUNCTION("""COMPUTED_VALUE"""),"Good")</f>
        <v>Good</v>
      </c>
      <c r="Z44" t="str">
        <f>IFERROR(__xludf.DUMMYFUNCTION("""COMPUTED_VALUE"""),"Good")</f>
        <v>Good</v>
      </c>
      <c r="AA44" t="str">
        <f>IFERROR(__xludf.DUMMYFUNCTION("""COMPUTED_VALUE"""),"Good")</f>
        <v>Good</v>
      </c>
      <c r="AB44" t="str">
        <f>IFERROR(__xludf.DUMMYFUNCTION("""COMPUTED_VALUE"""),"Good")</f>
        <v>Good</v>
      </c>
      <c r="AC44" t="str">
        <f>IFERROR(__xludf.DUMMYFUNCTION("""COMPUTED_VALUE"""),"Good")</f>
        <v>Good</v>
      </c>
      <c r="AE44" s="11"/>
      <c r="AF44" t="s">
        <v>13</v>
      </c>
      <c r="AG44" s="17" t="s">
        <v>60</v>
      </c>
      <c r="AH44" s="12"/>
      <c r="AI44" s="12" t="s">
        <v>67</v>
      </c>
      <c r="AJ44" s="19" t="s">
        <v>68</v>
      </c>
      <c r="AK44" s="20" t="str">
        <f>HYPERLINK("https://docs.google.com/document/d/1lvnFSpiVYr6imjfOlWlxPW2ouTpS9jO0pAxu4_Njk7M/edit?usp=drivesdk","Ben Mowbray - Tuesday, April 17, 2018 at 12:00:00 AM")</f>
        <v>Ben Mowbray - Tuesday, April 17, 2018 at 12:00:00 AM</v>
      </c>
      <c r="AL44" s="12" t="s">
        <v>69</v>
      </c>
    </row>
    <row r="45">
      <c r="A45" s="10">
        <f>IFERROR(__xludf.DUMMYFUNCTION("""COMPUTED_VALUE"""),43206.73571945602)</f>
        <v>43206.73572</v>
      </c>
      <c r="B45" s="22" t="str">
        <f>IFERROR(__xludf.DUMMYFUNCTION("""COMPUTED_VALUE"""),"Pamela Marcum")</f>
        <v>Pamela Marcum</v>
      </c>
      <c r="C45" t="str">
        <f>IFERROR(__xludf.DUMMYFUNCTION("""COMPUTED_VALUE"""),"Pamela.Marcum@dep.state.fl.us")</f>
        <v>Pamela.Marcum@dep.state.fl.us</v>
      </c>
      <c r="D45" t="str">
        <f>IFERROR(__xludf.DUMMYFUNCTION("""COMPUTED_VALUE"""),"Research")</f>
        <v>Research</v>
      </c>
      <c r="F45" s="13">
        <f>IFERROR(__xludf.DUMMYFUNCTION("""COMPUTED_VALUE"""),0.3333333333321207)</f>
        <v>0.3333333333</v>
      </c>
      <c r="G45" s="14">
        <f>IFERROR(__xludf.DUMMYFUNCTION("""COMPUTED_VALUE"""),43208.0)</f>
        <v>43208</v>
      </c>
      <c r="H45" t="str">
        <f>IFERROR(__xludf.DUMMYFUNCTION("""COMPUTED_VALUE"""),"Washington Oaks Marsh Site")</f>
        <v>Washington Oaks Marsh Site</v>
      </c>
      <c r="I45" s="15">
        <f>IFERROR(__xludf.DUMMYFUNCTION("""COMPUTED_VALUE"""),0.5416666666678793)</f>
        <v>0.5416666667</v>
      </c>
      <c r="J45" s="16">
        <f>IFERROR(__xludf.DUMMYFUNCTION("""COMPUTED_VALUE"""),43208.60416666667)</f>
        <v>43208.60417</v>
      </c>
      <c r="K45" t="str">
        <f>IFERROR(__xludf.DUMMYFUNCTION("""COMPUTED_VALUE"""),"20ft Sea Ark FL5351SJ UNF 2015")</f>
        <v>20ft Sea Ark FL5351SJ UNF 2015</v>
      </c>
      <c r="M45" t="str">
        <f>IFERROR(__xludf.DUMMYFUNCTION("""COMPUTED_VALUE"""),"Ford F250 2017 (Moby Dix) - DEP0021578")</f>
        <v>Ford F250 2017 (Moby Dix) - DEP0021578</v>
      </c>
      <c r="N45" t="str">
        <f>IFERROR(__xludf.DUMMYFUNCTION("""COMPUTED_VALUE"""),"Pam Marcum, (480) 332-5414, Silas Tanner, (904) 483-8423")</f>
        <v>Pam Marcum, (480) 332-5414, Silas Tanner, (904) 483-8423</v>
      </c>
      <c r="O45" t="str">
        <f>IFERROR(__xludf.DUMMYFUNCTION("""COMPUTED_VALUE"""),"Benjamin Mowbray, (407) 962-8782, Gabriela Canas, (904) 891-9743")</f>
        <v>Benjamin Mowbray, (407) 962-8782, Gabriela Canas, (904) 891-9743</v>
      </c>
      <c r="P45" t="str">
        <f>IFERROR(__xludf.DUMMYFUNCTION("""COMPUTED_VALUE"""),"Silas Tanner")</f>
        <v>Silas Tanner</v>
      </c>
      <c r="Q45" t="str">
        <f>IFERROR(__xludf.DUMMYFUNCTION("""COMPUTED_VALUE"""),"Good")</f>
        <v>Good</v>
      </c>
      <c r="R45" t="str">
        <f>IFERROR(__xludf.DUMMYFUNCTION("""COMPUTED_VALUE"""),"Good")</f>
        <v>Good</v>
      </c>
      <c r="S45" t="str">
        <f>IFERROR(__xludf.DUMMYFUNCTION("""COMPUTED_VALUE"""),"Good")</f>
        <v>Good</v>
      </c>
      <c r="T45" t="str">
        <f>IFERROR(__xludf.DUMMYFUNCTION("""COMPUTED_VALUE"""),"Good")</f>
        <v>Good</v>
      </c>
      <c r="U45" t="str">
        <f>IFERROR(__xludf.DUMMYFUNCTION("""COMPUTED_VALUE"""),"Good")</f>
        <v>Good</v>
      </c>
      <c r="V45" t="str">
        <f>IFERROR(__xludf.DUMMYFUNCTION("""COMPUTED_VALUE"""),"Good")</f>
        <v>Good</v>
      </c>
      <c r="W45" t="str">
        <f>IFERROR(__xludf.DUMMYFUNCTION("""COMPUTED_VALUE"""),"Good")</f>
        <v>Good</v>
      </c>
      <c r="X45" t="str">
        <f>IFERROR(__xludf.DUMMYFUNCTION("""COMPUTED_VALUE"""),"Good")</f>
        <v>Good</v>
      </c>
      <c r="Y45" t="str">
        <f>IFERROR(__xludf.DUMMYFUNCTION("""COMPUTED_VALUE"""),"Good")</f>
        <v>Good</v>
      </c>
      <c r="Z45" t="str">
        <f>IFERROR(__xludf.DUMMYFUNCTION("""COMPUTED_VALUE"""),"Good")</f>
        <v>Good</v>
      </c>
      <c r="AA45" t="str">
        <f>IFERROR(__xludf.DUMMYFUNCTION("""COMPUTED_VALUE"""),"Good")</f>
        <v>Good</v>
      </c>
      <c r="AB45" t="str">
        <f>IFERROR(__xludf.DUMMYFUNCTION("""COMPUTED_VALUE"""),"Good")</f>
        <v>Good</v>
      </c>
      <c r="AC45" t="str">
        <f>IFERROR(__xludf.DUMMYFUNCTION("""COMPUTED_VALUE"""),"Good")</f>
        <v>Good</v>
      </c>
      <c r="AE45" s="11"/>
      <c r="AF45" t="s">
        <v>13</v>
      </c>
      <c r="AG45" s="17" t="s">
        <v>60</v>
      </c>
      <c r="AH45" s="12"/>
      <c r="AI45" s="12" t="s">
        <v>70</v>
      </c>
      <c r="AJ45" s="19" t="s">
        <v>71</v>
      </c>
      <c r="AK45" s="20" t="str">
        <f>HYPERLINK("https://docs.google.com/document/d/1yuciw9UAQC0hXjE6C7ODRboAy7GXEhKwmAu3V1IstVw/edit?usp=drivesdk","Pamela Marcum - 4/18/2018 8:00 AM")</f>
        <v>Pamela Marcum - 4/18/2018 8:00 AM</v>
      </c>
      <c r="AL45" s="12" t="s">
        <v>72</v>
      </c>
    </row>
    <row r="46">
      <c r="A46" s="10">
        <f>IFERROR(__xludf.DUMMYFUNCTION("""COMPUTED_VALUE"""),43209.30134027778)</f>
        <v>43209.30134</v>
      </c>
      <c r="B46" s="11" t="str">
        <f>IFERROR(__xludf.DUMMYFUNCTION("""COMPUTED_VALUE"""),"Pamela Marcum")</f>
        <v>Pamela Marcum</v>
      </c>
      <c r="C46" t="str">
        <f>IFERROR(__xludf.DUMMYFUNCTION("""COMPUTED_VALUE"""),"Pamela.Marcum@Dep.state.fl.us")</f>
        <v>Pamela.Marcum@Dep.state.fl.us</v>
      </c>
      <c r="D46" t="str">
        <f>IFERROR(__xludf.DUMMYFUNCTION("""COMPUTED_VALUE"""),"Research")</f>
        <v>Research</v>
      </c>
      <c r="E46" t="str">
        <f>IFERROR(__xludf.DUMMYFUNCTION("""COMPUTED_VALUE"""),"Palm Valley 210 Bridge")</f>
        <v>Palm Valley 210 Bridge</v>
      </c>
      <c r="F46" s="13">
        <f>IFERROR(__xludf.DUMMYFUNCTION("""COMPUTED_VALUE"""),0.3229166666678793)</f>
        <v>0.3229166667</v>
      </c>
      <c r="G46" s="14">
        <f>IFERROR(__xludf.DUMMYFUNCTION("""COMPUTED_VALUE"""),43209.0)</f>
        <v>43209</v>
      </c>
      <c r="H46" t="str">
        <f>IFERROR(__xludf.DUMMYFUNCTION("""COMPUTED_VALUE"""),"Pine Island Marsh Site")</f>
        <v>Pine Island Marsh Site</v>
      </c>
      <c r="I46" s="15">
        <f>IFERROR(__xludf.DUMMYFUNCTION("""COMPUTED_VALUE"""),0.625)</f>
        <v>0.625</v>
      </c>
      <c r="J46" s="16">
        <f>IFERROR(__xludf.DUMMYFUNCTION("""COMPUTED_VALUE"""),43209.64583333333)</f>
        <v>43209.64583</v>
      </c>
      <c r="K46" t="str">
        <f>IFERROR(__xludf.DUMMYFUNCTION("""COMPUTED_VALUE"""),"20ft Sea Ark FL5351SJ UNF 2015")</f>
        <v>20ft Sea Ark FL5351SJ UNF 2015</v>
      </c>
      <c r="M46" t="str">
        <f>IFERROR(__xludf.DUMMYFUNCTION("""COMPUTED_VALUE"""),"Ford F250 2017 (Moby Dix) - DEP0021578")</f>
        <v>Ford F250 2017 (Moby Dix) - DEP0021578</v>
      </c>
      <c r="N46" t="str">
        <f>IFERROR(__xludf.DUMMYFUNCTION("""COMPUTED_VALUE"""),"Pam Marcum, (480) 332-5414, Silas Tanner, (904) 483-8423")</f>
        <v>Pam Marcum, (480) 332-5414, Silas Tanner, (904) 483-8423</v>
      </c>
      <c r="O46" t="str">
        <f>IFERROR(__xludf.DUMMYFUNCTION("""COMPUTED_VALUE"""),"Benjamin Mowbray, (407) 962-8782, Matt Sturchio")</f>
        <v>Benjamin Mowbray, (407) 962-8782, Matt Sturchio</v>
      </c>
      <c r="P46" t="str">
        <f>IFERROR(__xludf.DUMMYFUNCTION("""COMPUTED_VALUE"""),"Pam")</f>
        <v>Pam</v>
      </c>
      <c r="Q46" t="str">
        <f>IFERROR(__xludf.DUMMYFUNCTION("""COMPUTED_VALUE"""),"Good")</f>
        <v>Good</v>
      </c>
      <c r="R46" t="str">
        <f>IFERROR(__xludf.DUMMYFUNCTION("""COMPUTED_VALUE"""),"Good")</f>
        <v>Good</v>
      </c>
      <c r="S46" t="str">
        <f>IFERROR(__xludf.DUMMYFUNCTION("""COMPUTED_VALUE"""),"Good")</f>
        <v>Good</v>
      </c>
      <c r="T46" t="str">
        <f>IFERROR(__xludf.DUMMYFUNCTION("""COMPUTED_VALUE"""),"Good")</f>
        <v>Good</v>
      </c>
      <c r="U46" t="str">
        <f>IFERROR(__xludf.DUMMYFUNCTION("""COMPUTED_VALUE"""),"Good")</f>
        <v>Good</v>
      </c>
      <c r="V46" t="str">
        <f>IFERROR(__xludf.DUMMYFUNCTION("""COMPUTED_VALUE"""),"Good")</f>
        <v>Good</v>
      </c>
      <c r="W46" t="str">
        <f>IFERROR(__xludf.DUMMYFUNCTION("""COMPUTED_VALUE"""),"Good")</f>
        <v>Good</v>
      </c>
      <c r="X46" t="str">
        <f>IFERROR(__xludf.DUMMYFUNCTION("""COMPUTED_VALUE"""),"Good")</f>
        <v>Good</v>
      </c>
      <c r="Y46" t="str">
        <f>IFERROR(__xludf.DUMMYFUNCTION("""COMPUTED_VALUE"""),"Good")</f>
        <v>Good</v>
      </c>
      <c r="Z46" t="str">
        <f>IFERROR(__xludf.DUMMYFUNCTION("""COMPUTED_VALUE"""),"Good")</f>
        <v>Good</v>
      </c>
      <c r="AA46" t="str">
        <f>IFERROR(__xludf.DUMMYFUNCTION("""COMPUTED_VALUE"""),"Good")</f>
        <v>Good</v>
      </c>
      <c r="AB46" t="str">
        <f>IFERROR(__xludf.DUMMYFUNCTION("""COMPUTED_VALUE"""),"Good")</f>
        <v>Good</v>
      </c>
      <c r="AC46" t="str">
        <f>IFERROR(__xludf.DUMMYFUNCTION("""COMPUTED_VALUE"""),"Good")</f>
        <v>Good</v>
      </c>
      <c r="AE46" s="11"/>
      <c r="AF46" t="s">
        <v>13</v>
      </c>
      <c r="AG46" s="17" t="s">
        <v>43</v>
      </c>
      <c r="AH46" s="12"/>
      <c r="AI46" s="12" t="s">
        <v>73</v>
      </c>
      <c r="AJ46" s="19" t="s">
        <v>74</v>
      </c>
      <c r="AK46" s="20" t="str">
        <f>HYPERLINK("https://docs.google.com/document/d/1xUIhT2sRTDOWmpUEFwaZu47fXh5-6Kw9MpWVOIypX_Y/edit?usp=drivesdk","Pamela Marcum - 4/19/2018 7:45 AM")</f>
        <v>Pamela Marcum - 4/19/2018 7:45 AM</v>
      </c>
      <c r="AL46" s="12" t="s">
        <v>75</v>
      </c>
    </row>
    <row r="47">
      <c r="A47" s="10">
        <f>IFERROR(__xludf.DUMMYFUNCTION("""COMPUTED_VALUE"""),43210.345755034716)</f>
        <v>43210.34576</v>
      </c>
      <c r="B47" s="11" t="str">
        <f>IFERROR(__xludf.DUMMYFUNCTION("""COMPUTED_VALUE"""),"Silas Tanner")</f>
        <v>Silas Tanner</v>
      </c>
      <c r="C47" t="str">
        <f>IFERROR(__xludf.DUMMYFUNCTION("""COMPUTED_VALUE"""),"silas.tanner@dep.state.fl.us")</f>
        <v>silas.tanner@dep.state.fl.us</v>
      </c>
      <c r="D47" t="str">
        <f>IFERROR(__xludf.DUMMYFUNCTION("""COMPUTED_VALUE"""),"Research")</f>
        <v>Research</v>
      </c>
      <c r="E47" t="str">
        <f>IFERROR(__xludf.DUMMYFUNCTION("""COMPUTED_VALUE"""),"Douglas Crane Park &amp; Boat Ramp")</f>
        <v>Douglas Crane Park &amp; Boat Ramp</v>
      </c>
      <c r="F47" s="13">
        <f>IFERROR(__xludf.DUMMYFUNCTION("""COMPUTED_VALUE"""),0.375)</f>
        <v>0.375</v>
      </c>
      <c r="G47" s="14">
        <f>IFERROR(__xludf.DUMMYFUNCTION("""COMPUTED_VALUE"""),43210.0)</f>
        <v>43210</v>
      </c>
      <c r="H47" t="str">
        <f>IFERROR(__xludf.DUMMYFUNCTION("""COMPUTED_VALUE"""),"ICW south of 312 - Site 22 (Jason's Creek) ")</f>
        <v>ICW south of 312 - Site 22 (Jason's Creek) </v>
      </c>
      <c r="I47" s="15">
        <f>IFERROR(__xludf.DUMMYFUNCTION("""COMPUTED_VALUE"""),0.6458333333321207)</f>
        <v>0.6458333333</v>
      </c>
      <c r="J47" s="16">
        <f>IFERROR(__xludf.DUMMYFUNCTION("""COMPUTED_VALUE"""),43210.66666666667)</f>
        <v>43210.66667</v>
      </c>
      <c r="K47" t="str">
        <f>IFERROR(__xludf.DUMMYFUNCTION("""COMPUTED_VALUE"""),"20ft Sea Ark FL5351SJ UNF 2015")</f>
        <v>20ft Sea Ark FL5351SJ UNF 2015</v>
      </c>
      <c r="M47" t="str">
        <f>IFERROR(__xludf.DUMMYFUNCTION("""COMPUTED_VALUE"""),"Ford F250 2017 (Moby Dix) - DEP0021578")</f>
        <v>Ford F250 2017 (Moby Dix) - DEP0021578</v>
      </c>
      <c r="N47" t="str">
        <f>IFERROR(__xludf.DUMMYFUNCTION("""COMPUTED_VALUE"""),"Pam Marcum, (480) 332-5414, Silas Tanner, (904) 483-8423, Ben Mowbray, (407) 962-8782")</f>
        <v>Pam Marcum, (480) 332-5414, Silas Tanner, (904) 483-8423, Ben Mowbray, (407) 962-8782</v>
      </c>
      <c r="O47" t="str">
        <f>IFERROR(__xludf.DUMMYFUNCTION("""COMPUTED_VALUE"""),"Jeff Finnan")</f>
        <v>Jeff Finnan</v>
      </c>
      <c r="P47" t="str">
        <f>IFERROR(__xludf.DUMMYFUNCTION("""COMPUTED_VALUE"""),"Silas Tanner")</f>
        <v>Silas Tanner</v>
      </c>
      <c r="Q47" t="str">
        <f>IFERROR(__xludf.DUMMYFUNCTION("""COMPUTED_VALUE"""),"Good")</f>
        <v>Good</v>
      </c>
      <c r="R47" t="str">
        <f>IFERROR(__xludf.DUMMYFUNCTION("""COMPUTED_VALUE"""),"Good")</f>
        <v>Good</v>
      </c>
      <c r="S47" t="str">
        <f>IFERROR(__xludf.DUMMYFUNCTION("""COMPUTED_VALUE"""),"Good")</f>
        <v>Good</v>
      </c>
      <c r="T47" t="str">
        <f>IFERROR(__xludf.DUMMYFUNCTION("""COMPUTED_VALUE"""),"Good")</f>
        <v>Good</v>
      </c>
      <c r="U47" t="str">
        <f>IFERROR(__xludf.DUMMYFUNCTION("""COMPUTED_VALUE"""),"Good")</f>
        <v>Good</v>
      </c>
      <c r="V47" t="str">
        <f>IFERROR(__xludf.DUMMYFUNCTION("""COMPUTED_VALUE"""),"Good")</f>
        <v>Good</v>
      </c>
      <c r="W47" t="str">
        <f>IFERROR(__xludf.DUMMYFUNCTION("""COMPUTED_VALUE"""),"Good")</f>
        <v>Good</v>
      </c>
      <c r="X47" t="str">
        <f>IFERROR(__xludf.DUMMYFUNCTION("""COMPUTED_VALUE"""),"Good")</f>
        <v>Good</v>
      </c>
      <c r="Y47" t="str">
        <f>IFERROR(__xludf.DUMMYFUNCTION("""COMPUTED_VALUE"""),"Good")</f>
        <v>Good</v>
      </c>
      <c r="Z47" t="str">
        <f>IFERROR(__xludf.DUMMYFUNCTION("""COMPUTED_VALUE"""),"Good")</f>
        <v>Good</v>
      </c>
      <c r="AA47" t="str">
        <f>IFERROR(__xludf.DUMMYFUNCTION("""COMPUTED_VALUE"""),"Good")</f>
        <v>Good</v>
      </c>
      <c r="AB47" t="str">
        <f>IFERROR(__xludf.DUMMYFUNCTION("""COMPUTED_VALUE"""),"Good")</f>
        <v>Good</v>
      </c>
      <c r="AC47" t="str">
        <f>IFERROR(__xludf.DUMMYFUNCTION("""COMPUTED_VALUE"""),"Good")</f>
        <v>Good</v>
      </c>
      <c r="AE47" s="11"/>
      <c r="AF47" t="s">
        <v>13</v>
      </c>
      <c r="AG47" s="17" t="s">
        <v>18</v>
      </c>
      <c r="AH47" s="12"/>
      <c r="AI47" s="12" t="s">
        <v>76</v>
      </c>
      <c r="AJ47" s="19" t="s">
        <v>77</v>
      </c>
      <c r="AK47" s="20" t="str">
        <f>HYPERLINK("https://docs.google.com/document/d/1JEa1CEgHyehbkiQb0UeiGakohFPxlUdscuddwbzrIxE/edit?usp=drivesdk","Silas Tanner - 4/20/2018 9:00 AM")</f>
        <v>Silas Tanner - 4/20/2018 9:00 AM</v>
      </c>
      <c r="AL47" s="12" t="s">
        <v>78</v>
      </c>
    </row>
    <row r="48">
      <c r="A48" s="10">
        <f>IFERROR(__xludf.DUMMYFUNCTION("""COMPUTED_VALUE"""),43213.402466388885)</f>
        <v>43213.40247</v>
      </c>
      <c r="B48" s="11" t="str">
        <f>IFERROR(__xludf.DUMMYFUNCTION("""COMPUTED_VALUE"""),"Silas Tanner")</f>
        <v>Silas Tanner</v>
      </c>
      <c r="C48" t="str">
        <f>IFERROR(__xludf.DUMMYFUNCTION("""COMPUTED_VALUE"""),"silas.tanner@floridadep.gov")</f>
        <v>silas.tanner@floridadep.gov</v>
      </c>
      <c r="D48" t="str">
        <f>IFERROR(__xludf.DUMMYFUNCTION("""COMPUTED_VALUE"""),"Research")</f>
        <v>Research</v>
      </c>
      <c r="E48" t="str">
        <f>IFERROR(__xludf.DUMMYFUNCTION("""COMPUTED_VALUE"""),"Green Road Boat Ramp")</f>
        <v>Green Road Boat Ramp</v>
      </c>
      <c r="F48" s="13">
        <f>IFERROR(__xludf.DUMMYFUNCTION("""COMPUTED_VALUE"""),0.40625)</f>
        <v>0.40625</v>
      </c>
      <c r="G48" s="14">
        <f>IFERROR(__xludf.DUMMYFUNCTION("""COMPUTED_VALUE"""),43214.0)</f>
        <v>43214</v>
      </c>
      <c r="H48" t="str">
        <f>IFERROR(__xludf.DUMMYFUNCTION("""COMPUTED_VALUE"""),"Moses Creek")</f>
        <v>Moses Creek</v>
      </c>
      <c r="I48" s="15">
        <f>IFERROR(__xludf.DUMMYFUNCTION("""COMPUTED_VALUE"""),0.65625)</f>
        <v>0.65625</v>
      </c>
      <c r="J48" s="16">
        <f>IFERROR(__xludf.DUMMYFUNCTION("""COMPUTED_VALUE"""),43214.6875)</f>
        <v>43214.6875</v>
      </c>
      <c r="K48" t="str">
        <f>IFERROR(__xludf.DUMMYFUNCTION("""COMPUTED_VALUE"""),"20ft Sea Ark FL5351SJ UNF 2015")</f>
        <v>20ft Sea Ark FL5351SJ UNF 2015</v>
      </c>
      <c r="M48" t="str">
        <f>IFERROR(__xludf.DUMMYFUNCTION("""COMPUTED_VALUE"""),"Ford F250 2017 (Moby Dix) - DEP0021578")</f>
        <v>Ford F250 2017 (Moby Dix) - DEP0021578</v>
      </c>
      <c r="N48" t="str">
        <f>IFERROR(__xludf.DUMMYFUNCTION("""COMPUTED_VALUE"""),"Silas Tanner, (904) 483-8423")</f>
        <v>Silas Tanner, (904) 483-8423</v>
      </c>
      <c r="O48" t="str">
        <f>IFERROR(__xludf.DUMMYFUNCTION("""COMPUTED_VALUE"""),"Benjamin Mowbray, (407) 962-8782, Annie Otto")</f>
        <v>Benjamin Mowbray, (407) 962-8782, Annie Otto</v>
      </c>
      <c r="P48" t="str">
        <f>IFERROR(__xludf.DUMMYFUNCTION("""COMPUTED_VALUE"""),"Silas Tanner")</f>
        <v>Silas Tanner</v>
      </c>
      <c r="Q48" t="str">
        <f>IFERROR(__xludf.DUMMYFUNCTION("""COMPUTED_VALUE"""),"Good")</f>
        <v>Good</v>
      </c>
      <c r="R48" t="str">
        <f>IFERROR(__xludf.DUMMYFUNCTION("""COMPUTED_VALUE"""),"Good")</f>
        <v>Good</v>
      </c>
      <c r="S48" t="str">
        <f>IFERROR(__xludf.DUMMYFUNCTION("""COMPUTED_VALUE"""),"Good")</f>
        <v>Good</v>
      </c>
      <c r="T48" t="str">
        <f>IFERROR(__xludf.DUMMYFUNCTION("""COMPUTED_VALUE"""),"Good")</f>
        <v>Good</v>
      </c>
      <c r="U48" t="str">
        <f>IFERROR(__xludf.DUMMYFUNCTION("""COMPUTED_VALUE"""),"Good")</f>
        <v>Good</v>
      </c>
      <c r="V48" t="str">
        <f>IFERROR(__xludf.DUMMYFUNCTION("""COMPUTED_VALUE"""),"Good")</f>
        <v>Good</v>
      </c>
      <c r="W48" t="str">
        <f>IFERROR(__xludf.DUMMYFUNCTION("""COMPUTED_VALUE"""),"Good")</f>
        <v>Good</v>
      </c>
      <c r="X48" t="str">
        <f>IFERROR(__xludf.DUMMYFUNCTION("""COMPUTED_VALUE"""),"Good")</f>
        <v>Good</v>
      </c>
      <c r="Y48" t="str">
        <f>IFERROR(__xludf.DUMMYFUNCTION("""COMPUTED_VALUE"""),"Good")</f>
        <v>Good</v>
      </c>
      <c r="Z48" t="str">
        <f>IFERROR(__xludf.DUMMYFUNCTION("""COMPUTED_VALUE"""),"Good")</f>
        <v>Good</v>
      </c>
      <c r="AA48" t="str">
        <f>IFERROR(__xludf.DUMMYFUNCTION("""COMPUTED_VALUE"""),"Good")</f>
        <v>Good</v>
      </c>
      <c r="AB48" t="str">
        <f>IFERROR(__xludf.DUMMYFUNCTION("""COMPUTED_VALUE"""),"Good")</f>
        <v>Good</v>
      </c>
      <c r="AC48" t="str">
        <f>IFERROR(__xludf.DUMMYFUNCTION("""COMPUTED_VALUE"""),"Good")</f>
        <v>Good</v>
      </c>
      <c r="AE48" s="11"/>
      <c r="AF48" t="s">
        <v>13</v>
      </c>
      <c r="AG48" s="17" t="s">
        <v>18</v>
      </c>
      <c r="AH48" s="12"/>
      <c r="AI48" s="12" t="s">
        <v>79</v>
      </c>
      <c r="AJ48" s="19" t="s">
        <v>80</v>
      </c>
      <c r="AK48" s="20" t="str">
        <f>HYPERLINK("https://docs.google.com/document/d/1JFryXOw2InmmGmXxxzshvZNk4sdpEONK7hn7Y_AqJRE/edit?usp=drivesdk","Silas Tanner - 4/23/2018 9:45 AM")</f>
        <v>Silas Tanner - 4/23/2018 9:45 AM</v>
      </c>
      <c r="AL48" s="12" t="s">
        <v>81</v>
      </c>
    </row>
    <row r="49">
      <c r="A49" s="10">
        <f>IFERROR(__xludf.DUMMYFUNCTION("""COMPUTED_VALUE"""),43213.71415488426)</f>
        <v>43213.71415</v>
      </c>
      <c r="B49" s="11" t="str">
        <f>IFERROR(__xludf.DUMMYFUNCTION("""COMPUTED_VALUE"""),"James Tomazinis")</f>
        <v>James Tomazinis</v>
      </c>
      <c r="C49" t="str">
        <f>IFERROR(__xludf.DUMMYFUNCTION("""COMPUTED_VALUE"""),"james.tomazinis@dep.state.fl.us")</f>
        <v>james.tomazinis@dep.state.fl.us</v>
      </c>
      <c r="D49" t="str">
        <f>IFERROR(__xludf.DUMMYFUNCTION("""COMPUTED_VALUE"""),"Stewardship (Aquatic)")</f>
        <v>Stewardship (Aquatic)</v>
      </c>
      <c r="E49" t="str">
        <f>IFERROR(__xludf.DUMMYFUNCTION("""COMPUTED_VALUE"""),"Guana Dam")</f>
        <v>Guana Dam</v>
      </c>
      <c r="F49" s="13">
        <f>IFERROR(__xludf.DUMMYFUNCTION("""COMPUTED_VALUE"""),0.28125)</f>
        <v>0.28125</v>
      </c>
      <c r="G49" s="14">
        <f>IFERROR(__xludf.DUMMYFUNCTION("""COMPUTED_VALUE"""),43214.0)</f>
        <v>43214</v>
      </c>
      <c r="H49" t="str">
        <f>IFERROR(__xludf.DUMMYFUNCTION("""COMPUTED_VALUE"""),"Guana NUT sites")</f>
        <v>Guana NUT sites</v>
      </c>
      <c r="I49" s="15">
        <f>IFERROR(__xludf.DUMMYFUNCTION("""COMPUTED_VALUE"""),0.4583333333321207)</f>
        <v>0.4583333333</v>
      </c>
      <c r="J49" s="16"/>
      <c r="K49" t="str">
        <f>IFERROR(__xludf.DUMMYFUNCTION("""COMPUTED_VALUE"""),"Jon Boat FL0484NP DEP06819")</f>
        <v>Jon Boat FL0484NP DEP06819</v>
      </c>
      <c r="M49" t="str">
        <f>IFERROR(__xludf.DUMMYFUNCTION("""COMPUTED_VALUE"""),"Ford F150 2015 (White) - DEP21448")</f>
        <v>Ford F150 2015 (White) - DEP21448</v>
      </c>
      <c r="N49" t="str">
        <f>IFERROR(__xludf.DUMMYFUNCTION("""COMPUTED_VALUE"""),"Jimmy Tomazinis, (904) 547-0094")</f>
        <v>Jimmy Tomazinis, (904) 547-0094</v>
      </c>
      <c r="O49" t="str">
        <f>IFERROR(__xludf.DUMMYFUNCTION("""COMPUTED_VALUE"""),"Mike Dickson")</f>
        <v>Mike Dickson</v>
      </c>
      <c r="P49" t="str">
        <f>IFERROR(__xludf.DUMMYFUNCTION("""COMPUTED_VALUE"""),"Jimmy")</f>
        <v>Jimmy</v>
      </c>
      <c r="Q49" t="str">
        <f>IFERROR(__xludf.DUMMYFUNCTION("""COMPUTED_VALUE"""),"Good")</f>
        <v>Good</v>
      </c>
      <c r="R49" t="str">
        <f>IFERROR(__xludf.DUMMYFUNCTION("""COMPUTED_VALUE"""),"Good")</f>
        <v>Good</v>
      </c>
      <c r="S49" t="str">
        <f>IFERROR(__xludf.DUMMYFUNCTION("""COMPUTED_VALUE"""),"Good")</f>
        <v>Good</v>
      </c>
      <c r="T49" t="str">
        <f>IFERROR(__xludf.DUMMYFUNCTION("""COMPUTED_VALUE"""),"Good")</f>
        <v>Good</v>
      </c>
      <c r="U49" t="str">
        <f>IFERROR(__xludf.DUMMYFUNCTION("""COMPUTED_VALUE"""),"Good")</f>
        <v>Good</v>
      </c>
      <c r="V49" t="str">
        <f>IFERROR(__xludf.DUMMYFUNCTION("""COMPUTED_VALUE"""),"Good")</f>
        <v>Good</v>
      </c>
      <c r="W49" t="str">
        <f>IFERROR(__xludf.DUMMYFUNCTION("""COMPUTED_VALUE"""),"Good")</f>
        <v>Good</v>
      </c>
      <c r="X49" t="str">
        <f>IFERROR(__xludf.DUMMYFUNCTION("""COMPUTED_VALUE"""),"Good")</f>
        <v>Good</v>
      </c>
      <c r="Y49" t="str">
        <f>IFERROR(__xludf.DUMMYFUNCTION("""COMPUTED_VALUE"""),"Good")</f>
        <v>Good</v>
      </c>
      <c r="Z49" t="str">
        <f>IFERROR(__xludf.DUMMYFUNCTION("""COMPUTED_VALUE"""),"Good")</f>
        <v>Good</v>
      </c>
      <c r="AA49" t="str">
        <f>IFERROR(__xludf.DUMMYFUNCTION("""COMPUTED_VALUE"""),"Good")</f>
        <v>Good</v>
      </c>
      <c r="AB49" t="str">
        <f>IFERROR(__xludf.DUMMYFUNCTION("""COMPUTED_VALUE"""),"Good")</f>
        <v>Good</v>
      </c>
      <c r="AC49" t="str">
        <f>IFERROR(__xludf.DUMMYFUNCTION("""COMPUTED_VALUE"""),"Good")</f>
        <v>Good</v>
      </c>
      <c r="AE49" s="11"/>
      <c r="AF49" t="s">
        <v>32</v>
      </c>
      <c r="AG49" s="17" t="s">
        <v>18</v>
      </c>
      <c r="AH49" s="12"/>
      <c r="AI49" s="12" t="s">
        <v>82</v>
      </c>
      <c r="AJ49" s="19" t="s">
        <v>83</v>
      </c>
      <c r="AK49" s="20" t="str">
        <f>HYPERLINK("https://docs.google.com/document/d/1cZgdQ9Bkry7GfAi9UtVtg27Em-ne__SFXnsOQWLIXOg/edit?usp=drivesdk","James Tomazinis - 4/24/2018 6:45 AM")</f>
        <v>James Tomazinis - 4/24/2018 6:45 AM</v>
      </c>
      <c r="AL49" s="12" t="s">
        <v>84</v>
      </c>
    </row>
    <row r="50">
      <c r="A50" s="10">
        <f>IFERROR(__xludf.DUMMYFUNCTION("""COMPUTED_VALUE"""),43214.35881612269)</f>
        <v>43214.35882</v>
      </c>
      <c r="B50" s="11" t="str">
        <f>IFERROR(__xludf.DUMMYFUNCTION("""COMPUTED_VALUE"""),"Pamela Marcum")</f>
        <v>Pamela Marcum</v>
      </c>
      <c r="C50" t="str">
        <f>IFERROR(__xludf.DUMMYFUNCTION("""COMPUTED_VALUE"""),"Pamela.Marcum@dep.state.fl.us")</f>
        <v>Pamela.Marcum@dep.state.fl.us</v>
      </c>
      <c r="D50" t="str">
        <f>IFERROR(__xludf.DUMMYFUNCTION("""COMPUTED_VALUE"""),"Research")</f>
        <v>Research</v>
      </c>
      <c r="E50" t="str">
        <f>IFERROR(__xludf.DUMMYFUNCTION("""COMPUTED_VALUE"""),"Aunt Kate's")</f>
        <v>Aunt Kate's</v>
      </c>
      <c r="F50" s="13">
        <f>IFERROR(__xludf.DUMMYFUNCTION("""COMPUTED_VALUE"""),0.3645833333321207)</f>
        <v>0.3645833333</v>
      </c>
      <c r="G50" s="14">
        <f>IFERROR(__xludf.DUMMYFUNCTION("""COMPUTED_VALUE"""),43214.0)</f>
        <v>43214</v>
      </c>
      <c r="H50" t="str">
        <f>IFERROR(__xludf.DUMMYFUNCTION("""COMPUTED_VALUE"""),"Upper Tolomato River")</f>
        <v>Upper Tolomato River</v>
      </c>
      <c r="I50" s="15">
        <f>IFERROR(__xludf.DUMMYFUNCTION("""COMPUTED_VALUE"""),0.5833333333321207)</f>
        <v>0.5833333333</v>
      </c>
      <c r="J50" s="16">
        <f>IFERROR(__xludf.DUMMYFUNCTION("""COMPUTED_VALUE"""),43214.60416666667)</f>
        <v>43214.60417</v>
      </c>
      <c r="K50" t="str">
        <f>IFERROR(__xludf.DUMMYFUNCTION("""COMPUTED_VALUE"""),"23ft Skiff (Bertha) FL7972LJ DEP07613")</f>
        <v>23ft Skiff (Bertha) FL7972LJ DEP07613</v>
      </c>
      <c r="M50" t="str">
        <f>IFERROR(__xludf.DUMMYFUNCTION("""COMPUTED_VALUE"""),"Ford F150 2008 - DEP18041 (SWMP Thing)")</f>
        <v>Ford F150 2008 - DEP18041 (SWMP Thing)</v>
      </c>
      <c r="N50" t="str">
        <f>IFERROR(__xludf.DUMMYFUNCTION("""COMPUTED_VALUE"""),"Nikki Dix, (352) 219-4079, Pam Marcum, (480) 332-5414")</f>
        <v>Nikki Dix, (352) 219-4079, Pam Marcum, (480) 332-5414</v>
      </c>
      <c r="O50" t="str">
        <f>IFERROR(__xludf.DUMMYFUNCTION("""COMPUTED_VALUE"""),"Greg Kusel, Patrick Norby")</f>
        <v>Greg Kusel, Patrick Norby</v>
      </c>
      <c r="P50" t="str">
        <f>IFERROR(__xludf.DUMMYFUNCTION("""COMPUTED_VALUE"""),"Pam")</f>
        <v>Pam</v>
      </c>
      <c r="Q50" t="str">
        <f>IFERROR(__xludf.DUMMYFUNCTION("""COMPUTED_VALUE"""),"Good")</f>
        <v>Good</v>
      </c>
      <c r="R50" t="str">
        <f>IFERROR(__xludf.DUMMYFUNCTION("""COMPUTED_VALUE"""),"Good")</f>
        <v>Good</v>
      </c>
      <c r="S50" t="str">
        <f>IFERROR(__xludf.DUMMYFUNCTION("""COMPUTED_VALUE"""),"Good")</f>
        <v>Good</v>
      </c>
      <c r="T50" t="str">
        <f>IFERROR(__xludf.DUMMYFUNCTION("""COMPUTED_VALUE"""),"Good")</f>
        <v>Good</v>
      </c>
      <c r="U50" t="str">
        <f>IFERROR(__xludf.DUMMYFUNCTION("""COMPUTED_VALUE"""),"Good")</f>
        <v>Good</v>
      </c>
      <c r="V50" t="str">
        <f>IFERROR(__xludf.DUMMYFUNCTION("""COMPUTED_VALUE"""),"Good")</f>
        <v>Good</v>
      </c>
      <c r="W50" t="str">
        <f>IFERROR(__xludf.DUMMYFUNCTION("""COMPUTED_VALUE"""),"Good")</f>
        <v>Good</v>
      </c>
      <c r="X50" t="str">
        <f>IFERROR(__xludf.DUMMYFUNCTION("""COMPUTED_VALUE"""),"Good")</f>
        <v>Good</v>
      </c>
      <c r="Y50" t="str">
        <f>IFERROR(__xludf.DUMMYFUNCTION("""COMPUTED_VALUE"""),"Good")</f>
        <v>Good</v>
      </c>
      <c r="Z50" t="str">
        <f>IFERROR(__xludf.DUMMYFUNCTION("""COMPUTED_VALUE"""),"Good")</f>
        <v>Good</v>
      </c>
      <c r="AA50" t="str">
        <f>IFERROR(__xludf.DUMMYFUNCTION("""COMPUTED_VALUE"""),"Good")</f>
        <v>Good</v>
      </c>
      <c r="AB50" t="str">
        <f>IFERROR(__xludf.DUMMYFUNCTION("""COMPUTED_VALUE"""),"Good")</f>
        <v>Good</v>
      </c>
      <c r="AC50" t="str">
        <f>IFERROR(__xludf.DUMMYFUNCTION("""COMPUTED_VALUE"""),"Good")</f>
        <v>Good</v>
      </c>
      <c r="AE50" s="11"/>
      <c r="AF50" t="s">
        <v>13</v>
      </c>
      <c r="AG50" s="17" t="s">
        <v>18</v>
      </c>
      <c r="AH50" s="12"/>
      <c r="AI50" s="12" t="s">
        <v>85</v>
      </c>
      <c r="AJ50" s="19" t="s">
        <v>86</v>
      </c>
      <c r="AK50" s="20" t="str">
        <f>HYPERLINK("https://docs.google.com/document/d/141YwKW4KI8Q1dzT2ZpYz1hJTIpHl_K-P_b2fL-FVL80/edit?usp=drivesdk","Pamela Marcum - 4/24/2018 8:45 AM")</f>
        <v>Pamela Marcum - 4/24/2018 8:45 AM</v>
      </c>
      <c r="AL50" s="12" t="s">
        <v>87</v>
      </c>
    </row>
    <row r="51">
      <c r="A51" s="10">
        <f>IFERROR(__xludf.DUMMYFUNCTION("""COMPUTED_VALUE"""),43215.26377679399)</f>
        <v>43215.26378</v>
      </c>
      <c r="B51" s="11" t="str">
        <f>IFERROR(__xludf.DUMMYFUNCTION("""COMPUTED_VALUE"""),"Silas Tanner")</f>
        <v>Silas Tanner</v>
      </c>
      <c r="C51" t="str">
        <f>IFERROR(__xludf.DUMMYFUNCTION("""COMPUTED_VALUE"""),"Silas.tanner@floridadep.gov")</f>
        <v>Silas.tanner@floridadep.gov</v>
      </c>
      <c r="D51" t="str">
        <f>IFERROR(__xludf.DUMMYFUNCTION("""COMPUTED_VALUE"""),"Research")</f>
        <v>Research</v>
      </c>
      <c r="E51" t="str">
        <f>IFERROR(__xludf.DUMMYFUNCTION("""COMPUTED_VALUE"""),"Vilano County ramp")</f>
        <v>Vilano County ramp</v>
      </c>
      <c r="F51" s="13">
        <f>IFERROR(__xludf.DUMMYFUNCTION("""COMPUTED_VALUE"""),0.2916666666678793)</f>
        <v>0.2916666667</v>
      </c>
      <c r="G51" s="14">
        <f>IFERROR(__xludf.DUMMYFUNCTION("""COMPUTED_VALUE"""),43215.0)</f>
        <v>43215</v>
      </c>
      <c r="H51" t="str">
        <f>IFERROR(__xludf.DUMMYFUNCTION("""COMPUTED_VALUE"""),"ICW SWMP sites")</f>
        <v>ICW SWMP sites</v>
      </c>
      <c r="I51" s="15">
        <f>IFERROR(__xludf.DUMMYFUNCTION("""COMPUTED_VALUE"""),0.5625)</f>
        <v>0.5625</v>
      </c>
      <c r="J51" s="16">
        <f>IFERROR(__xludf.DUMMYFUNCTION("""COMPUTED_VALUE"""),43215.58333333333)</f>
        <v>43215.58333</v>
      </c>
      <c r="K51" t="str">
        <f>IFERROR(__xludf.DUMMYFUNCTION("""COMPUTED_VALUE"""),"23ft Skiff (Bertha) FL7972LJ DEP07613")</f>
        <v>23ft Skiff (Bertha) FL7972LJ DEP07613</v>
      </c>
      <c r="M51" t="str">
        <f>IFERROR(__xludf.DUMMYFUNCTION("""COMPUTED_VALUE"""),"Ford F150 2008 - DEP18041 (SWMP Thing)")</f>
        <v>Ford F150 2008 - DEP18041 (SWMP Thing)</v>
      </c>
      <c r="N51" t="str">
        <f>IFERROR(__xludf.DUMMYFUNCTION("""COMPUTED_VALUE"""),"Silas Tanner, (904) 483-8423, Jimmy Tomazinis, (904) 547-0094")</f>
        <v>Silas Tanner, (904) 483-8423, Jimmy Tomazinis, (904) 547-0094</v>
      </c>
      <c r="O51" t="str">
        <f>IFERROR(__xludf.DUMMYFUNCTION("""COMPUTED_VALUE"""),"Jeff Finnan")</f>
        <v>Jeff Finnan</v>
      </c>
      <c r="P51" t="str">
        <f>IFERROR(__xludf.DUMMYFUNCTION("""COMPUTED_VALUE"""),"Silas Tanner")</f>
        <v>Silas Tanner</v>
      </c>
      <c r="Q51" t="str">
        <f>IFERROR(__xludf.DUMMYFUNCTION("""COMPUTED_VALUE"""),"Good")</f>
        <v>Good</v>
      </c>
      <c r="R51" t="str">
        <f>IFERROR(__xludf.DUMMYFUNCTION("""COMPUTED_VALUE"""),"Good")</f>
        <v>Good</v>
      </c>
      <c r="S51" t="str">
        <f>IFERROR(__xludf.DUMMYFUNCTION("""COMPUTED_VALUE"""),"Good")</f>
        <v>Good</v>
      </c>
      <c r="T51" t="str">
        <f>IFERROR(__xludf.DUMMYFUNCTION("""COMPUTED_VALUE"""),"Good")</f>
        <v>Good</v>
      </c>
      <c r="U51" t="str">
        <f>IFERROR(__xludf.DUMMYFUNCTION("""COMPUTED_VALUE"""),"Good")</f>
        <v>Good</v>
      </c>
      <c r="V51" t="str">
        <f>IFERROR(__xludf.DUMMYFUNCTION("""COMPUTED_VALUE"""),"Good")</f>
        <v>Good</v>
      </c>
      <c r="W51" t="str">
        <f>IFERROR(__xludf.DUMMYFUNCTION("""COMPUTED_VALUE"""),"Good")</f>
        <v>Good</v>
      </c>
      <c r="X51" t="str">
        <f>IFERROR(__xludf.DUMMYFUNCTION("""COMPUTED_VALUE"""),"Good")</f>
        <v>Good</v>
      </c>
      <c r="Y51" t="str">
        <f>IFERROR(__xludf.DUMMYFUNCTION("""COMPUTED_VALUE"""),"Good")</f>
        <v>Good</v>
      </c>
      <c r="Z51" t="str">
        <f>IFERROR(__xludf.DUMMYFUNCTION("""COMPUTED_VALUE"""),"Good")</f>
        <v>Good</v>
      </c>
      <c r="AA51" t="str">
        <f>IFERROR(__xludf.DUMMYFUNCTION("""COMPUTED_VALUE"""),"Good")</f>
        <v>Good</v>
      </c>
      <c r="AB51" t="str">
        <f>IFERROR(__xludf.DUMMYFUNCTION("""COMPUTED_VALUE"""),"Good")</f>
        <v>Good</v>
      </c>
      <c r="AC51" t="str">
        <f>IFERROR(__xludf.DUMMYFUNCTION("""COMPUTED_VALUE"""),"Good")</f>
        <v>Good</v>
      </c>
      <c r="AE51" s="11"/>
      <c r="AF51" t="s">
        <v>13</v>
      </c>
      <c r="AG51" s="17" t="s">
        <v>18</v>
      </c>
      <c r="AH51" s="12"/>
      <c r="AI51" s="12" t="s">
        <v>88</v>
      </c>
      <c r="AJ51" s="19" t="s">
        <v>89</v>
      </c>
      <c r="AK51" s="20" t="str">
        <f>HYPERLINK("https://docs.google.com/document/d/11JZf3cCy2oWzUnb0sX9zgzWgWoI2_8xAwaHHjF2yHkM/edit?usp=drivesdk","Silas Tanner - 4/25/2018 7:00 AM")</f>
        <v>Silas Tanner - 4/25/2018 7:00 AM</v>
      </c>
      <c r="AL51" s="12" t="s">
        <v>90</v>
      </c>
    </row>
    <row r="52">
      <c r="A52" s="10">
        <f>IFERROR(__xludf.DUMMYFUNCTION("""COMPUTED_VALUE"""),43216.53391576389)</f>
        <v>43216.53392</v>
      </c>
      <c r="B52" s="11" t="str">
        <f>IFERROR(__xludf.DUMMYFUNCTION("""COMPUTED_VALUE"""),"Silas Tanner")</f>
        <v>Silas Tanner</v>
      </c>
      <c r="C52" t="str">
        <f>IFERROR(__xludf.DUMMYFUNCTION("""COMPUTED_VALUE"""),"silas.tanner@dep.state.fl.us")</f>
        <v>silas.tanner@dep.state.fl.us</v>
      </c>
      <c r="D52" t="str">
        <f>IFERROR(__xludf.DUMMYFUNCTION("""COMPUTED_VALUE"""),"Research")</f>
        <v>Research</v>
      </c>
      <c r="E52" t="str">
        <f>IFERROR(__xludf.DUMMYFUNCTION("""COMPUTED_VALUE"""),"Moses Creek floating dock")</f>
        <v>Moses Creek floating dock</v>
      </c>
      <c r="F52" s="13">
        <f>IFERROR(__xludf.DUMMYFUNCTION("""COMPUTED_VALUE"""),0.6041666666678793)</f>
        <v>0.6041666667</v>
      </c>
      <c r="G52" s="14">
        <f>IFERROR(__xludf.DUMMYFUNCTION("""COMPUTED_VALUE"""),43216.0)</f>
        <v>43216</v>
      </c>
      <c r="H52" t="str">
        <f>IFERROR(__xludf.DUMMYFUNCTION("""COMPUTED_VALUE"""),"Moses Creek vegetation platforms")</f>
        <v>Moses Creek vegetation platforms</v>
      </c>
      <c r="I52" s="15">
        <f>IFERROR(__xludf.DUMMYFUNCTION("""COMPUTED_VALUE"""),0.7291666666678793)</f>
        <v>0.7291666667</v>
      </c>
      <c r="J52" s="16">
        <f>IFERROR(__xludf.DUMMYFUNCTION("""COMPUTED_VALUE"""),43216.77083333333)</f>
        <v>43216.77083</v>
      </c>
      <c r="K52" t="str">
        <f>IFERROR(__xludf.DUMMYFUNCTION("""COMPUTED_VALUE"""),"Canoe(s)")</f>
        <v>Canoe(s)</v>
      </c>
      <c r="L52">
        <f>IFERROR(__xludf.DUMMYFUNCTION("""COMPUTED_VALUE"""),2.0)</f>
        <v>2</v>
      </c>
      <c r="M52" t="str">
        <f>IFERROR(__xludf.DUMMYFUNCTION("""COMPUTED_VALUE"""),"Ford F150 2008 - DEP18041 (SWMP Thing)")</f>
        <v>Ford F150 2008 - DEP18041 (SWMP Thing)</v>
      </c>
      <c r="N52" t="str">
        <f>IFERROR(__xludf.DUMMYFUNCTION("""COMPUTED_VALUE"""),"Pam Marcum, (480) 332-5414, Silas Tanner, (904) 483-8423, Ben Mowbray, (407) 962-8782")</f>
        <v>Pam Marcum, (480) 332-5414, Silas Tanner, (904) 483-8423, Ben Mowbray, (407) 962-8782</v>
      </c>
      <c r="P52" t="str">
        <f>IFERROR(__xludf.DUMMYFUNCTION("""COMPUTED_VALUE"""),"Pam Marcum")</f>
        <v>Pam Marcum</v>
      </c>
      <c r="Q52" t="str">
        <f>IFERROR(__xludf.DUMMYFUNCTION("""COMPUTED_VALUE"""),"Good")</f>
        <v>Good</v>
      </c>
      <c r="R52" t="str">
        <f>IFERROR(__xludf.DUMMYFUNCTION("""COMPUTED_VALUE"""),"Good")</f>
        <v>Good</v>
      </c>
      <c r="S52" t="str">
        <f>IFERROR(__xludf.DUMMYFUNCTION("""COMPUTED_VALUE"""),"Good")</f>
        <v>Good</v>
      </c>
      <c r="T52" t="str">
        <f>IFERROR(__xludf.DUMMYFUNCTION("""COMPUTED_VALUE"""),"Good")</f>
        <v>Good</v>
      </c>
      <c r="U52" t="str">
        <f>IFERROR(__xludf.DUMMYFUNCTION("""COMPUTED_VALUE"""),"Good")</f>
        <v>Good</v>
      </c>
      <c r="V52" t="str">
        <f>IFERROR(__xludf.DUMMYFUNCTION("""COMPUTED_VALUE"""),"Good")</f>
        <v>Good</v>
      </c>
      <c r="W52" t="str">
        <f>IFERROR(__xludf.DUMMYFUNCTION("""COMPUTED_VALUE"""),"Good")</f>
        <v>Good</v>
      </c>
      <c r="X52" t="str">
        <f>IFERROR(__xludf.DUMMYFUNCTION("""COMPUTED_VALUE"""),"Good")</f>
        <v>Good</v>
      </c>
      <c r="Y52" t="str">
        <f>IFERROR(__xludf.DUMMYFUNCTION("""COMPUTED_VALUE"""),"Good")</f>
        <v>Good</v>
      </c>
      <c r="Z52" t="str">
        <f>IFERROR(__xludf.DUMMYFUNCTION("""COMPUTED_VALUE"""),"Good")</f>
        <v>Good</v>
      </c>
      <c r="AA52" t="str">
        <f>IFERROR(__xludf.DUMMYFUNCTION("""COMPUTED_VALUE"""),"Good")</f>
        <v>Good</v>
      </c>
      <c r="AB52" t="str">
        <f>IFERROR(__xludf.DUMMYFUNCTION("""COMPUTED_VALUE"""),"Good")</f>
        <v>Good</v>
      </c>
      <c r="AC52" t="str">
        <f>IFERROR(__xludf.DUMMYFUNCTION("""COMPUTED_VALUE"""),"Good")</f>
        <v>Good</v>
      </c>
      <c r="AE52" s="11"/>
      <c r="AF52" t="s">
        <v>13</v>
      </c>
      <c r="AG52" s="17" t="s">
        <v>43</v>
      </c>
      <c r="AH52" s="12"/>
      <c r="AI52" s="12" t="s">
        <v>91</v>
      </c>
      <c r="AJ52" s="19" t="s">
        <v>92</v>
      </c>
      <c r="AK52" s="20" t="str">
        <f>HYPERLINK("https://docs.google.com/document/d/1eL5Q6SNkiPmg7jIbli2gKBq4HNhYtjpYK0Xasr2D1E4/edit?usp=drivesdk","Silas Tanner - 4/26/2018 2:30 PM")</f>
        <v>Silas Tanner - 4/26/2018 2:30 PM</v>
      </c>
      <c r="AL52" s="12" t="s">
        <v>93</v>
      </c>
    </row>
    <row r="53">
      <c r="A53" s="10">
        <f>IFERROR(__xludf.DUMMYFUNCTION("""COMPUTED_VALUE"""),43217.373252245365)</f>
        <v>43217.37325</v>
      </c>
      <c r="B53" s="11" t="str">
        <f>IFERROR(__xludf.DUMMYFUNCTION("""COMPUTED_VALUE"""),"Shannon Dunnigan")</f>
        <v>Shannon Dunnigan</v>
      </c>
      <c r="C53" t="str">
        <f>IFERROR(__xludf.DUMMYFUNCTION("""COMPUTED_VALUE"""),"Shannon.Dunnigan@dep.state.fl.us")</f>
        <v>Shannon.Dunnigan@dep.state.fl.us</v>
      </c>
      <c r="D53" t="str">
        <f>IFERROR(__xludf.DUMMYFUNCTION("""COMPUTED_VALUE"""),"Research")</f>
        <v>Research</v>
      </c>
      <c r="E53" t="str">
        <f>IFERROR(__xludf.DUMMYFUNCTION("""COMPUTED_VALUE"""),"Bings Landing")</f>
        <v>Bings Landing</v>
      </c>
      <c r="F53" s="13">
        <f>IFERROR(__xludf.DUMMYFUNCTION("""COMPUTED_VALUE"""),0.4270833333321207)</f>
        <v>0.4270833333</v>
      </c>
      <c r="G53" s="14">
        <f>IFERROR(__xludf.DUMMYFUNCTION("""COMPUTED_VALUE"""),43217.0)</f>
        <v>43217</v>
      </c>
      <c r="H53" t="str">
        <f>IFERROR(__xludf.DUMMYFUNCTION("""COMPUTED_VALUE"""),"Summerhaven")</f>
        <v>Summerhaven</v>
      </c>
      <c r="I53" s="15">
        <f>IFERROR(__xludf.DUMMYFUNCTION("""COMPUTED_VALUE"""),0.020833333332120674)</f>
        <v>0.02083333333</v>
      </c>
      <c r="J53" s="16">
        <f>IFERROR(__xludf.DUMMYFUNCTION("""COMPUTED_VALUE"""),43217.60416666667)</f>
        <v>43217.60417</v>
      </c>
      <c r="K53" t="str">
        <f>IFERROR(__xludf.DUMMYFUNCTION("""COMPUTED_VALUE"""),"20ft Sea Ark FL5351SJ UNF 2015")</f>
        <v>20ft Sea Ark FL5351SJ UNF 2015</v>
      </c>
      <c r="M53" t="str">
        <f>IFERROR(__xludf.DUMMYFUNCTION("""COMPUTED_VALUE"""),"Ford F150 2008 - DEP18041 (SWMP Thing)")</f>
        <v>Ford F150 2008 - DEP18041 (SWMP Thing)</v>
      </c>
      <c r="N53" t="str">
        <f>IFERROR(__xludf.DUMMYFUNCTION("""COMPUTED_VALUE"""),"Shannon Dunnigan, (803) 727-5734")</f>
        <v>Shannon Dunnigan, (803) 727-5734</v>
      </c>
      <c r="O53" t="str">
        <f>IFERROR(__xludf.DUMMYFUNCTION("""COMPUTED_VALUE"""),"Matt Brown, Westly Woodward, Ally Hartnett")</f>
        <v>Matt Brown, Westly Woodward, Ally Hartnett</v>
      </c>
      <c r="P53" t="str">
        <f>IFERROR(__xludf.DUMMYFUNCTION("""COMPUTED_VALUE"""),"Shannon")</f>
        <v>Shannon</v>
      </c>
      <c r="Q53" t="str">
        <f>IFERROR(__xludf.DUMMYFUNCTION("""COMPUTED_VALUE"""),"Good")</f>
        <v>Good</v>
      </c>
      <c r="R53" t="str">
        <f>IFERROR(__xludf.DUMMYFUNCTION("""COMPUTED_VALUE"""),"Good")</f>
        <v>Good</v>
      </c>
      <c r="S53" t="str">
        <f>IFERROR(__xludf.DUMMYFUNCTION("""COMPUTED_VALUE"""),"Good")</f>
        <v>Good</v>
      </c>
      <c r="T53" t="str">
        <f>IFERROR(__xludf.DUMMYFUNCTION("""COMPUTED_VALUE"""),"Good")</f>
        <v>Good</v>
      </c>
      <c r="U53" t="str">
        <f>IFERROR(__xludf.DUMMYFUNCTION("""COMPUTED_VALUE"""),"Good")</f>
        <v>Good</v>
      </c>
      <c r="V53" t="str">
        <f>IFERROR(__xludf.DUMMYFUNCTION("""COMPUTED_VALUE"""),"Good")</f>
        <v>Good</v>
      </c>
      <c r="W53" t="str">
        <f>IFERROR(__xludf.DUMMYFUNCTION("""COMPUTED_VALUE"""),"Good")</f>
        <v>Good</v>
      </c>
      <c r="X53" t="str">
        <f>IFERROR(__xludf.DUMMYFUNCTION("""COMPUTED_VALUE"""),"Good")</f>
        <v>Good</v>
      </c>
      <c r="Y53" t="str">
        <f>IFERROR(__xludf.DUMMYFUNCTION("""COMPUTED_VALUE"""),"Good")</f>
        <v>Good</v>
      </c>
      <c r="Z53" t="str">
        <f>IFERROR(__xludf.DUMMYFUNCTION("""COMPUTED_VALUE"""),"Good")</f>
        <v>Good</v>
      </c>
      <c r="AA53" t="str">
        <f>IFERROR(__xludf.DUMMYFUNCTION("""COMPUTED_VALUE"""),"Good")</f>
        <v>Good</v>
      </c>
      <c r="AB53" t="str">
        <f>IFERROR(__xludf.DUMMYFUNCTION("""COMPUTED_VALUE"""),"Good")</f>
        <v>Good</v>
      </c>
      <c r="AC53" t="str">
        <f>IFERROR(__xludf.DUMMYFUNCTION("""COMPUTED_VALUE"""),"Good")</f>
        <v>Good</v>
      </c>
      <c r="AE53" s="11"/>
      <c r="AF53" t="s">
        <v>13</v>
      </c>
      <c r="AG53" s="17" t="s">
        <v>18</v>
      </c>
      <c r="AH53" s="12"/>
      <c r="AI53" s="12" t="s">
        <v>94</v>
      </c>
      <c r="AJ53" s="19" t="s">
        <v>95</v>
      </c>
      <c r="AK53" s="20" t="str">
        <f>HYPERLINK("https://docs.google.com/document/d/1pqxIs0u3K7GhvcOKvyC8IjsZWvGnhWY4BbRyjvR0EHs/edit?usp=drivesdk","Shannon Dunnigan - 4/27/2018 10:15 AM")</f>
        <v>Shannon Dunnigan - 4/27/2018 10:15 AM</v>
      </c>
      <c r="AL53" s="12" t="s">
        <v>96</v>
      </c>
    </row>
    <row r="54">
      <c r="A54" s="10">
        <f>IFERROR(__xludf.DUMMYFUNCTION("""COMPUTED_VALUE"""),43217.47707425926)</f>
        <v>43217.47707</v>
      </c>
      <c r="B54" s="11" t="str">
        <f>IFERROR(__xludf.DUMMYFUNCTION("""COMPUTED_VALUE"""),"Pamela Marcum")</f>
        <v>Pamela Marcum</v>
      </c>
      <c r="C54" t="str">
        <f>IFERROR(__xludf.DUMMYFUNCTION("""COMPUTED_VALUE"""),"Pamela.Marcum@dep.state.fl.us")</f>
        <v>Pamela.Marcum@dep.state.fl.us</v>
      </c>
      <c r="D54" t="str">
        <f>IFERROR(__xludf.DUMMYFUNCTION("""COMPUTED_VALUE"""),"Research")</f>
        <v>Research</v>
      </c>
      <c r="E54" t="str">
        <f>IFERROR(__xludf.DUMMYFUNCTION("""COMPUTED_VALUE"""),"Usina Ramp/Aunt Kate's")</f>
        <v>Usina Ramp/Aunt Kate's</v>
      </c>
      <c r="F54" s="13">
        <f>IFERROR(__xludf.DUMMYFUNCTION("""COMPUTED_VALUE"""),0.4791666666678793)</f>
        <v>0.4791666667</v>
      </c>
      <c r="G54" s="14">
        <f>IFERROR(__xludf.DUMMYFUNCTION("""COMPUTED_VALUE"""),43217.0)</f>
        <v>43217</v>
      </c>
      <c r="H54" t="str">
        <f>IFERROR(__xludf.DUMMYFUNCTION("""COMPUTED_VALUE"""),"Tolomato River- Angelini Sites")</f>
        <v>Tolomato River- Angelini Sites</v>
      </c>
      <c r="I54" s="15">
        <f>IFERROR(__xludf.DUMMYFUNCTION("""COMPUTED_VALUE"""),0.75)</f>
        <v>0.75</v>
      </c>
      <c r="J54" s="16">
        <f>IFERROR(__xludf.DUMMYFUNCTION("""COMPUTED_VALUE"""),43217.77083333333)</f>
        <v>43217.77083</v>
      </c>
      <c r="K54" t="str">
        <f>IFERROR(__xludf.DUMMYFUNCTION("""COMPUTED_VALUE"""),"23ft Skiff (Bertha) FL7972LJ DEP07613")</f>
        <v>23ft Skiff (Bertha) FL7972LJ DEP07613</v>
      </c>
      <c r="M54" t="str">
        <f>IFERROR(__xludf.DUMMYFUNCTION("""COMPUTED_VALUE"""),"Ford F250 2017 (Moby Dix) - DEP0021578")</f>
        <v>Ford F250 2017 (Moby Dix) - DEP0021578</v>
      </c>
      <c r="N54" t="str">
        <f>IFERROR(__xludf.DUMMYFUNCTION("""COMPUTED_VALUE"""),"Pam Marcum, (480) 332-5414, Remo Mondazzi")</f>
        <v>Pam Marcum, (480) 332-5414, Remo Mondazzi</v>
      </c>
      <c r="O54" t="str">
        <f>IFERROR(__xludf.DUMMYFUNCTION("""COMPUTED_VALUE"""),"Benjamin Mowbray, (407) 962-8782, Christine Angelini, Patrick Norby, Greg Kusel, Annie Otto, Jessica Lee")</f>
        <v>Benjamin Mowbray, (407) 962-8782, Christine Angelini, Patrick Norby, Greg Kusel, Annie Otto, Jessica Lee</v>
      </c>
      <c r="P54" t="str">
        <f>IFERROR(__xludf.DUMMYFUNCTION("""COMPUTED_VALUE"""),"Pam Marcum")</f>
        <v>Pam Marcum</v>
      </c>
      <c r="Q54" t="str">
        <f>IFERROR(__xludf.DUMMYFUNCTION("""COMPUTED_VALUE"""),"Good")</f>
        <v>Good</v>
      </c>
      <c r="R54" t="str">
        <f>IFERROR(__xludf.DUMMYFUNCTION("""COMPUTED_VALUE"""),"Good")</f>
        <v>Good</v>
      </c>
      <c r="S54" t="str">
        <f>IFERROR(__xludf.DUMMYFUNCTION("""COMPUTED_VALUE"""),"Good")</f>
        <v>Good</v>
      </c>
      <c r="T54" t="str">
        <f>IFERROR(__xludf.DUMMYFUNCTION("""COMPUTED_VALUE"""),"Good")</f>
        <v>Good</v>
      </c>
      <c r="U54" t="str">
        <f>IFERROR(__xludf.DUMMYFUNCTION("""COMPUTED_VALUE"""),"Good")</f>
        <v>Good</v>
      </c>
      <c r="V54" t="str">
        <f>IFERROR(__xludf.DUMMYFUNCTION("""COMPUTED_VALUE"""),"Good")</f>
        <v>Good</v>
      </c>
      <c r="W54" t="str">
        <f>IFERROR(__xludf.DUMMYFUNCTION("""COMPUTED_VALUE"""),"Good")</f>
        <v>Good</v>
      </c>
      <c r="X54" t="str">
        <f>IFERROR(__xludf.DUMMYFUNCTION("""COMPUTED_VALUE"""),"Good")</f>
        <v>Good</v>
      </c>
      <c r="Y54" t="str">
        <f>IFERROR(__xludf.DUMMYFUNCTION("""COMPUTED_VALUE"""),"Good")</f>
        <v>Good</v>
      </c>
      <c r="Z54" t="str">
        <f>IFERROR(__xludf.DUMMYFUNCTION("""COMPUTED_VALUE"""),"Good")</f>
        <v>Good</v>
      </c>
      <c r="AA54" t="str">
        <f>IFERROR(__xludf.DUMMYFUNCTION("""COMPUTED_VALUE"""),"Good")</f>
        <v>Good</v>
      </c>
      <c r="AB54" t="str">
        <f>IFERROR(__xludf.DUMMYFUNCTION("""COMPUTED_VALUE"""),"Good")</f>
        <v>Good</v>
      </c>
      <c r="AC54" t="str">
        <f>IFERROR(__xludf.DUMMYFUNCTION("""COMPUTED_VALUE"""),"Good")</f>
        <v>Good</v>
      </c>
      <c r="AE54" s="11"/>
      <c r="AF54" t="s">
        <v>13</v>
      </c>
      <c r="AG54" s="17" t="s">
        <v>43</v>
      </c>
      <c r="AH54" s="12"/>
      <c r="AI54" s="12" t="s">
        <v>97</v>
      </c>
      <c r="AJ54" s="19" t="s">
        <v>98</v>
      </c>
      <c r="AK54" s="20" t="str">
        <f>HYPERLINK("https://docs.google.com/document/d/1o_kh_Z-U6_tGhTgiT0C3Z1YHstpG_03KK-kY2lq7ebs/edit?usp=drivesdk","Pamela Marcum - 4/27/2018 11:30 AM")</f>
        <v>Pamela Marcum - 4/27/2018 11:30 AM</v>
      </c>
      <c r="AL54" s="12" t="s">
        <v>99</v>
      </c>
    </row>
    <row r="55">
      <c r="A55" s="10">
        <f>IFERROR(__xludf.DUMMYFUNCTION("""COMPUTED_VALUE"""),43220.41496458333)</f>
        <v>43220.41496</v>
      </c>
      <c r="B55" s="11" t="str">
        <f>IFERROR(__xludf.DUMMYFUNCTION("""COMPUTED_VALUE"""),"Silas Tanner")</f>
        <v>Silas Tanner</v>
      </c>
      <c r="C55" t="str">
        <f>IFERROR(__xludf.DUMMYFUNCTION("""COMPUTED_VALUE"""),"silas.tanner@floridadep.gov")</f>
        <v>silas.tanner@floridadep.gov</v>
      </c>
      <c r="D55" t="str">
        <f>IFERROR(__xludf.DUMMYFUNCTION("""COMPUTED_VALUE"""),"Research")</f>
        <v>Research</v>
      </c>
      <c r="E55" t="str">
        <f>IFERROR(__xludf.DUMMYFUNCTION("""COMPUTED_VALUE"""),"Vilano County Ramp")</f>
        <v>Vilano County Ramp</v>
      </c>
      <c r="F55" s="13">
        <f>IFERROR(__xludf.DUMMYFUNCTION("""COMPUTED_VALUE"""),0.3854166666678793)</f>
        <v>0.3854166667</v>
      </c>
      <c r="G55" s="14">
        <f>IFERROR(__xludf.DUMMYFUNCTION("""COMPUTED_VALUE"""),43221.0)</f>
        <v>43221</v>
      </c>
      <c r="H55" t="str">
        <f>IFERROR(__xludf.DUMMYFUNCTION("""COMPUTED_VALUE"""),"ICW - SWMP sites FM, SS &amp; PI")</f>
        <v>ICW - SWMP sites FM, SS &amp; PI</v>
      </c>
      <c r="I55" s="15">
        <f>IFERROR(__xludf.DUMMYFUNCTION("""COMPUTED_VALUE"""),0.5625)</f>
        <v>0.5625</v>
      </c>
      <c r="J55" s="16">
        <f>IFERROR(__xludf.DUMMYFUNCTION("""COMPUTED_VALUE"""),43221.57291666667)</f>
        <v>43221.57292</v>
      </c>
      <c r="K55" t="str">
        <f>IFERROR(__xludf.DUMMYFUNCTION("""COMPUTED_VALUE"""),"20ft Sea Ark FL5351SJ UNF 2015")</f>
        <v>20ft Sea Ark FL5351SJ UNF 2015</v>
      </c>
      <c r="M55" t="str">
        <f>IFERROR(__xludf.DUMMYFUNCTION("""COMPUTED_VALUE"""),"Ford F250 2017 (Moby Dix) - DEP0021578")</f>
        <v>Ford F250 2017 (Moby Dix) - DEP0021578</v>
      </c>
      <c r="N55" t="str">
        <f>IFERROR(__xludf.DUMMYFUNCTION("""COMPUTED_VALUE"""),"Silas Tanner, (904) 483-8423, Remo Mondazi")</f>
        <v>Silas Tanner, (904) 483-8423, Remo Mondazi</v>
      </c>
      <c r="P55" t="str">
        <f>IFERROR(__xludf.DUMMYFUNCTION("""COMPUTED_VALUE"""),"Silas Tanner")</f>
        <v>Silas Tanner</v>
      </c>
      <c r="Q55" t="str">
        <f>IFERROR(__xludf.DUMMYFUNCTION("""COMPUTED_VALUE"""),"Good")</f>
        <v>Good</v>
      </c>
      <c r="R55" t="str">
        <f>IFERROR(__xludf.DUMMYFUNCTION("""COMPUTED_VALUE"""),"Good")</f>
        <v>Good</v>
      </c>
      <c r="S55" t="str">
        <f>IFERROR(__xludf.DUMMYFUNCTION("""COMPUTED_VALUE"""),"Good")</f>
        <v>Good</v>
      </c>
      <c r="T55" t="str">
        <f>IFERROR(__xludf.DUMMYFUNCTION("""COMPUTED_VALUE"""),"Good")</f>
        <v>Good</v>
      </c>
      <c r="U55" t="str">
        <f>IFERROR(__xludf.DUMMYFUNCTION("""COMPUTED_VALUE"""),"Good")</f>
        <v>Good</v>
      </c>
      <c r="V55" t="str">
        <f>IFERROR(__xludf.DUMMYFUNCTION("""COMPUTED_VALUE"""),"Good")</f>
        <v>Good</v>
      </c>
      <c r="W55" t="str">
        <f>IFERROR(__xludf.DUMMYFUNCTION("""COMPUTED_VALUE"""),"Good")</f>
        <v>Good</v>
      </c>
      <c r="X55" t="str">
        <f>IFERROR(__xludf.DUMMYFUNCTION("""COMPUTED_VALUE"""),"Good")</f>
        <v>Good</v>
      </c>
      <c r="Y55" t="str">
        <f>IFERROR(__xludf.DUMMYFUNCTION("""COMPUTED_VALUE"""),"Good")</f>
        <v>Good</v>
      </c>
      <c r="Z55" t="str">
        <f>IFERROR(__xludf.DUMMYFUNCTION("""COMPUTED_VALUE"""),"Good")</f>
        <v>Good</v>
      </c>
      <c r="AA55" t="str">
        <f>IFERROR(__xludf.DUMMYFUNCTION("""COMPUTED_VALUE"""),"Good")</f>
        <v>Good</v>
      </c>
      <c r="AB55" t="str">
        <f>IFERROR(__xludf.DUMMYFUNCTION("""COMPUTED_VALUE"""),"Good")</f>
        <v>Good</v>
      </c>
      <c r="AC55" t="str">
        <f>IFERROR(__xludf.DUMMYFUNCTION("""COMPUTED_VALUE"""),"Good")</f>
        <v>Good</v>
      </c>
      <c r="AE55" s="11"/>
      <c r="AF55" t="s">
        <v>13</v>
      </c>
      <c r="AG55" s="17" t="s">
        <v>18</v>
      </c>
      <c r="AH55" s="12"/>
      <c r="AI55" s="12" t="s">
        <v>100</v>
      </c>
      <c r="AJ55" s="19" t="s">
        <v>101</v>
      </c>
      <c r="AK55" s="20" t="str">
        <f>HYPERLINK("https://docs.google.com/document/d/15XlgdKXD7KIdSk2IIAY4JghUF2KIMnTCytAv-cTrJKA/edit?usp=drivesdk","Silas Tanner - 5/1/2018 9:15 AM")</f>
        <v>Silas Tanner - 5/1/2018 9:15 AM</v>
      </c>
      <c r="AL55" s="12" t="s">
        <v>102</v>
      </c>
    </row>
    <row r="56">
      <c r="A56" s="10">
        <f>IFERROR(__xludf.DUMMYFUNCTION("""COMPUTED_VALUE"""),43221.41032998842)</f>
        <v>43221.41033</v>
      </c>
      <c r="B56" s="11" t="str">
        <f>IFERROR(__xludf.DUMMYFUNCTION("""COMPUTED_VALUE"""),"Ben Mowbray")</f>
        <v>Ben Mowbray</v>
      </c>
      <c r="C56" t="str">
        <f>IFERROR(__xludf.DUMMYFUNCTION("""COMPUTED_VALUE"""),"ben.mowbray@dep.state.fl.us")</f>
        <v>ben.mowbray@dep.state.fl.us</v>
      </c>
      <c r="D56" t="str">
        <f>IFERROR(__xludf.DUMMYFUNCTION("""COMPUTED_VALUE"""),"Research")</f>
        <v>Research</v>
      </c>
      <c r="E56" t="str">
        <f>IFERROR(__xludf.DUMMYFUNCTION("""COMPUTED_VALUE"""),"Vilano")</f>
        <v>Vilano</v>
      </c>
      <c r="F56" s="13">
        <f>IFERROR(__xludf.DUMMYFUNCTION("""COMPUTED_VALUE"""),0.4305555555547471)</f>
        <v>0.4305555556</v>
      </c>
      <c r="G56" s="14">
        <f>IFERROR(__xludf.DUMMYFUNCTION("""COMPUTED_VALUE"""),43221.0)</f>
        <v>43221</v>
      </c>
      <c r="H56" t="str">
        <f>IFERROR(__xludf.DUMMYFUNCTION("""COMPUTED_VALUE"""),"Check Off")</f>
        <v>Check Off</v>
      </c>
      <c r="I56" s="15">
        <f>IFERROR(__xludf.DUMMYFUNCTION("""COMPUTED_VALUE"""),0.5)</f>
        <v>0.5</v>
      </c>
      <c r="J56" s="16">
        <f>IFERROR(__xludf.DUMMYFUNCTION("""COMPUTED_VALUE"""),43221.21736111111)</f>
        <v>43221.21736</v>
      </c>
      <c r="K56" t="str">
        <f>IFERROR(__xludf.DUMMYFUNCTION("""COMPUTED_VALUE"""),"23ft Skiff (Bertha) FL7972LJ DEP07613")</f>
        <v>23ft Skiff (Bertha) FL7972LJ DEP07613</v>
      </c>
      <c r="M56" t="str">
        <f>IFERROR(__xludf.DUMMYFUNCTION("""COMPUTED_VALUE"""),"Ford 150 2007 with covered cap - DEP06870")</f>
        <v>Ford 150 2007 with covered cap - DEP06870</v>
      </c>
      <c r="N56" t="str">
        <f>IFERROR(__xludf.DUMMYFUNCTION("""COMPUTED_VALUE"""),"Joseph Burgess, (904) 599-2723, Ben Mowbray, (407) 962-8782")</f>
        <v>Joseph Burgess, (904) 599-2723, Ben Mowbray, (407) 962-8782</v>
      </c>
      <c r="O56" t="str">
        <f>IFERROR(__xludf.DUMMYFUNCTION("""COMPUTED_VALUE"""),"Benjamin Mowbray, (407) 962-8782, Joseph Burgess, (904) 599-2723")</f>
        <v>Benjamin Mowbray, (407) 962-8782, Joseph Burgess, (904) 599-2723</v>
      </c>
      <c r="P56" t="str">
        <f>IFERROR(__xludf.DUMMYFUNCTION("""COMPUTED_VALUE"""),"Ben Mowbray")</f>
        <v>Ben Mowbray</v>
      </c>
      <c r="Q56" t="str">
        <f>IFERROR(__xludf.DUMMYFUNCTION("""COMPUTED_VALUE"""),"Good")</f>
        <v>Good</v>
      </c>
      <c r="R56" t="str">
        <f>IFERROR(__xludf.DUMMYFUNCTION("""COMPUTED_VALUE"""),"Good")</f>
        <v>Good</v>
      </c>
      <c r="S56" t="str">
        <f>IFERROR(__xludf.DUMMYFUNCTION("""COMPUTED_VALUE"""),"Good")</f>
        <v>Good</v>
      </c>
      <c r="T56" t="str">
        <f>IFERROR(__xludf.DUMMYFUNCTION("""COMPUTED_VALUE"""),"Good")</f>
        <v>Good</v>
      </c>
      <c r="U56" t="str">
        <f>IFERROR(__xludf.DUMMYFUNCTION("""COMPUTED_VALUE"""),"Good")</f>
        <v>Good</v>
      </c>
      <c r="V56" t="str">
        <f>IFERROR(__xludf.DUMMYFUNCTION("""COMPUTED_VALUE"""),"Good")</f>
        <v>Good</v>
      </c>
      <c r="W56" t="str">
        <f>IFERROR(__xludf.DUMMYFUNCTION("""COMPUTED_VALUE"""),"Good")</f>
        <v>Good</v>
      </c>
      <c r="X56" t="str">
        <f>IFERROR(__xludf.DUMMYFUNCTION("""COMPUTED_VALUE"""),"Good")</f>
        <v>Good</v>
      </c>
      <c r="Y56" t="str">
        <f>IFERROR(__xludf.DUMMYFUNCTION("""COMPUTED_VALUE"""),"Good")</f>
        <v>Good</v>
      </c>
      <c r="Z56" t="str">
        <f>IFERROR(__xludf.DUMMYFUNCTION("""COMPUTED_VALUE"""),"Good")</f>
        <v>Good</v>
      </c>
      <c r="AA56" t="str">
        <f>IFERROR(__xludf.DUMMYFUNCTION("""COMPUTED_VALUE"""),"Good")</f>
        <v>Good</v>
      </c>
      <c r="AB56" t="str">
        <f>IFERROR(__xludf.DUMMYFUNCTION("""COMPUTED_VALUE"""),"Good")</f>
        <v>Good</v>
      </c>
      <c r="AC56" t="str">
        <f>IFERROR(__xludf.DUMMYFUNCTION("""COMPUTED_VALUE"""),"Good")</f>
        <v>Good</v>
      </c>
      <c r="AE56" s="11"/>
      <c r="AF56" t="s">
        <v>13</v>
      </c>
      <c r="AG56" s="17" t="s">
        <v>18</v>
      </c>
      <c r="AH56" s="12"/>
      <c r="AI56" s="12" t="s">
        <v>103</v>
      </c>
      <c r="AJ56" s="19" t="s">
        <v>104</v>
      </c>
      <c r="AK56" s="20" t="str">
        <f>HYPERLINK("https://docs.google.com/document/d/1v2wrRH98Mb6W56K8yPZheM1Zp9pKLMkjPI3HLleM2-E/edit?usp=drivesdk","Ben Mowbray - 5/1/2018 10:20 AM")</f>
        <v>Ben Mowbray - 5/1/2018 10:20 AM</v>
      </c>
      <c r="AL56" s="12" t="s">
        <v>105</v>
      </c>
    </row>
    <row r="57">
      <c r="A57" s="10">
        <f>IFERROR(__xludf.DUMMYFUNCTION("""COMPUTED_VALUE"""),43221.71392324074)</f>
        <v>43221.71392</v>
      </c>
      <c r="B57" s="11" t="str">
        <f>IFERROR(__xludf.DUMMYFUNCTION("""COMPUTED_VALUE"""),"Pamela Marcum")</f>
        <v>Pamela Marcum</v>
      </c>
      <c r="C57" t="str">
        <f>IFERROR(__xludf.DUMMYFUNCTION("""COMPUTED_VALUE"""),"Pamela.Marcum@Dep.state.fl.us")</f>
        <v>Pamela.Marcum@Dep.state.fl.us</v>
      </c>
      <c r="D57" t="str">
        <f>IFERROR(__xludf.DUMMYFUNCTION("""COMPUTED_VALUE"""),"Research")</f>
        <v>Research</v>
      </c>
      <c r="E57" t="str">
        <f>IFERROR(__xludf.DUMMYFUNCTION("""COMPUTED_VALUE"""),"Crane Park/Shore Drive")</f>
        <v>Crane Park/Shore Drive</v>
      </c>
      <c r="F57" s="13">
        <f>IFERROR(__xludf.DUMMYFUNCTION("""COMPUTED_VALUE"""),0.375)</f>
        <v>0.375</v>
      </c>
      <c r="G57" s="14">
        <f>IFERROR(__xludf.DUMMYFUNCTION("""COMPUTED_VALUE"""),43222.0)</f>
        <v>43222</v>
      </c>
      <c r="H57" t="str">
        <f>IFERROR(__xludf.DUMMYFUNCTION("""COMPUTED_VALUE"""),"Matanzas River Marshes")</f>
        <v>Matanzas River Marshes</v>
      </c>
      <c r="I57" s="15">
        <f>IFERROR(__xludf.DUMMYFUNCTION("""COMPUTED_VALUE"""),0.625)</f>
        <v>0.625</v>
      </c>
      <c r="J57" s="16">
        <f>IFERROR(__xludf.DUMMYFUNCTION("""COMPUTED_VALUE"""),43222.66666666667)</f>
        <v>43222.66667</v>
      </c>
      <c r="K57" t="str">
        <f>IFERROR(__xludf.DUMMYFUNCTION("""COMPUTED_VALUE"""),"20ft Sea Ark FL5351SJ UNF 2015")</f>
        <v>20ft Sea Ark FL5351SJ UNF 2015</v>
      </c>
      <c r="M57" t="str">
        <f>IFERROR(__xludf.DUMMYFUNCTION("""COMPUTED_VALUE"""),"Ford F250 2017 (Moby Dix) - DEP0021578")</f>
        <v>Ford F250 2017 (Moby Dix) - DEP0021578</v>
      </c>
      <c r="N57" t="str">
        <f>IFERROR(__xludf.DUMMYFUNCTION("""COMPUTED_VALUE"""),"Pam Marcum, (480) 332-5414, Ben Mowbray, (407) 962-8782")</f>
        <v>Pam Marcum, (480) 332-5414, Ben Mowbray, (407) 962-8782</v>
      </c>
      <c r="O57" t="str">
        <f>IFERROR(__xludf.DUMMYFUNCTION("""COMPUTED_VALUE"""),"Gabriela Canas, (904) 891-9743")</f>
        <v>Gabriela Canas, (904) 891-9743</v>
      </c>
      <c r="P57" t="str">
        <f>IFERROR(__xludf.DUMMYFUNCTION("""COMPUTED_VALUE"""),"Ben Mowbray")</f>
        <v>Ben Mowbray</v>
      </c>
      <c r="Q57" t="str">
        <f>IFERROR(__xludf.DUMMYFUNCTION("""COMPUTED_VALUE"""),"Good")</f>
        <v>Good</v>
      </c>
      <c r="R57" t="str">
        <f>IFERROR(__xludf.DUMMYFUNCTION("""COMPUTED_VALUE"""),"Good")</f>
        <v>Good</v>
      </c>
      <c r="S57" t="str">
        <f>IFERROR(__xludf.DUMMYFUNCTION("""COMPUTED_VALUE"""),"Good")</f>
        <v>Good</v>
      </c>
      <c r="T57" t="str">
        <f>IFERROR(__xludf.DUMMYFUNCTION("""COMPUTED_VALUE"""),"Good")</f>
        <v>Good</v>
      </c>
      <c r="U57" t="str">
        <f>IFERROR(__xludf.DUMMYFUNCTION("""COMPUTED_VALUE"""),"Good")</f>
        <v>Good</v>
      </c>
      <c r="V57" t="str">
        <f>IFERROR(__xludf.DUMMYFUNCTION("""COMPUTED_VALUE"""),"Good")</f>
        <v>Good</v>
      </c>
      <c r="W57" t="str">
        <f>IFERROR(__xludf.DUMMYFUNCTION("""COMPUTED_VALUE"""),"Good")</f>
        <v>Good</v>
      </c>
      <c r="X57" t="str">
        <f>IFERROR(__xludf.DUMMYFUNCTION("""COMPUTED_VALUE"""),"Good")</f>
        <v>Good</v>
      </c>
      <c r="Y57" t="str">
        <f>IFERROR(__xludf.DUMMYFUNCTION("""COMPUTED_VALUE"""),"Good")</f>
        <v>Good</v>
      </c>
      <c r="Z57" t="str">
        <f>IFERROR(__xludf.DUMMYFUNCTION("""COMPUTED_VALUE"""),"Good")</f>
        <v>Good</v>
      </c>
      <c r="AA57" t="str">
        <f>IFERROR(__xludf.DUMMYFUNCTION("""COMPUTED_VALUE"""),"Good")</f>
        <v>Good</v>
      </c>
      <c r="AB57" t="str">
        <f>IFERROR(__xludf.DUMMYFUNCTION("""COMPUTED_VALUE"""),"Good")</f>
        <v>Good</v>
      </c>
      <c r="AC57" t="str">
        <f>IFERROR(__xludf.DUMMYFUNCTION("""COMPUTED_VALUE"""),"Good")</f>
        <v>Good</v>
      </c>
      <c r="AE57" s="11"/>
      <c r="AF57" t="s">
        <v>13</v>
      </c>
      <c r="AG57" s="17" t="s">
        <v>43</v>
      </c>
      <c r="AH57" s="12"/>
      <c r="AI57" s="12" t="s">
        <v>106</v>
      </c>
      <c r="AJ57" s="19" t="s">
        <v>107</v>
      </c>
      <c r="AK57" s="20" t="str">
        <f>HYPERLINK("https://docs.google.com/document/d/1v_EdmdvVGzhAN3sdHRshOKc3HcBBu2-dgl8Cd4de5UM/edit?usp=drivesdk","Pamela Marcum - 5/2/2018 9:00 AM")</f>
        <v>Pamela Marcum - 5/2/2018 9:00 AM</v>
      </c>
      <c r="AL57" s="12" t="s">
        <v>108</v>
      </c>
    </row>
    <row r="58">
      <c r="A58" s="10">
        <f>IFERROR(__xludf.DUMMYFUNCTION("""COMPUTED_VALUE"""),43223.37308217593)</f>
        <v>43223.37308</v>
      </c>
      <c r="B58" s="11" t="str">
        <f>IFERROR(__xludf.DUMMYFUNCTION("""COMPUTED_VALUE"""),"Pamela Marcum")</f>
        <v>Pamela Marcum</v>
      </c>
      <c r="C58" t="str">
        <f>IFERROR(__xludf.DUMMYFUNCTION("""COMPUTED_VALUE"""),"Pamela.Marcum@dep.state.fl.us")</f>
        <v>Pamela.Marcum@dep.state.fl.us</v>
      </c>
      <c r="D58" t="str">
        <f>IFERROR(__xludf.DUMMYFUNCTION("""COMPUTED_VALUE"""),"Research")</f>
        <v>Research</v>
      </c>
      <c r="E58" t="str">
        <f>IFERROR(__xludf.DUMMYFUNCTION("""COMPUTED_VALUE"""),"Faver-Dykes State Park")</f>
        <v>Faver-Dykes State Park</v>
      </c>
      <c r="F58" s="13">
        <f>IFERROR(__xludf.DUMMYFUNCTION("""COMPUTED_VALUE"""),0.4583333333321207)</f>
        <v>0.4583333333</v>
      </c>
      <c r="G58" s="14">
        <f>IFERROR(__xludf.DUMMYFUNCTION("""COMPUTED_VALUE"""),43223.0)</f>
        <v>43223</v>
      </c>
      <c r="H58" t="str">
        <f>IFERROR(__xludf.DUMMYFUNCTION("""COMPUTED_VALUE"""),"Pellicer Creek")</f>
        <v>Pellicer Creek</v>
      </c>
      <c r="I58" s="15">
        <f>IFERROR(__xludf.DUMMYFUNCTION("""COMPUTED_VALUE"""),0.6666666666678793)</f>
        <v>0.6666666667</v>
      </c>
      <c r="J58" s="16">
        <f>IFERROR(__xludf.DUMMYFUNCTION("""COMPUTED_VALUE"""),43223.70833333333)</f>
        <v>43223.70833</v>
      </c>
      <c r="K58" t="str">
        <f>IFERROR(__xludf.DUMMYFUNCTION("""COMPUTED_VALUE"""),"20ft Sea Ark FL5351SJ UNF 2015")</f>
        <v>20ft Sea Ark FL5351SJ UNF 2015</v>
      </c>
      <c r="M58" t="str">
        <f>IFERROR(__xludf.DUMMYFUNCTION("""COMPUTED_VALUE"""),"Ford F250 2017 (Moby Dix) - DEP0021578")</f>
        <v>Ford F250 2017 (Moby Dix) - DEP0021578</v>
      </c>
      <c r="N58" t="str">
        <f>IFERROR(__xludf.DUMMYFUNCTION("""COMPUTED_VALUE"""),"Pam Marcum, (480) 332-5414, Ben Mowbray, (407) 962-8782")</f>
        <v>Pam Marcum, (480) 332-5414, Ben Mowbray, (407) 962-8782</v>
      </c>
      <c r="P58" t="str">
        <f>IFERROR(__xludf.DUMMYFUNCTION("""COMPUTED_VALUE"""),"Ben Mowbray")</f>
        <v>Ben Mowbray</v>
      </c>
      <c r="Q58" t="str">
        <f>IFERROR(__xludf.DUMMYFUNCTION("""COMPUTED_VALUE"""),"Good")</f>
        <v>Good</v>
      </c>
      <c r="R58" t="str">
        <f>IFERROR(__xludf.DUMMYFUNCTION("""COMPUTED_VALUE"""),"Good")</f>
        <v>Good</v>
      </c>
      <c r="S58" t="str">
        <f>IFERROR(__xludf.DUMMYFUNCTION("""COMPUTED_VALUE"""),"Good")</f>
        <v>Good</v>
      </c>
      <c r="T58" t="str">
        <f>IFERROR(__xludf.DUMMYFUNCTION("""COMPUTED_VALUE"""),"Good")</f>
        <v>Good</v>
      </c>
      <c r="U58" t="str">
        <f>IFERROR(__xludf.DUMMYFUNCTION("""COMPUTED_VALUE"""),"Good")</f>
        <v>Good</v>
      </c>
      <c r="V58" t="str">
        <f>IFERROR(__xludf.DUMMYFUNCTION("""COMPUTED_VALUE"""),"Good")</f>
        <v>Good</v>
      </c>
      <c r="W58" t="str">
        <f>IFERROR(__xludf.DUMMYFUNCTION("""COMPUTED_VALUE"""),"Good")</f>
        <v>Good</v>
      </c>
      <c r="X58" t="str">
        <f>IFERROR(__xludf.DUMMYFUNCTION("""COMPUTED_VALUE"""),"Good")</f>
        <v>Good</v>
      </c>
      <c r="Y58" t="str">
        <f>IFERROR(__xludf.DUMMYFUNCTION("""COMPUTED_VALUE"""),"Good")</f>
        <v>Good</v>
      </c>
      <c r="Z58" t="str">
        <f>IFERROR(__xludf.DUMMYFUNCTION("""COMPUTED_VALUE"""),"Good")</f>
        <v>Good</v>
      </c>
      <c r="AA58" t="str">
        <f>IFERROR(__xludf.DUMMYFUNCTION("""COMPUTED_VALUE"""),"Good")</f>
        <v>Good</v>
      </c>
      <c r="AB58" t="str">
        <f>IFERROR(__xludf.DUMMYFUNCTION("""COMPUTED_VALUE"""),"Good")</f>
        <v>Good</v>
      </c>
      <c r="AC58" t="str">
        <f>IFERROR(__xludf.DUMMYFUNCTION("""COMPUTED_VALUE"""),"Good")</f>
        <v>Good</v>
      </c>
      <c r="AE58" s="11"/>
      <c r="AF58" t="s">
        <v>13</v>
      </c>
      <c r="AG58" s="17" t="s">
        <v>18</v>
      </c>
      <c r="AH58" s="12"/>
      <c r="AI58" s="12" t="s">
        <v>109</v>
      </c>
      <c r="AJ58" s="19" t="s">
        <v>110</v>
      </c>
      <c r="AK58" s="20" t="str">
        <f>HYPERLINK("https://docs.google.com/document/d/1aRzzSkR4_IR2TrYGXtPq9lf_h_sywa9CZFinxHZ5IvA/edit?usp=drivesdk","Pamela Marcum - 5/3/2018 11:00 AM")</f>
        <v>Pamela Marcum - 5/3/2018 11:00 AM</v>
      </c>
      <c r="AL58" s="12" t="s">
        <v>111</v>
      </c>
    </row>
    <row r="59">
      <c r="A59" s="10">
        <f>IFERROR(__xludf.DUMMYFUNCTION("""COMPUTED_VALUE"""),43224.38944370371)</f>
        <v>43224.38944</v>
      </c>
      <c r="B59" s="11" t="str">
        <f>IFERROR(__xludf.DUMMYFUNCTION("""COMPUTED_VALUE"""),"Pamela Marcum")</f>
        <v>Pamela Marcum</v>
      </c>
      <c r="C59" t="str">
        <f>IFERROR(__xludf.DUMMYFUNCTION("""COMPUTED_VALUE"""),"Pamela.Marcum@dep.state.fl.us")</f>
        <v>Pamela.Marcum@dep.state.fl.us</v>
      </c>
      <c r="D59" t="str">
        <f>IFERROR(__xludf.DUMMYFUNCTION("""COMPUTED_VALUE"""),"Research")</f>
        <v>Research</v>
      </c>
      <c r="E59" t="str">
        <f>IFERROR(__xludf.DUMMYFUNCTION("""COMPUTED_VALUE"""),"Faer-Dykes State Park")</f>
        <v>Faer-Dykes State Park</v>
      </c>
      <c r="F59" s="13">
        <f>IFERROR(__xludf.DUMMYFUNCTION("""COMPUTED_VALUE"""),0.4166666666678793)</f>
        <v>0.4166666667</v>
      </c>
      <c r="G59" s="14">
        <f>IFERROR(__xludf.DUMMYFUNCTION("""COMPUTED_VALUE"""),43224.0)</f>
        <v>43224</v>
      </c>
      <c r="H59" t="str">
        <f>IFERROR(__xludf.DUMMYFUNCTION("""COMPUTED_VALUE"""),"Pellicer Creek Transects")</f>
        <v>Pellicer Creek Transects</v>
      </c>
      <c r="I59" s="15">
        <f>IFERROR(__xludf.DUMMYFUNCTION("""COMPUTED_VALUE"""),0.6666666666678793)</f>
        <v>0.6666666667</v>
      </c>
      <c r="J59" s="16">
        <f>IFERROR(__xludf.DUMMYFUNCTION("""COMPUTED_VALUE"""),43224.70833333333)</f>
        <v>43224.70833</v>
      </c>
      <c r="M59" t="str">
        <f>IFERROR(__xludf.DUMMYFUNCTION("""COMPUTED_VALUE"""),"Ford F250 2017 (Moby Dix) - DEP0021578")</f>
        <v>Ford F250 2017 (Moby Dix) - DEP0021578</v>
      </c>
      <c r="N59" t="str">
        <f>IFERROR(__xludf.DUMMYFUNCTION("""COMPUTED_VALUE"""),"Pam Marcum, (480) 332-5414")</f>
        <v>Pam Marcum, (480) 332-5414</v>
      </c>
      <c r="O59" t="str">
        <f>IFERROR(__xludf.DUMMYFUNCTION("""COMPUTED_VALUE"""),"Annie Otto")</f>
        <v>Annie Otto</v>
      </c>
      <c r="P59" t="str">
        <f>IFERROR(__xludf.DUMMYFUNCTION("""COMPUTED_VALUE"""),"Pam Marcum")</f>
        <v>Pam Marcum</v>
      </c>
      <c r="Q59" t="str">
        <f>IFERROR(__xludf.DUMMYFUNCTION("""COMPUTED_VALUE"""),"Good")</f>
        <v>Good</v>
      </c>
      <c r="R59" t="str">
        <f>IFERROR(__xludf.DUMMYFUNCTION("""COMPUTED_VALUE"""),"Good")</f>
        <v>Good</v>
      </c>
      <c r="S59" t="str">
        <f>IFERROR(__xludf.DUMMYFUNCTION("""COMPUTED_VALUE"""),"Good")</f>
        <v>Good</v>
      </c>
      <c r="T59" t="str">
        <f>IFERROR(__xludf.DUMMYFUNCTION("""COMPUTED_VALUE"""),"Good")</f>
        <v>Good</v>
      </c>
      <c r="U59" t="str">
        <f>IFERROR(__xludf.DUMMYFUNCTION("""COMPUTED_VALUE"""),"Good")</f>
        <v>Good</v>
      </c>
      <c r="V59" t="str">
        <f>IFERROR(__xludf.DUMMYFUNCTION("""COMPUTED_VALUE"""),"Good")</f>
        <v>Good</v>
      </c>
      <c r="W59" t="str">
        <f>IFERROR(__xludf.DUMMYFUNCTION("""COMPUTED_VALUE"""),"Good")</f>
        <v>Good</v>
      </c>
      <c r="X59" t="str">
        <f>IFERROR(__xludf.DUMMYFUNCTION("""COMPUTED_VALUE"""),"Good")</f>
        <v>Good</v>
      </c>
      <c r="Y59" t="str">
        <f>IFERROR(__xludf.DUMMYFUNCTION("""COMPUTED_VALUE"""),"Good")</f>
        <v>Good</v>
      </c>
      <c r="Z59" t="str">
        <f>IFERROR(__xludf.DUMMYFUNCTION("""COMPUTED_VALUE"""),"Good")</f>
        <v>Good</v>
      </c>
      <c r="AA59" t="str">
        <f>IFERROR(__xludf.DUMMYFUNCTION("""COMPUTED_VALUE"""),"Good")</f>
        <v>Good</v>
      </c>
      <c r="AB59" t="str">
        <f>IFERROR(__xludf.DUMMYFUNCTION("""COMPUTED_VALUE"""),"Good")</f>
        <v>Good</v>
      </c>
      <c r="AC59" t="str">
        <f>IFERROR(__xludf.DUMMYFUNCTION("""COMPUTED_VALUE"""),"Good")</f>
        <v>Good</v>
      </c>
      <c r="AE59" s="11"/>
      <c r="AF59" t="s">
        <v>13</v>
      </c>
      <c r="AG59" s="17" t="s">
        <v>43</v>
      </c>
      <c r="AH59" s="12"/>
      <c r="AI59" s="12" t="s">
        <v>112</v>
      </c>
      <c r="AJ59" s="19" t="s">
        <v>113</v>
      </c>
      <c r="AK59" s="20" t="str">
        <f>HYPERLINK("https://docs.google.com/document/d/1UxSihKYLLd3ptxsJHs_8U8O3j5OHfzHKbjnt5FECBbs/edit?usp=drivesdk","Pamela Marcum - 5/4/2018 10:00 AM")</f>
        <v>Pamela Marcum - 5/4/2018 10:00 AM</v>
      </c>
      <c r="AL59" s="12" t="s">
        <v>114</v>
      </c>
    </row>
    <row r="60">
      <c r="A60" s="10">
        <f>IFERROR(__xludf.DUMMYFUNCTION("""COMPUTED_VALUE"""),43228.350774004626)</f>
        <v>43228.35077</v>
      </c>
      <c r="B60" s="11" t="str">
        <f>IFERROR(__xludf.DUMMYFUNCTION("""COMPUTED_VALUE"""),"Ben Mowbray")</f>
        <v>Ben Mowbray</v>
      </c>
      <c r="C60" t="str">
        <f>IFERROR(__xludf.DUMMYFUNCTION("""COMPUTED_VALUE"""),"ben.mowbray@dep.state.fl.us")</f>
        <v>ben.mowbray@dep.state.fl.us</v>
      </c>
      <c r="D60" t="str">
        <f>IFERROR(__xludf.DUMMYFUNCTION("""COMPUTED_VALUE"""),"Research")</f>
        <v>Research</v>
      </c>
      <c r="E60" t="str">
        <f>IFERROR(__xludf.DUMMYFUNCTION("""COMPUTED_VALUE"""),"Aunt Kate's")</f>
        <v>Aunt Kate's</v>
      </c>
      <c r="F60" s="13">
        <f>IFERROR(__xludf.DUMMYFUNCTION("""COMPUTED_VALUE"""),0.38888888889050577)</f>
        <v>0.3888888889</v>
      </c>
      <c r="G60" s="14">
        <f>IFERROR(__xludf.DUMMYFUNCTION("""COMPUTED_VALUE"""),43228.0)</f>
        <v>43228</v>
      </c>
      <c r="H60" t="str">
        <f>IFERROR(__xludf.DUMMYFUNCTION("""COMPUTED_VALUE"""),"Spat Run")</f>
        <v>Spat Run</v>
      </c>
      <c r="I60" s="15">
        <f>IFERROR(__xludf.DUMMYFUNCTION("""COMPUTED_VALUE"""),0.6041666666678793)</f>
        <v>0.6041666667</v>
      </c>
      <c r="J60" s="16">
        <f>IFERROR(__xludf.DUMMYFUNCTION("""COMPUTED_VALUE"""),43228.118055555555)</f>
        <v>43228.11806</v>
      </c>
      <c r="K60" t="str">
        <f>IFERROR(__xludf.DUMMYFUNCTION("""COMPUTED_VALUE"""),"20ft Sea Ark FL5351SJ UNF 2015")</f>
        <v>20ft Sea Ark FL5351SJ UNF 2015</v>
      </c>
      <c r="M60" t="str">
        <f>IFERROR(__xludf.DUMMYFUNCTION("""COMPUTED_VALUE"""),"Ford F250 2017 (Moby Dix) - DEP0021578")</f>
        <v>Ford F250 2017 (Moby Dix) - DEP0021578</v>
      </c>
      <c r="N60" t="str">
        <f>IFERROR(__xludf.DUMMYFUNCTION("""COMPUTED_VALUE"""),"Ben Mowbray, (407) 962-8782")</f>
        <v>Ben Mowbray, (407) 962-8782</v>
      </c>
      <c r="O60" t="str">
        <f>IFERROR(__xludf.DUMMYFUNCTION("""COMPUTED_VALUE"""),"Remo and Sam")</f>
        <v>Remo and Sam</v>
      </c>
      <c r="P60" t="str">
        <f>IFERROR(__xludf.DUMMYFUNCTION("""COMPUTED_VALUE"""),"Ben")</f>
        <v>Ben</v>
      </c>
      <c r="Q60" t="str">
        <f>IFERROR(__xludf.DUMMYFUNCTION("""COMPUTED_VALUE"""),"Good")</f>
        <v>Good</v>
      </c>
      <c r="R60" t="str">
        <f>IFERROR(__xludf.DUMMYFUNCTION("""COMPUTED_VALUE"""),"Good")</f>
        <v>Good</v>
      </c>
      <c r="S60" t="str">
        <f>IFERROR(__xludf.DUMMYFUNCTION("""COMPUTED_VALUE"""),"Good")</f>
        <v>Good</v>
      </c>
      <c r="T60" t="str">
        <f>IFERROR(__xludf.DUMMYFUNCTION("""COMPUTED_VALUE"""),"Good")</f>
        <v>Good</v>
      </c>
      <c r="U60" t="str">
        <f>IFERROR(__xludf.DUMMYFUNCTION("""COMPUTED_VALUE"""),"Good")</f>
        <v>Good</v>
      </c>
      <c r="V60" t="str">
        <f>IFERROR(__xludf.DUMMYFUNCTION("""COMPUTED_VALUE"""),"Good")</f>
        <v>Good</v>
      </c>
      <c r="W60" t="str">
        <f>IFERROR(__xludf.DUMMYFUNCTION("""COMPUTED_VALUE"""),"Good")</f>
        <v>Good</v>
      </c>
      <c r="X60" t="str">
        <f>IFERROR(__xludf.DUMMYFUNCTION("""COMPUTED_VALUE"""),"Good")</f>
        <v>Good</v>
      </c>
      <c r="Y60" t="str">
        <f>IFERROR(__xludf.DUMMYFUNCTION("""COMPUTED_VALUE"""),"Good")</f>
        <v>Good</v>
      </c>
      <c r="Z60" t="str">
        <f>IFERROR(__xludf.DUMMYFUNCTION("""COMPUTED_VALUE"""),"Good")</f>
        <v>Good</v>
      </c>
      <c r="AA60" t="str">
        <f>IFERROR(__xludf.DUMMYFUNCTION("""COMPUTED_VALUE"""),"Good")</f>
        <v>Good</v>
      </c>
      <c r="AB60" t="str">
        <f>IFERROR(__xludf.DUMMYFUNCTION("""COMPUTED_VALUE"""),"Good")</f>
        <v>Good</v>
      </c>
      <c r="AC60" t="str">
        <f>IFERROR(__xludf.DUMMYFUNCTION("""COMPUTED_VALUE"""),"Good")</f>
        <v>Good</v>
      </c>
      <c r="AE60" s="11"/>
      <c r="AF60" t="s">
        <v>13</v>
      </c>
      <c r="AG60" s="17" t="s">
        <v>115</v>
      </c>
      <c r="AH60" s="12"/>
      <c r="AI60" s="12" t="s">
        <v>116</v>
      </c>
      <c r="AJ60" s="19" t="s">
        <v>117</v>
      </c>
      <c r="AK60" s="20" t="str">
        <f>HYPERLINK("https://docs.google.com/document/d/1YVH9hAY0Il0DCK6rFfBHIM-B2FMeHXQEEJUjpA6N7-U/edit?usp=drivesdk","Ben Mowbray - 5/8/2018 9:20 AM")</f>
        <v>Ben Mowbray - 5/8/2018 9:20 AM</v>
      </c>
      <c r="AL60" s="12" t="s">
        <v>118</v>
      </c>
    </row>
    <row r="61">
      <c r="A61" s="10">
        <f>IFERROR(__xludf.DUMMYFUNCTION("""COMPUTED_VALUE"""),43230.361591643516)</f>
        <v>43230.36159</v>
      </c>
      <c r="B61" s="11" t="str">
        <f>IFERROR(__xludf.DUMMYFUNCTION("""COMPUTED_VALUE"""),"Ben Mowbray")</f>
        <v>Ben Mowbray</v>
      </c>
      <c r="C61" t="str">
        <f>IFERROR(__xludf.DUMMYFUNCTION("""COMPUTED_VALUE"""),"ben.mowbray@dep.state.fl.us")</f>
        <v>ben.mowbray@dep.state.fl.us</v>
      </c>
      <c r="D61" t="str">
        <f>IFERROR(__xludf.DUMMYFUNCTION("""COMPUTED_VALUE"""),"Research")</f>
        <v>Research</v>
      </c>
      <c r="E61" t="str">
        <f>IFERROR(__xludf.DUMMYFUNCTION("""COMPUTED_VALUE"""),"Aunt Kate's / Shore Drive")</f>
        <v>Aunt Kate's / Shore Drive</v>
      </c>
      <c r="F61" s="13">
        <f>IFERROR(__xludf.DUMMYFUNCTION("""COMPUTED_VALUE"""),0.4166666666678793)</f>
        <v>0.4166666667</v>
      </c>
      <c r="G61" s="14">
        <f>IFERROR(__xludf.DUMMYFUNCTION("""COMPUTED_VALUE"""),43230.0)</f>
        <v>43230</v>
      </c>
      <c r="H61" t="str">
        <f>IFERROR(__xludf.DUMMYFUNCTION("""COMPUTED_VALUE"""),"Spat Run")</f>
        <v>Spat Run</v>
      </c>
      <c r="I61" s="15">
        <f>IFERROR(__xludf.DUMMYFUNCTION("""COMPUTED_VALUE"""),0.10416666666787933)</f>
        <v>0.1041666667</v>
      </c>
      <c r="J61" s="16">
        <f>IFERROR(__xludf.DUMMYFUNCTION("""COMPUTED_VALUE"""),43230.13541666667)</f>
        <v>43230.13542</v>
      </c>
      <c r="K61" t="str">
        <f>IFERROR(__xludf.DUMMYFUNCTION("""COMPUTED_VALUE"""),"20ft Sea Ark FL5351SJ UNF 2015")</f>
        <v>20ft Sea Ark FL5351SJ UNF 2015</v>
      </c>
      <c r="M61" t="str">
        <f>IFERROR(__xludf.DUMMYFUNCTION("""COMPUTED_VALUE"""),"Ford F150 2008 - DEP18041 (SWMP Thing)")</f>
        <v>Ford F150 2008 - DEP18041 (SWMP Thing)</v>
      </c>
      <c r="N61" t="str">
        <f>IFERROR(__xludf.DUMMYFUNCTION("""COMPUTED_VALUE"""),"Ben Mowbray, (407) 962-8782")</f>
        <v>Ben Mowbray, (407) 962-8782</v>
      </c>
      <c r="O61" t="str">
        <f>IFERROR(__xludf.DUMMYFUNCTION("""COMPUTED_VALUE"""),"Sam Shaw or Hunter Mathews")</f>
        <v>Sam Shaw or Hunter Mathews</v>
      </c>
      <c r="P61" t="str">
        <f>IFERROR(__xludf.DUMMYFUNCTION("""COMPUTED_VALUE"""),"Ben")</f>
        <v>Ben</v>
      </c>
      <c r="Q61" t="str">
        <f>IFERROR(__xludf.DUMMYFUNCTION("""COMPUTED_VALUE"""),"Good")</f>
        <v>Good</v>
      </c>
      <c r="R61" t="str">
        <f>IFERROR(__xludf.DUMMYFUNCTION("""COMPUTED_VALUE"""),"Good")</f>
        <v>Good</v>
      </c>
      <c r="S61" t="str">
        <f>IFERROR(__xludf.DUMMYFUNCTION("""COMPUTED_VALUE"""),"Good")</f>
        <v>Good</v>
      </c>
      <c r="T61" t="str">
        <f>IFERROR(__xludf.DUMMYFUNCTION("""COMPUTED_VALUE"""),"Good")</f>
        <v>Good</v>
      </c>
      <c r="U61" t="str">
        <f>IFERROR(__xludf.DUMMYFUNCTION("""COMPUTED_VALUE"""),"Good")</f>
        <v>Good</v>
      </c>
      <c r="V61" t="str">
        <f>IFERROR(__xludf.DUMMYFUNCTION("""COMPUTED_VALUE"""),"Good")</f>
        <v>Good</v>
      </c>
      <c r="W61" t="str">
        <f>IFERROR(__xludf.DUMMYFUNCTION("""COMPUTED_VALUE"""),"Good")</f>
        <v>Good</v>
      </c>
      <c r="X61" t="str">
        <f>IFERROR(__xludf.DUMMYFUNCTION("""COMPUTED_VALUE"""),"Good")</f>
        <v>Good</v>
      </c>
      <c r="Y61" t="str">
        <f>IFERROR(__xludf.DUMMYFUNCTION("""COMPUTED_VALUE"""),"Good")</f>
        <v>Good</v>
      </c>
      <c r="Z61" t="str">
        <f>IFERROR(__xludf.DUMMYFUNCTION("""COMPUTED_VALUE"""),"Good")</f>
        <v>Good</v>
      </c>
      <c r="AA61" t="str">
        <f>IFERROR(__xludf.DUMMYFUNCTION("""COMPUTED_VALUE"""),"Good")</f>
        <v>Good</v>
      </c>
      <c r="AB61" t="str">
        <f>IFERROR(__xludf.DUMMYFUNCTION("""COMPUTED_VALUE"""),"Good")</f>
        <v>Good</v>
      </c>
      <c r="AC61" t="str">
        <f>IFERROR(__xludf.DUMMYFUNCTION("""COMPUTED_VALUE"""),"Good")</f>
        <v>Good</v>
      </c>
      <c r="AE61" s="11"/>
      <c r="AF61" t="s">
        <v>13</v>
      </c>
      <c r="AG61" s="17" t="s">
        <v>18</v>
      </c>
      <c r="AH61" s="12"/>
      <c r="AI61" s="12" t="s">
        <v>119</v>
      </c>
      <c r="AJ61" s="19" t="s">
        <v>120</v>
      </c>
      <c r="AK61" s="20" t="str">
        <f>HYPERLINK("https://docs.google.com/document/d/12huri7tFQSawQjEXKj8ob1-TqT9eABr2dmxojMW4czY/edit?usp=drivesdk","Ben Mowbray - 5/10/2018 10:00 AM")</f>
        <v>Ben Mowbray - 5/10/2018 10:00 AM</v>
      </c>
      <c r="AL61" s="12" t="s">
        <v>121</v>
      </c>
    </row>
    <row r="62">
      <c r="A62" s="10">
        <f>IFERROR(__xludf.DUMMYFUNCTION("""COMPUTED_VALUE"""),43231.29995903935)</f>
        <v>43231.29996</v>
      </c>
      <c r="B62" s="11" t="str">
        <f>IFERROR(__xludf.DUMMYFUNCTION("""COMPUTED_VALUE"""),"Ben Mowbray")</f>
        <v>Ben Mowbray</v>
      </c>
      <c r="C62" t="str">
        <f>IFERROR(__xludf.DUMMYFUNCTION("""COMPUTED_VALUE"""),"ben.mowbray@dep.state.fl.us")</f>
        <v>ben.mowbray@dep.state.fl.us</v>
      </c>
      <c r="D62" t="str">
        <f>IFERROR(__xludf.DUMMYFUNCTION("""COMPUTED_VALUE"""),"Research")</f>
        <v>Research</v>
      </c>
      <c r="E62" t="str">
        <f>IFERROR(__xludf.DUMMYFUNCTION("""COMPUTED_VALUE"""),"Bing's")</f>
        <v>Bing's</v>
      </c>
      <c r="F62" s="13">
        <f>IFERROR(__xludf.DUMMYFUNCTION("""COMPUTED_VALUE"""),0.3541666666678793)</f>
        <v>0.3541666667</v>
      </c>
      <c r="G62" s="14">
        <f>IFERROR(__xludf.DUMMYFUNCTION("""COMPUTED_VALUE"""),43231.0)</f>
        <v>43231</v>
      </c>
      <c r="H62" t="str">
        <f>IFERROR(__xludf.DUMMYFUNCTION("""COMPUTED_VALUE"""),"Summerhaven Nut Run")</f>
        <v>Summerhaven Nut Run</v>
      </c>
      <c r="I62" s="15">
        <f>IFERROR(__xludf.DUMMYFUNCTION("""COMPUTED_VALUE"""),0.4375)</f>
        <v>0.4375</v>
      </c>
      <c r="J62" s="16">
        <f>IFERROR(__xludf.DUMMYFUNCTION("""COMPUTED_VALUE"""),43231.625)</f>
        <v>43231.625</v>
      </c>
      <c r="K62" t="str">
        <f>IFERROR(__xludf.DUMMYFUNCTION("""COMPUTED_VALUE"""),"23ft Skiff (Bertha) FL7972LJ DEP07613")</f>
        <v>23ft Skiff (Bertha) FL7972LJ DEP07613</v>
      </c>
      <c r="M62" t="str">
        <f>IFERROR(__xludf.DUMMYFUNCTION("""COMPUTED_VALUE"""),"Ford F250 2017 (Moby Dix) - DEP0021578")</f>
        <v>Ford F250 2017 (Moby Dix) - DEP0021578</v>
      </c>
      <c r="N62" t="str">
        <f>IFERROR(__xludf.DUMMYFUNCTION("""COMPUTED_VALUE"""),"Ben Mowbray, (407) 962-8782")</f>
        <v>Ben Mowbray, (407) 962-8782</v>
      </c>
      <c r="O62" t="str">
        <f>IFERROR(__xludf.DUMMYFUNCTION("""COMPUTED_VALUE"""),"Sam Shaw, Matt Brown, Wesley, Trinity (maybe)")</f>
        <v>Sam Shaw, Matt Brown, Wesley, Trinity (maybe)</v>
      </c>
      <c r="P62" t="str">
        <f>IFERROR(__xludf.DUMMYFUNCTION("""COMPUTED_VALUE"""),"Ben")</f>
        <v>Ben</v>
      </c>
      <c r="Q62" t="str">
        <f>IFERROR(__xludf.DUMMYFUNCTION("""COMPUTED_VALUE"""),"Good")</f>
        <v>Good</v>
      </c>
      <c r="R62" t="str">
        <f>IFERROR(__xludf.DUMMYFUNCTION("""COMPUTED_VALUE"""),"Good")</f>
        <v>Good</v>
      </c>
      <c r="S62" t="str">
        <f>IFERROR(__xludf.DUMMYFUNCTION("""COMPUTED_VALUE"""),"Good")</f>
        <v>Good</v>
      </c>
      <c r="T62" t="str">
        <f>IFERROR(__xludf.DUMMYFUNCTION("""COMPUTED_VALUE"""),"Good")</f>
        <v>Good</v>
      </c>
      <c r="U62" t="str">
        <f>IFERROR(__xludf.DUMMYFUNCTION("""COMPUTED_VALUE"""),"Good")</f>
        <v>Good</v>
      </c>
      <c r="V62" t="str">
        <f>IFERROR(__xludf.DUMMYFUNCTION("""COMPUTED_VALUE"""),"Good")</f>
        <v>Good</v>
      </c>
      <c r="W62" t="str">
        <f>IFERROR(__xludf.DUMMYFUNCTION("""COMPUTED_VALUE"""),"Good")</f>
        <v>Good</v>
      </c>
      <c r="X62" t="str">
        <f>IFERROR(__xludf.DUMMYFUNCTION("""COMPUTED_VALUE"""),"Good")</f>
        <v>Good</v>
      </c>
      <c r="Y62" t="str">
        <f>IFERROR(__xludf.DUMMYFUNCTION("""COMPUTED_VALUE"""),"Good")</f>
        <v>Good</v>
      </c>
      <c r="Z62" t="str">
        <f>IFERROR(__xludf.DUMMYFUNCTION("""COMPUTED_VALUE"""),"Good")</f>
        <v>Good</v>
      </c>
      <c r="AA62" t="str">
        <f>IFERROR(__xludf.DUMMYFUNCTION("""COMPUTED_VALUE"""),"Good")</f>
        <v>Good</v>
      </c>
      <c r="AB62" t="str">
        <f>IFERROR(__xludf.DUMMYFUNCTION("""COMPUTED_VALUE"""),"Good")</f>
        <v>Good</v>
      </c>
      <c r="AC62" t="str">
        <f>IFERROR(__xludf.DUMMYFUNCTION("""COMPUTED_VALUE"""),"Good")</f>
        <v>Good</v>
      </c>
      <c r="AE62" s="11"/>
      <c r="AF62" t="s">
        <v>13</v>
      </c>
      <c r="AG62" s="17" t="s">
        <v>18</v>
      </c>
      <c r="AH62" s="12"/>
      <c r="AI62" s="12" t="s">
        <v>122</v>
      </c>
      <c r="AJ62" s="19" t="s">
        <v>123</v>
      </c>
      <c r="AK62" s="20" t="str">
        <f>HYPERLINK("https://docs.google.com/document/d/1NVKICve706r0YkCzp__mT8BDMJdF4QnbOgxRSabgmKc/edit?usp=drivesdk","Ben Mowbray - 5/11/2018 8:30 AM")</f>
        <v>Ben Mowbray - 5/11/2018 8:30 AM</v>
      </c>
      <c r="AL62" s="12" t="s">
        <v>124</v>
      </c>
    </row>
    <row r="63">
      <c r="A63" s="10">
        <f>IFERROR(__xludf.DUMMYFUNCTION("""COMPUTED_VALUE"""),43234.6390791088)</f>
        <v>43234.63908</v>
      </c>
      <c r="B63" s="11" t="str">
        <f>IFERROR(__xludf.DUMMYFUNCTION("""COMPUTED_VALUE"""),"Silas Tanner")</f>
        <v>Silas Tanner</v>
      </c>
      <c r="C63" t="str">
        <f>IFERROR(__xludf.DUMMYFUNCTION("""COMPUTED_VALUE"""),"silas.tanner@floridadep.gov")</f>
        <v>silas.tanner@floridadep.gov</v>
      </c>
      <c r="D63" t="str">
        <f>IFERROR(__xludf.DUMMYFUNCTION("""COMPUTED_VALUE"""),"Research")</f>
        <v>Research</v>
      </c>
      <c r="E63" t="str">
        <f>IFERROR(__xludf.DUMMYFUNCTION("""COMPUTED_VALUE"""),"Vilano County Ramp")</f>
        <v>Vilano County Ramp</v>
      </c>
      <c r="F63" s="13">
        <f>IFERROR(__xludf.DUMMYFUNCTION("""COMPUTED_VALUE"""),0.3645833333321207)</f>
        <v>0.3645833333</v>
      </c>
      <c r="G63" s="14">
        <f>IFERROR(__xludf.DUMMYFUNCTION("""COMPUTED_VALUE"""),43235.0)</f>
        <v>43235</v>
      </c>
      <c r="H63" t="str">
        <f>IFERROR(__xludf.DUMMYFUNCTION("""COMPUTED_VALUE"""),"ICW SWMP Sites: FM, SS &amp; PI")</f>
        <v>ICW SWMP Sites: FM, SS &amp; PI</v>
      </c>
      <c r="I63" s="15">
        <f>IFERROR(__xludf.DUMMYFUNCTION("""COMPUTED_VALUE"""),0.5)</f>
        <v>0.5</v>
      </c>
      <c r="J63" s="16">
        <f>IFERROR(__xludf.DUMMYFUNCTION("""COMPUTED_VALUE"""),43235.52083333333)</f>
        <v>43235.52083</v>
      </c>
      <c r="K63" t="str">
        <f>IFERROR(__xludf.DUMMYFUNCTION("""COMPUTED_VALUE"""),"23ft Skiff (Bertha) FL7972LJ DEP07613")</f>
        <v>23ft Skiff (Bertha) FL7972LJ DEP07613</v>
      </c>
      <c r="M63" t="str">
        <f>IFERROR(__xludf.DUMMYFUNCTION("""COMPUTED_VALUE"""),"Ford F250 2017 (Moby Dix) - DEP0021578")</f>
        <v>Ford F250 2017 (Moby Dix) - DEP0021578</v>
      </c>
      <c r="N63" t="str">
        <f>IFERROR(__xludf.DUMMYFUNCTION("""COMPUTED_VALUE"""),"Silas Tanner, (904) 483-8423")</f>
        <v>Silas Tanner, (904) 483-8423</v>
      </c>
      <c r="O63" t="str">
        <f>IFERROR(__xludf.DUMMYFUNCTION("""COMPUTED_VALUE"""),"Hunter Mathews")</f>
        <v>Hunter Mathews</v>
      </c>
      <c r="P63" t="str">
        <f>IFERROR(__xludf.DUMMYFUNCTION("""COMPUTED_VALUE"""),"Silas Tanner")</f>
        <v>Silas Tanner</v>
      </c>
      <c r="Q63" t="str">
        <f>IFERROR(__xludf.DUMMYFUNCTION("""COMPUTED_VALUE"""),"Good")</f>
        <v>Good</v>
      </c>
      <c r="R63" t="str">
        <f>IFERROR(__xludf.DUMMYFUNCTION("""COMPUTED_VALUE"""),"Good")</f>
        <v>Good</v>
      </c>
      <c r="S63" t="str">
        <f>IFERROR(__xludf.DUMMYFUNCTION("""COMPUTED_VALUE"""),"Good")</f>
        <v>Good</v>
      </c>
      <c r="T63" t="str">
        <f>IFERROR(__xludf.DUMMYFUNCTION("""COMPUTED_VALUE"""),"Good")</f>
        <v>Good</v>
      </c>
      <c r="U63" t="str">
        <f>IFERROR(__xludf.DUMMYFUNCTION("""COMPUTED_VALUE"""),"Good")</f>
        <v>Good</v>
      </c>
      <c r="V63" t="str">
        <f>IFERROR(__xludf.DUMMYFUNCTION("""COMPUTED_VALUE"""),"Good")</f>
        <v>Good</v>
      </c>
      <c r="W63" t="str">
        <f>IFERROR(__xludf.DUMMYFUNCTION("""COMPUTED_VALUE"""),"Good")</f>
        <v>Good</v>
      </c>
      <c r="X63" t="str">
        <f>IFERROR(__xludf.DUMMYFUNCTION("""COMPUTED_VALUE"""),"Good")</f>
        <v>Good</v>
      </c>
      <c r="Y63" t="str">
        <f>IFERROR(__xludf.DUMMYFUNCTION("""COMPUTED_VALUE"""),"Good")</f>
        <v>Good</v>
      </c>
      <c r="Z63" t="str">
        <f>IFERROR(__xludf.DUMMYFUNCTION("""COMPUTED_VALUE"""),"Good")</f>
        <v>Good</v>
      </c>
      <c r="AA63" t="str">
        <f>IFERROR(__xludf.DUMMYFUNCTION("""COMPUTED_VALUE"""),"Good")</f>
        <v>Good</v>
      </c>
      <c r="AB63" t="str">
        <f>IFERROR(__xludf.DUMMYFUNCTION("""COMPUTED_VALUE"""),"Good")</f>
        <v>Good</v>
      </c>
      <c r="AC63" t="str">
        <f>IFERROR(__xludf.DUMMYFUNCTION("""COMPUTED_VALUE"""),"Good")</f>
        <v>Good</v>
      </c>
      <c r="AE63" s="11"/>
      <c r="AF63" t="s">
        <v>13</v>
      </c>
      <c r="AG63" s="17" t="s">
        <v>18</v>
      </c>
      <c r="AH63" s="12"/>
      <c r="AI63" s="12" t="s">
        <v>125</v>
      </c>
      <c r="AJ63" s="19" t="s">
        <v>126</v>
      </c>
      <c r="AK63" s="20" t="str">
        <f>HYPERLINK("https://docs.google.com/document/d/1As9djMbo-ypJ-TIGH9yy3dPkMxR0WI1KMjZ3T-YgY3o/edit?usp=drivesdk","Silas Tanner - 5/15/2018 8:45 AM")</f>
        <v>Silas Tanner - 5/15/2018 8:45 AM</v>
      </c>
      <c r="AL63" s="12" t="s">
        <v>127</v>
      </c>
    </row>
    <row r="64">
      <c r="A64" s="10">
        <f>IFERROR(__xludf.DUMMYFUNCTION("""COMPUTED_VALUE"""),43236.66317133102)</f>
        <v>43236.66317</v>
      </c>
      <c r="B64" s="11" t="str">
        <f>IFERROR(__xludf.DUMMYFUNCTION("""COMPUTED_VALUE"""),"Kenneth Rainer")</f>
        <v>Kenneth Rainer</v>
      </c>
      <c r="C64" t="str">
        <f>IFERROR(__xludf.DUMMYFUNCTION("""COMPUTED_VALUE"""),"Kenneth.Rainer@dep.state.fl.us")</f>
        <v>Kenneth.Rainer@dep.state.fl.us</v>
      </c>
      <c r="D64" t="str">
        <f>IFERROR(__xludf.DUMMYFUNCTION("""COMPUTED_VALUE"""),"Education")</f>
        <v>Education</v>
      </c>
      <c r="E64" t="str">
        <f>IFERROR(__xludf.DUMMYFUNCTION("""COMPUTED_VALUE"""),"Usina Boat Ramp")</f>
        <v>Usina Boat Ramp</v>
      </c>
      <c r="F64" s="13">
        <f>IFERROR(__xludf.DUMMYFUNCTION("""COMPUTED_VALUE"""),0.3125)</f>
        <v>0.3125</v>
      </c>
      <c r="G64" s="14">
        <f>IFERROR(__xludf.DUMMYFUNCTION("""COMPUTED_VALUE"""),43237.0)</f>
        <v>43237</v>
      </c>
      <c r="H64" t="str">
        <f>IFERROR(__xludf.DUMMYFUNCTION("""COMPUTED_VALUE"""),"Site 1: Angelini Project, Pine Island")</f>
        <v>Site 1: Angelini Project, Pine Island</v>
      </c>
      <c r="I64" s="15">
        <f>IFERROR(__xludf.DUMMYFUNCTION("""COMPUTED_VALUE"""),0.5)</f>
        <v>0.5</v>
      </c>
      <c r="J64" s="16">
        <f>IFERROR(__xludf.DUMMYFUNCTION("""COMPUTED_VALUE"""),43237.52083333333)</f>
        <v>43237.52083</v>
      </c>
      <c r="K64" t="str">
        <f>IFERROR(__xludf.DUMMYFUNCTION("""COMPUTED_VALUE"""),"23ft Skiff (Bertha) FL7972LJ DEP07613")</f>
        <v>23ft Skiff (Bertha) FL7972LJ DEP07613</v>
      </c>
      <c r="M64" t="str">
        <f>IFERROR(__xludf.DUMMYFUNCTION("""COMPUTED_VALUE"""),"Ford F250 2017 (Moby Dix) - DEP0021578")</f>
        <v>Ford F250 2017 (Moby Dix) - DEP0021578</v>
      </c>
      <c r="N64" t="str">
        <f>IFERROR(__xludf.DUMMYFUNCTION("""COMPUTED_VALUE"""),"Kenneth Rainer, (936) 499-1853")</f>
        <v>Kenneth Rainer, (936) 499-1853</v>
      </c>
      <c r="O64" t="str">
        <f>IFERROR(__xludf.DUMMYFUNCTION("""COMPUTED_VALUE"""),"Emma Hanson")</f>
        <v>Emma Hanson</v>
      </c>
      <c r="P64" t="str">
        <f>IFERROR(__xludf.DUMMYFUNCTION("""COMPUTED_VALUE"""),"Kenneth Rainer")</f>
        <v>Kenneth Rainer</v>
      </c>
      <c r="Q64" t="str">
        <f>IFERROR(__xludf.DUMMYFUNCTION("""COMPUTED_VALUE"""),"Good")</f>
        <v>Good</v>
      </c>
      <c r="R64" t="str">
        <f>IFERROR(__xludf.DUMMYFUNCTION("""COMPUTED_VALUE"""),"Good")</f>
        <v>Good</v>
      </c>
      <c r="S64" t="str">
        <f>IFERROR(__xludf.DUMMYFUNCTION("""COMPUTED_VALUE"""),"Good")</f>
        <v>Good</v>
      </c>
      <c r="T64" t="str">
        <f>IFERROR(__xludf.DUMMYFUNCTION("""COMPUTED_VALUE"""),"Good")</f>
        <v>Good</v>
      </c>
      <c r="U64" t="str">
        <f>IFERROR(__xludf.DUMMYFUNCTION("""COMPUTED_VALUE"""),"Good")</f>
        <v>Good</v>
      </c>
      <c r="V64" t="str">
        <f>IFERROR(__xludf.DUMMYFUNCTION("""COMPUTED_VALUE"""),"Good")</f>
        <v>Good</v>
      </c>
      <c r="W64" t="str">
        <f>IFERROR(__xludf.DUMMYFUNCTION("""COMPUTED_VALUE"""),"Good")</f>
        <v>Good</v>
      </c>
      <c r="X64" t="str">
        <f>IFERROR(__xludf.DUMMYFUNCTION("""COMPUTED_VALUE"""),"Good")</f>
        <v>Good</v>
      </c>
      <c r="Y64" t="str">
        <f>IFERROR(__xludf.DUMMYFUNCTION("""COMPUTED_VALUE"""),"Good")</f>
        <v>Good</v>
      </c>
      <c r="Z64" t="str">
        <f>IFERROR(__xludf.DUMMYFUNCTION("""COMPUTED_VALUE"""),"Good")</f>
        <v>Good</v>
      </c>
      <c r="AA64" t="str">
        <f>IFERROR(__xludf.DUMMYFUNCTION("""COMPUTED_VALUE"""),"Good")</f>
        <v>Good</v>
      </c>
      <c r="AB64" t="str">
        <f>IFERROR(__xludf.DUMMYFUNCTION("""COMPUTED_VALUE"""),"Good")</f>
        <v>Good</v>
      </c>
      <c r="AC64" t="str">
        <f>IFERROR(__xludf.DUMMYFUNCTION("""COMPUTED_VALUE"""),"Good")</f>
        <v>Good</v>
      </c>
      <c r="AD64" t="str">
        <f>IFERROR(__xludf.DUMMYFUNCTION("""COMPUTED_VALUE"""),"74 °F, 24% Rain, 11mph South")</f>
        <v>74 °F, 24% Rain, 11mph South</v>
      </c>
      <c r="AE64" s="11" t="str">
        <f>IFERROR(__xludf.DUMMYFUNCTION("""COMPUTED_VALUE"""),"04:48 AM -0.80 L and 10:56 AM 3.92 H")</f>
        <v>04:48 AM -0.80 L and 10:56 AM 3.92 H</v>
      </c>
      <c r="AF64" t="s">
        <v>9</v>
      </c>
      <c r="AG64" s="17" t="s">
        <v>128</v>
      </c>
      <c r="AH64" s="12"/>
      <c r="AI64" s="12" t="s">
        <v>129</v>
      </c>
      <c r="AJ64" s="19" t="s">
        <v>130</v>
      </c>
      <c r="AK64" s="20" t="str">
        <f>HYPERLINK("https://docs.google.com/document/d/1ZYCXLV6gt2oXgWl9Ziwcxz8bjA1d5w_O5I7Ap6ZOB2M/edit?usp=drivesdk","Kenneth Rainer - 5/17/2018 7:30 AM")</f>
        <v>Kenneth Rainer - 5/17/2018 7:30 AM</v>
      </c>
      <c r="AL64" s="12" t="s">
        <v>131</v>
      </c>
    </row>
    <row r="65">
      <c r="A65" s="10">
        <f>IFERROR(__xludf.DUMMYFUNCTION("""COMPUTED_VALUE"""),43237.31596025463)</f>
        <v>43237.31596</v>
      </c>
      <c r="B65" s="11" t="str">
        <f>IFERROR(__xludf.DUMMYFUNCTION("""COMPUTED_VALUE"""),"Ben Mowbray")</f>
        <v>Ben Mowbray</v>
      </c>
      <c r="C65" t="str">
        <f>IFERROR(__xludf.DUMMYFUNCTION("""COMPUTED_VALUE"""),"ben.mowbray@dep.state.fl.us")</f>
        <v>ben.mowbray@dep.state.fl.us</v>
      </c>
      <c r="D65" t="str">
        <f>IFERROR(__xludf.DUMMYFUNCTION("""COMPUTED_VALUE"""),"Research")</f>
        <v>Research</v>
      </c>
      <c r="E65" t="str">
        <f>IFERROR(__xludf.DUMMYFUNCTION("""COMPUTED_VALUE"""),"Palm Valley")</f>
        <v>Palm Valley</v>
      </c>
      <c r="F65" s="13">
        <f>IFERROR(__xludf.DUMMYFUNCTION("""COMPUTED_VALUE"""),0.3333333333321207)</f>
        <v>0.3333333333</v>
      </c>
      <c r="G65" s="14">
        <f>IFERROR(__xludf.DUMMYFUNCTION("""COMPUTED_VALUE"""),43237.0)</f>
        <v>43237</v>
      </c>
      <c r="H65" t="str">
        <f>IFERROR(__xludf.DUMMYFUNCTION("""COMPUTED_VALUE"""),"Angelini Sites")</f>
        <v>Angelini Sites</v>
      </c>
      <c r="I65" s="15">
        <f>IFERROR(__xludf.DUMMYFUNCTION("""COMPUTED_VALUE"""),0.375)</f>
        <v>0.375</v>
      </c>
      <c r="J65" s="16">
        <f>IFERROR(__xludf.DUMMYFUNCTION("""COMPUTED_VALUE"""),43237.38888888889)</f>
        <v>43237.38889</v>
      </c>
      <c r="K65" t="str">
        <f>IFERROR(__xludf.DUMMYFUNCTION("""COMPUTED_VALUE"""),"20ft Sea Ark FL5351SJ UNF 2015")</f>
        <v>20ft Sea Ark FL5351SJ UNF 2015</v>
      </c>
      <c r="M65" t="str">
        <f>IFERROR(__xludf.DUMMYFUNCTION("""COMPUTED_VALUE"""),"Ford F150 2008 - DEP18041 (SWMP Thing)")</f>
        <v>Ford F150 2008 - DEP18041 (SWMP Thing)</v>
      </c>
      <c r="N65" t="str">
        <f>IFERROR(__xludf.DUMMYFUNCTION("""COMPUTED_VALUE"""),"Ben Mowbray, (407) 962-8782")</f>
        <v>Ben Mowbray, (407) 962-8782</v>
      </c>
      <c r="O65" t="str">
        <f>IFERROR(__xludf.DUMMYFUNCTION("""COMPUTED_VALUE"""),"Remo")</f>
        <v>Remo</v>
      </c>
      <c r="P65" t="str">
        <f>IFERROR(__xludf.DUMMYFUNCTION("""COMPUTED_VALUE"""),"Ben")</f>
        <v>Ben</v>
      </c>
      <c r="Q65" t="str">
        <f>IFERROR(__xludf.DUMMYFUNCTION("""COMPUTED_VALUE"""),"Good")</f>
        <v>Good</v>
      </c>
      <c r="R65" t="str">
        <f>IFERROR(__xludf.DUMMYFUNCTION("""COMPUTED_VALUE"""),"Good")</f>
        <v>Good</v>
      </c>
      <c r="S65" t="str">
        <f>IFERROR(__xludf.DUMMYFUNCTION("""COMPUTED_VALUE"""),"Good")</f>
        <v>Good</v>
      </c>
      <c r="T65" t="str">
        <f>IFERROR(__xludf.DUMMYFUNCTION("""COMPUTED_VALUE"""),"Good")</f>
        <v>Good</v>
      </c>
      <c r="U65" t="str">
        <f>IFERROR(__xludf.DUMMYFUNCTION("""COMPUTED_VALUE"""),"Good")</f>
        <v>Good</v>
      </c>
      <c r="V65" t="str">
        <f>IFERROR(__xludf.DUMMYFUNCTION("""COMPUTED_VALUE"""),"Good")</f>
        <v>Good</v>
      </c>
      <c r="W65" t="str">
        <f>IFERROR(__xludf.DUMMYFUNCTION("""COMPUTED_VALUE"""),"Good")</f>
        <v>Good</v>
      </c>
      <c r="X65" t="str">
        <f>IFERROR(__xludf.DUMMYFUNCTION("""COMPUTED_VALUE"""),"Good")</f>
        <v>Good</v>
      </c>
      <c r="Y65" t="str">
        <f>IFERROR(__xludf.DUMMYFUNCTION("""COMPUTED_VALUE"""),"Good")</f>
        <v>Good</v>
      </c>
      <c r="Z65" t="str">
        <f>IFERROR(__xludf.DUMMYFUNCTION("""COMPUTED_VALUE"""),"Good")</f>
        <v>Good</v>
      </c>
      <c r="AA65" t="str">
        <f>IFERROR(__xludf.DUMMYFUNCTION("""COMPUTED_VALUE"""),"Good")</f>
        <v>Good</v>
      </c>
      <c r="AB65" t="str">
        <f>IFERROR(__xludf.DUMMYFUNCTION("""COMPUTED_VALUE"""),"Good")</f>
        <v>Good</v>
      </c>
      <c r="AC65" t="str">
        <f>IFERROR(__xludf.DUMMYFUNCTION("""COMPUTED_VALUE"""),"Good")</f>
        <v>Good</v>
      </c>
      <c r="AE65" s="11"/>
      <c r="AF65" t="s">
        <v>13</v>
      </c>
      <c r="AG65" s="17" t="s">
        <v>128</v>
      </c>
      <c r="AH65" s="12"/>
      <c r="AI65" s="12" t="s">
        <v>132</v>
      </c>
      <c r="AJ65" s="19" t="s">
        <v>133</v>
      </c>
      <c r="AK65" s="20" t="str">
        <f>HYPERLINK("https://docs.google.com/document/d/10nnniawQVtJWr1j6dGtxHYuaPvjUZS_oEzRZ6f249BE/edit?usp=drivesdk","Ben Mowbray - 5/17/2018 8:00 AM")</f>
        <v>Ben Mowbray - 5/17/2018 8:00 AM</v>
      </c>
      <c r="AL65" s="12" t="s">
        <v>134</v>
      </c>
    </row>
    <row r="66">
      <c r="A66" s="10">
        <f>IFERROR(__xludf.DUMMYFUNCTION("""COMPUTED_VALUE"""),43243.81443792824)</f>
        <v>43243.81444</v>
      </c>
      <c r="B66" s="11" t="str">
        <f>IFERROR(__xludf.DUMMYFUNCTION("""COMPUTED_VALUE"""),"Pamela Marcum")</f>
        <v>Pamela Marcum</v>
      </c>
      <c r="C66" t="str">
        <f>IFERROR(__xludf.DUMMYFUNCTION("""COMPUTED_VALUE"""),"Pamela.Marcum@Dep.state.fl.us")</f>
        <v>Pamela.Marcum@Dep.state.fl.us</v>
      </c>
      <c r="D66" t="str">
        <f>IFERROR(__xludf.DUMMYFUNCTION("""COMPUTED_VALUE"""),"Research")</f>
        <v>Research</v>
      </c>
      <c r="E66" t="str">
        <f>IFERROR(__xludf.DUMMYFUNCTION("""COMPUTED_VALUE"""),"Crane Park Shore Drive")</f>
        <v>Crane Park Shore Drive</v>
      </c>
      <c r="F66" s="13">
        <f>IFERROR(__xludf.DUMMYFUNCTION("""COMPUTED_VALUE"""),0.3333333333321207)</f>
        <v>0.3333333333</v>
      </c>
      <c r="G66" s="14">
        <f>IFERROR(__xludf.DUMMYFUNCTION("""COMPUTED_VALUE"""),43244.0)</f>
        <v>43244</v>
      </c>
      <c r="H66" t="str">
        <f>IFERROR(__xludf.DUMMYFUNCTION("""COMPUTED_VALUE"""),"Tidal Creek North of East Creek")</f>
        <v>Tidal Creek North of East Creek</v>
      </c>
      <c r="I66" s="15">
        <f>IFERROR(__xludf.DUMMYFUNCTION("""COMPUTED_VALUE"""),0.625)</f>
        <v>0.625</v>
      </c>
      <c r="J66" s="16">
        <f>IFERROR(__xludf.DUMMYFUNCTION("""COMPUTED_VALUE"""),43244.66666666667)</f>
        <v>43244.66667</v>
      </c>
      <c r="K66" t="str">
        <f>IFERROR(__xludf.DUMMYFUNCTION("""COMPUTED_VALUE"""),"23ft Skiff (Bertha) FL7972LJ DEP07613")</f>
        <v>23ft Skiff (Bertha) FL7972LJ DEP07613</v>
      </c>
      <c r="M66" t="str">
        <f>IFERROR(__xludf.DUMMYFUNCTION("""COMPUTED_VALUE"""),"Ford F150 2008 - DEP18041 (SWMP Thing)")</f>
        <v>Ford F150 2008 - DEP18041 (SWMP Thing)</v>
      </c>
      <c r="N66" t="str">
        <f>IFERROR(__xludf.DUMMYFUNCTION("""COMPUTED_VALUE"""),"Pam Marcum, (480) 332-5414")</f>
        <v>Pam Marcum, (480) 332-5414</v>
      </c>
      <c r="O66" t="str">
        <f>IFERROR(__xludf.DUMMYFUNCTION("""COMPUTED_VALUE"""),"Sam Chapman, Matt Hayes, Libby, Chuck, Emily, Ember, Chansotheary")</f>
        <v>Sam Chapman, Matt Hayes, Libby, Chuck, Emily, Ember, Chansotheary</v>
      </c>
      <c r="P66" t="str">
        <f>IFERROR(__xludf.DUMMYFUNCTION("""COMPUTED_VALUE"""),"Pam Marcum")</f>
        <v>Pam Marcum</v>
      </c>
      <c r="Q66" t="str">
        <f>IFERROR(__xludf.DUMMYFUNCTION("""COMPUTED_VALUE"""),"Good")</f>
        <v>Good</v>
      </c>
      <c r="R66" t="str">
        <f>IFERROR(__xludf.DUMMYFUNCTION("""COMPUTED_VALUE"""),"Good")</f>
        <v>Good</v>
      </c>
      <c r="S66" t="str">
        <f>IFERROR(__xludf.DUMMYFUNCTION("""COMPUTED_VALUE"""),"Good")</f>
        <v>Good</v>
      </c>
      <c r="T66" t="str">
        <f>IFERROR(__xludf.DUMMYFUNCTION("""COMPUTED_VALUE"""),"Good")</f>
        <v>Good</v>
      </c>
      <c r="U66" t="str">
        <f>IFERROR(__xludf.DUMMYFUNCTION("""COMPUTED_VALUE"""),"Good")</f>
        <v>Good</v>
      </c>
      <c r="V66" t="str">
        <f>IFERROR(__xludf.DUMMYFUNCTION("""COMPUTED_VALUE"""),"Good")</f>
        <v>Good</v>
      </c>
      <c r="W66" t="str">
        <f>IFERROR(__xludf.DUMMYFUNCTION("""COMPUTED_VALUE"""),"Good")</f>
        <v>Good</v>
      </c>
      <c r="X66" t="str">
        <f>IFERROR(__xludf.DUMMYFUNCTION("""COMPUTED_VALUE"""),"Good")</f>
        <v>Good</v>
      </c>
      <c r="Y66" t="str">
        <f>IFERROR(__xludf.DUMMYFUNCTION("""COMPUTED_VALUE"""),"Good")</f>
        <v>Good</v>
      </c>
      <c r="Z66" t="str">
        <f>IFERROR(__xludf.DUMMYFUNCTION("""COMPUTED_VALUE"""),"Good")</f>
        <v>Good</v>
      </c>
      <c r="AA66" t="str">
        <f>IFERROR(__xludf.DUMMYFUNCTION("""COMPUTED_VALUE"""),"Good")</f>
        <v>Good</v>
      </c>
      <c r="AB66" t="str">
        <f>IFERROR(__xludf.DUMMYFUNCTION("""COMPUTED_VALUE"""),"Good")</f>
        <v>Good</v>
      </c>
      <c r="AC66" t="str">
        <f>IFERROR(__xludf.DUMMYFUNCTION("""COMPUTED_VALUE"""),"Good")</f>
        <v>Good</v>
      </c>
      <c r="AE66" s="11"/>
      <c r="AF66" t="s">
        <v>13</v>
      </c>
      <c r="AG66" s="17" t="s">
        <v>43</v>
      </c>
      <c r="AH66" s="12"/>
      <c r="AI66" s="12" t="s">
        <v>135</v>
      </c>
      <c r="AJ66" s="19" t="s">
        <v>136</v>
      </c>
      <c r="AK66" s="20" t="str">
        <f>HYPERLINK("https://docs.google.com/document/d/1_HH9Z8-j5vEDahK3SVVb5cw1dwoAO7QFzxqAWGE-CnI/edit?usp=drivesdk","Pamela Marcum - 5/24/2018 8:00 AM")</f>
        <v>Pamela Marcum - 5/24/2018 8:00 AM</v>
      </c>
      <c r="AL66" s="12" t="s">
        <v>137</v>
      </c>
    </row>
    <row r="67">
      <c r="A67" s="10">
        <f>IFERROR(__xludf.DUMMYFUNCTION("""COMPUTED_VALUE"""),43244.44638015047)</f>
        <v>43244.44638</v>
      </c>
      <c r="B67" s="11" t="str">
        <f>IFERROR(__xludf.DUMMYFUNCTION("""COMPUTED_VALUE"""),"Silas Tanner")</f>
        <v>Silas Tanner</v>
      </c>
      <c r="C67" t="str">
        <f>IFERROR(__xludf.DUMMYFUNCTION("""COMPUTED_VALUE"""),"silas.tanner@floridadep.gov")</f>
        <v>silas.tanner@floridadep.gov</v>
      </c>
      <c r="D67" t="str">
        <f>IFERROR(__xludf.DUMMYFUNCTION("""COMPUTED_VALUE"""),"Research")</f>
        <v>Research</v>
      </c>
      <c r="E67" t="str">
        <f>IFERROR(__xludf.DUMMYFUNCTION("""COMPUTED_VALUE"""),"Bing's Landing")</f>
        <v>Bing's Landing</v>
      </c>
      <c r="F67" s="13">
        <f>IFERROR(__xludf.DUMMYFUNCTION("""COMPUTED_VALUE"""),0.34375)</f>
        <v>0.34375</v>
      </c>
      <c r="G67" s="14">
        <f>IFERROR(__xludf.DUMMYFUNCTION("""COMPUTED_VALUE"""),43245.0)</f>
        <v>43245</v>
      </c>
      <c r="H67" t="str">
        <f>IFERROR(__xludf.DUMMYFUNCTION("""COMPUTED_VALUE"""),"ICW b/w Rattlesnake Is. and Bing's")</f>
        <v>ICW b/w Rattlesnake Is. and Bing's</v>
      </c>
      <c r="I67" s="15">
        <f>IFERROR(__xludf.DUMMYFUNCTION("""COMPUTED_VALUE"""),0.5)</f>
        <v>0.5</v>
      </c>
      <c r="J67" s="16">
        <f>IFERROR(__xludf.DUMMYFUNCTION("""COMPUTED_VALUE"""),43245.54166666667)</f>
        <v>43245.54167</v>
      </c>
      <c r="K67" t="str">
        <f>IFERROR(__xludf.DUMMYFUNCTION("""COMPUTED_VALUE"""),"23ft Skiff (Bertha) FL7972LJ DEP07613")</f>
        <v>23ft Skiff (Bertha) FL7972LJ DEP07613</v>
      </c>
      <c r="M67" t="str">
        <f>IFERROR(__xludf.DUMMYFUNCTION("""COMPUTED_VALUE"""),"Ford F150 2008 - DEP18041 (SWMP Thing)")</f>
        <v>Ford F150 2008 - DEP18041 (SWMP Thing)</v>
      </c>
      <c r="N67" t="str">
        <f>IFERROR(__xludf.DUMMYFUNCTION("""COMPUTED_VALUE"""),"Silas Tanner, (904) 483-8423")</f>
        <v>Silas Tanner, (904) 483-8423</v>
      </c>
      <c r="O67" t="str">
        <f>IFERROR(__xludf.DUMMYFUNCTION("""COMPUTED_VALUE"""),"Matt Brown, Westly Woodward, Remo Mondazi")</f>
        <v>Matt Brown, Westly Woodward, Remo Mondazi</v>
      </c>
      <c r="P67" t="str">
        <f>IFERROR(__xludf.DUMMYFUNCTION("""COMPUTED_VALUE"""),"Silas Tanner")</f>
        <v>Silas Tanner</v>
      </c>
      <c r="Q67" t="str">
        <f>IFERROR(__xludf.DUMMYFUNCTION("""COMPUTED_VALUE"""),"Good")</f>
        <v>Good</v>
      </c>
      <c r="R67" t="str">
        <f>IFERROR(__xludf.DUMMYFUNCTION("""COMPUTED_VALUE"""),"Good")</f>
        <v>Good</v>
      </c>
      <c r="S67" t="str">
        <f>IFERROR(__xludf.DUMMYFUNCTION("""COMPUTED_VALUE"""),"Good")</f>
        <v>Good</v>
      </c>
      <c r="T67" t="str">
        <f>IFERROR(__xludf.DUMMYFUNCTION("""COMPUTED_VALUE"""),"Good")</f>
        <v>Good</v>
      </c>
      <c r="U67" t="str">
        <f>IFERROR(__xludf.DUMMYFUNCTION("""COMPUTED_VALUE"""),"Good")</f>
        <v>Good</v>
      </c>
      <c r="V67" t="str">
        <f>IFERROR(__xludf.DUMMYFUNCTION("""COMPUTED_VALUE"""),"Good")</f>
        <v>Good</v>
      </c>
      <c r="W67" t="str">
        <f>IFERROR(__xludf.DUMMYFUNCTION("""COMPUTED_VALUE"""),"Good")</f>
        <v>Good</v>
      </c>
      <c r="X67" t="str">
        <f>IFERROR(__xludf.DUMMYFUNCTION("""COMPUTED_VALUE"""),"Good")</f>
        <v>Good</v>
      </c>
      <c r="Y67" t="str">
        <f>IFERROR(__xludf.DUMMYFUNCTION("""COMPUTED_VALUE"""),"Good")</f>
        <v>Good</v>
      </c>
      <c r="Z67" t="str">
        <f>IFERROR(__xludf.DUMMYFUNCTION("""COMPUTED_VALUE"""),"Good")</f>
        <v>Good</v>
      </c>
      <c r="AA67" t="str">
        <f>IFERROR(__xludf.DUMMYFUNCTION("""COMPUTED_VALUE"""),"Good")</f>
        <v>Good</v>
      </c>
      <c r="AB67" t="str">
        <f>IFERROR(__xludf.DUMMYFUNCTION("""COMPUTED_VALUE"""),"Good")</f>
        <v>Good</v>
      </c>
      <c r="AC67" t="str">
        <f>IFERROR(__xludf.DUMMYFUNCTION("""COMPUTED_VALUE"""),"Good")</f>
        <v>Good</v>
      </c>
      <c r="AE67" s="11"/>
      <c r="AF67" t="s">
        <v>13</v>
      </c>
      <c r="AG67" s="17" t="s">
        <v>18</v>
      </c>
      <c r="AH67" s="12"/>
      <c r="AI67" s="12" t="s">
        <v>138</v>
      </c>
      <c r="AJ67" s="19" t="s">
        <v>139</v>
      </c>
      <c r="AK67" s="20" t="str">
        <f>HYPERLINK("https://docs.google.com/document/d/1xPjlL2XpuJuVs9bhlQHaVaBJvaUVRrAiSl6QpD-EBQQ/edit?usp=drivesdk","Silas Tanner - 5/25/2018 8:15 AM")</f>
        <v>Silas Tanner - 5/25/2018 8:15 AM</v>
      </c>
      <c r="AL67" s="12" t="s">
        <v>140</v>
      </c>
    </row>
    <row r="68">
      <c r="A68" s="10">
        <f>IFERROR(__xludf.DUMMYFUNCTION("""COMPUTED_VALUE"""),43248.36070387732)</f>
        <v>43248.3607</v>
      </c>
      <c r="B68" s="11" t="str">
        <f>IFERROR(__xludf.DUMMYFUNCTION("""COMPUTED_VALUE"""),"Ben Mowbray")</f>
        <v>Ben Mowbray</v>
      </c>
      <c r="C68" t="str">
        <f>IFERROR(__xludf.DUMMYFUNCTION("""COMPUTED_VALUE"""),"ben.mowbray@dep.state.fl.us")</f>
        <v>ben.mowbray@dep.state.fl.us</v>
      </c>
      <c r="D68" t="str">
        <f>IFERROR(__xludf.DUMMYFUNCTION("""COMPUTED_VALUE"""),"Research")</f>
        <v>Research</v>
      </c>
      <c r="E68" t="str">
        <f>IFERROR(__xludf.DUMMYFUNCTION("""COMPUTED_VALUE"""),"Shore Dr.")</f>
        <v>Shore Dr.</v>
      </c>
      <c r="F68" s="13">
        <f>IFERROR(__xludf.DUMMYFUNCTION("""COMPUTED_VALUE"""),0.3958333333321207)</f>
        <v>0.3958333333</v>
      </c>
      <c r="G68" s="14">
        <f>IFERROR(__xludf.DUMMYFUNCTION("""COMPUTED_VALUE"""),43248.0)</f>
        <v>43248</v>
      </c>
      <c r="H68" t="str">
        <f>IFERROR(__xludf.DUMMYFUNCTION("""COMPUTED_VALUE"""),"Chapman Sites")</f>
        <v>Chapman Sites</v>
      </c>
      <c r="I68" s="15">
        <f>IFERROR(__xludf.DUMMYFUNCTION("""COMPUTED_VALUE"""),0.6666666666678793)</f>
        <v>0.6666666667</v>
      </c>
      <c r="J68" s="16">
        <f>IFERROR(__xludf.DUMMYFUNCTION("""COMPUTED_VALUE"""),43248.70833333333)</f>
        <v>43248.70833</v>
      </c>
      <c r="K68" t="str">
        <f>IFERROR(__xludf.DUMMYFUNCTION("""COMPUTED_VALUE"""),"23ft Skiff (Bertha) FL7972LJ DEP07613")</f>
        <v>23ft Skiff (Bertha) FL7972LJ DEP07613</v>
      </c>
      <c r="M68" t="str">
        <f>IFERROR(__xludf.DUMMYFUNCTION("""COMPUTED_VALUE"""),"Ford F250 2017 (Moby Dix) - DEP0021578")</f>
        <v>Ford F250 2017 (Moby Dix) - DEP0021578</v>
      </c>
      <c r="N68" t="str">
        <f>IFERROR(__xludf.DUMMYFUNCTION("""COMPUTED_VALUE"""),"Ben Mowbray, (407) 962-8782")</f>
        <v>Ben Mowbray, (407) 962-8782</v>
      </c>
      <c r="O68" t="str">
        <f>IFERROR(__xludf.DUMMYFUNCTION("""COMPUTED_VALUE"""),"Gabriela Canas, (904) 891-9743, Chapman group")</f>
        <v>Gabriela Canas, (904) 891-9743, Chapman group</v>
      </c>
      <c r="P68" t="str">
        <f>IFERROR(__xludf.DUMMYFUNCTION("""COMPUTED_VALUE"""),"Ben")</f>
        <v>Ben</v>
      </c>
      <c r="Q68" t="str">
        <f>IFERROR(__xludf.DUMMYFUNCTION("""COMPUTED_VALUE"""),"Good")</f>
        <v>Good</v>
      </c>
      <c r="R68" t="str">
        <f>IFERROR(__xludf.DUMMYFUNCTION("""COMPUTED_VALUE"""),"Good")</f>
        <v>Good</v>
      </c>
      <c r="S68" t="str">
        <f>IFERROR(__xludf.DUMMYFUNCTION("""COMPUTED_VALUE"""),"Good")</f>
        <v>Good</v>
      </c>
      <c r="T68" t="str">
        <f>IFERROR(__xludf.DUMMYFUNCTION("""COMPUTED_VALUE"""),"Good")</f>
        <v>Good</v>
      </c>
      <c r="U68" t="str">
        <f>IFERROR(__xludf.DUMMYFUNCTION("""COMPUTED_VALUE"""),"Good")</f>
        <v>Good</v>
      </c>
      <c r="V68" t="str">
        <f>IFERROR(__xludf.DUMMYFUNCTION("""COMPUTED_VALUE"""),"Good")</f>
        <v>Good</v>
      </c>
      <c r="W68" t="str">
        <f>IFERROR(__xludf.DUMMYFUNCTION("""COMPUTED_VALUE"""),"Good")</f>
        <v>Good</v>
      </c>
      <c r="X68" t="str">
        <f>IFERROR(__xludf.DUMMYFUNCTION("""COMPUTED_VALUE"""),"Good")</f>
        <v>Good</v>
      </c>
      <c r="Y68" t="str">
        <f>IFERROR(__xludf.DUMMYFUNCTION("""COMPUTED_VALUE"""),"Good")</f>
        <v>Good</v>
      </c>
      <c r="Z68" t="str">
        <f>IFERROR(__xludf.DUMMYFUNCTION("""COMPUTED_VALUE"""),"Good")</f>
        <v>Good</v>
      </c>
      <c r="AA68" t="str">
        <f>IFERROR(__xludf.DUMMYFUNCTION("""COMPUTED_VALUE"""),"Good")</f>
        <v>Good</v>
      </c>
      <c r="AB68" t="str">
        <f>IFERROR(__xludf.DUMMYFUNCTION("""COMPUTED_VALUE"""),"Good")</f>
        <v>Good</v>
      </c>
      <c r="AC68" t="str">
        <f>IFERROR(__xludf.DUMMYFUNCTION("""COMPUTED_VALUE"""),"Good")</f>
        <v>Good</v>
      </c>
      <c r="AE68" s="11"/>
      <c r="AF68" t="s">
        <v>13</v>
      </c>
      <c r="AG68" s="17" t="s">
        <v>141</v>
      </c>
      <c r="AH68" s="12"/>
      <c r="AI68" s="12" t="s">
        <v>142</v>
      </c>
      <c r="AJ68" s="19" t="s">
        <v>143</v>
      </c>
      <c r="AK68" s="20" t="str">
        <f>HYPERLINK("https://docs.google.com/document/d/1Z8dAn-NJRpmpNLlG1zkbjukS7RuYIXNvx0IZ730X_Lk/edit?usp=drivesdk","Ben Mowbray - 5/28/2018 9:30 AM")</f>
        <v>Ben Mowbray - 5/28/2018 9:30 AM</v>
      </c>
      <c r="AL68" s="12" t="s">
        <v>144</v>
      </c>
    </row>
    <row r="69">
      <c r="A69" s="10">
        <f>IFERROR(__xludf.DUMMYFUNCTION("""COMPUTED_VALUE"""),43249.31715028935)</f>
        <v>43249.31715</v>
      </c>
      <c r="B69" s="11" t="str">
        <f>IFERROR(__xludf.DUMMYFUNCTION("""COMPUTED_VALUE"""),"Silas Tanner")</f>
        <v>Silas Tanner</v>
      </c>
      <c r="C69" t="str">
        <f>IFERROR(__xludf.DUMMYFUNCTION("""COMPUTED_VALUE"""),"silas.tanner@floridadep.gov")</f>
        <v>silas.tanner@floridadep.gov</v>
      </c>
      <c r="D69" t="str">
        <f>IFERROR(__xludf.DUMMYFUNCTION("""COMPUTED_VALUE"""),"Research")</f>
        <v>Research</v>
      </c>
      <c r="E69" t="str">
        <f>IFERROR(__xludf.DUMMYFUNCTION("""COMPUTED_VALUE"""),"Vilano County Ramp; Green Rd")</f>
        <v>Vilano County Ramp; Green Rd</v>
      </c>
      <c r="F69" s="13">
        <f>IFERROR(__xludf.DUMMYFUNCTION("""COMPUTED_VALUE"""),0.3958333333321207)</f>
        <v>0.3958333333</v>
      </c>
      <c r="G69" s="14">
        <f>IFERROR(__xludf.DUMMYFUNCTION("""COMPUTED_VALUE"""),43249.0)</f>
        <v>43249</v>
      </c>
      <c r="H69" t="str">
        <f>IFERROR(__xludf.DUMMYFUNCTION("""COMPUTED_VALUE"""),"ICW SWMP Sites")</f>
        <v>ICW SWMP Sites</v>
      </c>
      <c r="I69" s="15">
        <f>IFERROR(__xludf.DUMMYFUNCTION("""COMPUTED_VALUE"""),0.625)</f>
        <v>0.625</v>
      </c>
      <c r="J69" s="16">
        <f>IFERROR(__xludf.DUMMYFUNCTION("""COMPUTED_VALUE"""),43249.64583333333)</f>
        <v>43249.64583</v>
      </c>
      <c r="K69" t="str">
        <f>IFERROR(__xludf.DUMMYFUNCTION("""COMPUTED_VALUE"""),"20ft Sea Ark FL5351SJ UNF 2015")</f>
        <v>20ft Sea Ark FL5351SJ UNF 2015</v>
      </c>
      <c r="M69" t="str">
        <f>IFERROR(__xludf.DUMMYFUNCTION("""COMPUTED_VALUE"""),"Ford F150 2008 - DEP18041 (SWMP Thing)")</f>
        <v>Ford F150 2008 - DEP18041 (SWMP Thing)</v>
      </c>
      <c r="N69" t="str">
        <f>IFERROR(__xludf.DUMMYFUNCTION("""COMPUTED_VALUE"""),"Silas Tanner, (904) 483-8423, Jimmy Tomazinis, (904) 547-0094")</f>
        <v>Silas Tanner, (904) 483-8423, Jimmy Tomazinis, (904) 547-0094</v>
      </c>
      <c r="P69" t="str">
        <f>IFERROR(__xludf.DUMMYFUNCTION("""COMPUTED_VALUE"""),"Silas Tanner")</f>
        <v>Silas Tanner</v>
      </c>
      <c r="Q69" t="str">
        <f>IFERROR(__xludf.DUMMYFUNCTION("""COMPUTED_VALUE"""),"Good")</f>
        <v>Good</v>
      </c>
      <c r="R69" t="str">
        <f>IFERROR(__xludf.DUMMYFUNCTION("""COMPUTED_VALUE"""),"Good")</f>
        <v>Good</v>
      </c>
      <c r="S69" t="str">
        <f>IFERROR(__xludf.DUMMYFUNCTION("""COMPUTED_VALUE"""),"Good")</f>
        <v>Good</v>
      </c>
      <c r="T69" t="str">
        <f>IFERROR(__xludf.DUMMYFUNCTION("""COMPUTED_VALUE"""),"Good")</f>
        <v>Good</v>
      </c>
      <c r="U69" t="str">
        <f>IFERROR(__xludf.DUMMYFUNCTION("""COMPUTED_VALUE"""),"Good")</f>
        <v>Good</v>
      </c>
      <c r="V69" t="str">
        <f>IFERROR(__xludf.DUMMYFUNCTION("""COMPUTED_VALUE"""),"Good")</f>
        <v>Good</v>
      </c>
      <c r="W69" t="str">
        <f>IFERROR(__xludf.DUMMYFUNCTION("""COMPUTED_VALUE"""),"Good")</f>
        <v>Good</v>
      </c>
      <c r="X69" t="str">
        <f>IFERROR(__xludf.DUMMYFUNCTION("""COMPUTED_VALUE"""),"Good")</f>
        <v>Good</v>
      </c>
      <c r="Y69" t="str">
        <f>IFERROR(__xludf.DUMMYFUNCTION("""COMPUTED_VALUE"""),"Good")</f>
        <v>Good</v>
      </c>
      <c r="Z69" t="str">
        <f>IFERROR(__xludf.DUMMYFUNCTION("""COMPUTED_VALUE"""),"Good")</f>
        <v>Good</v>
      </c>
      <c r="AA69" t="str">
        <f>IFERROR(__xludf.DUMMYFUNCTION("""COMPUTED_VALUE"""),"Good")</f>
        <v>Good</v>
      </c>
      <c r="AB69" t="str">
        <f>IFERROR(__xludf.DUMMYFUNCTION("""COMPUTED_VALUE"""),"Good")</f>
        <v>Good</v>
      </c>
      <c r="AC69" t="str">
        <f>IFERROR(__xludf.DUMMYFUNCTION("""COMPUTED_VALUE"""),"Good")</f>
        <v>Good</v>
      </c>
      <c r="AE69" s="11"/>
      <c r="AF69" t="s">
        <v>13</v>
      </c>
      <c r="AG69" s="17" t="s">
        <v>18</v>
      </c>
      <c r="AH69" s="12"/>
      <c r="AI69" s="12" t="s">
        <v>145</v>
      </c>
      <c r="AJ69" s="19" t="s">
        <v>146</v>
      </c>
      <c r="AK69" s="20" t="str">
        <f>HYPERLINK("https://docs.google.com/document/d/1-UbK8hMJUW_5g5Rku1FY9ewcvvUW5AHNrwKQATrchv4/edit?usp=drivesdk","Silas Tanner - 5/29/2018 9:30 AM")</f>
        <v>Silas Tanner - 5/29/2018 9:30 AM</v>
      </c>
      <c r="AL69" s="12" t="s">
        <v>147</v>
      </c>
    </row>
    <row r="70">
      <c r="A70" s="10">
        <f>IFERROR(__xludf.DUMMYFUNCTION("""COMPUTED_VALUE"""),43250.39838402778)</f>
        <v>43250.39838</v>
      </c>
      <c r="B70" s="11" t="str">
        <f>IFERROR(__xludf.DUMMYFUNCTION("""COMPUTED_VALUE"""),"James Tomazinis")</f>
        <v>James Tomazinis</v>
      </c>
      <c r="C70" t="str">
        <f>IFERROR(__xludf.DUMMYFUNCTION("""COMPUTED_VALUE"""),"james.tomazinis@floridadep.gov")</f>
        <v>james.tomazinis@floridadep.gov</v>
      </c>
      <c r="D70" t="str">
        <f>IFERROR(__xludf.DUMMYFUNCTION("""COMPUTED_VALUE"""),"Stewardship (Aquatic)")</f>
        <v>Stewardship (Aquatic)</v>
      </c>
      <c r="E70" t="str">
        <f>IFERROR(__xludf.DUMMYFUNCTION("""COMPUTED_VALUE"""),"dam")</f>
        <v>dam</v>
      </c>
      <c r="F70" s="13">
        <f>IFERROR(__xludf.DUMMYFUNCTION("""COMPUTED_VALUE"""),0.40625)</f>
        <v>0.40625</v>
      </c>
      <c r="G70" s="14">
        <f>IFERROR(__xludf.DUMMYFUNCTION("""COMPUTED_VALUE"""),43250.0)</f>
        <v>43250</v>
      </c>
      <c r="H70" t="str">
        <f>IFERROR(__xludf.DUMMYFUNCTION("""COMPUTED_VALUE"""),"Guana sample sites")</f>
        <v>Guana sample sites</v>
      </c>
      <c r="I70" s="15">
        <f>IFERROR(__xludf.DUMMYFUNCTION("""COMPUTED_VALUE"""),0.5416666666678793)</f>
        <v>0.5416666667</v>
      </c>
      <c r="J70" s="16"/>
      <c r="K70" t="str">
        <f>IFERROR(__xludf.DUMMYFUNCTION("""COMPUTED_VALUE"""),"Jon Boat FL0484NP DEP06819")</f>
        <v>Jon Boat FL0484NP DEP06819</v>
      </c>
      <c r="M70" t="str">
        <f>IFERROR(__xludf.DUMMYFUNCTION("""COMPUTED_VALUE"""),"Ford Explorer 2002 - DEP05465 (AP)")</f>
        <v>Ford Explorer 2002 - DEP05465 (AP)</v>
      </c>
      <c r="N70" t="str">
        <f>IFERROR(__xludf.DUMMYFUNCTION("""COMPUTED_VALUE"""),"Jimmy Tomazinis, (904) 547-0094")</f>
        <v>Jimmy Tomazinis, (904) 547-0094</v>
      </c>
      <c r="O70" t="str">
        <f>IFERROR(__xludf.DUMMYFUNCTION("""COMPUTED_VALUE"""),"Hunter Mathews")</f>
        <v>Hunter Mathews</v>
      </c>
      <c r="P70" t="str">
        <f>IFERROR(__xludf.DUMMYFUNCTION("""COMPUTED_VALUE"""),"Jimmy")</f>
        <v>Jimmy</v>
      </c>
      <c r="Q70" t="str">
        <f>IFERROR(__xludf.DUMMYFUNCTION("""COMPUTED_VALUE"""),"Good")</f>
        <v>Good</v>
      </c>
      <c r="R70" t="str">
        <f>IFERROR(__xludf.DUMMYFUNCTION("""COMPUTED_VALUE"""),"Good")</f>
        <v>Good</v>
      </c>
      <c r="S70" t="str">
        <f>IFERROR(__xludf.DUMMYFUNCTION("""COMPUTED_VALUE"""),"Good")</f>
        <v>Good</v>
      </c>
      <c r="T70" t="str">
        <f>IFERROR(__xludf.DUMMYFUNCTION("""COMPUTED_VALUE"""),"Good")</f>
        <v>Good</v>
      </c>
      <c r="U70" t="str">
        <f>IFERROR(__xludf.DUMMYFUNCTION("""COMPUTED_VALUE"""),"Good")</f>
        <v>Good</v>
      </c>
      <c r="V70" t="str">
        <f>IFERROR(__xludf.DUMMYFUNCTION("""COMPUTED_VALUE"""),"Good")</f>
        <v>Good</v>
      </c>
      <c r="W70" t="str">
        <f>IFERROR(__xludf.DUMMYFUNCTION("""COMPUTED_VALUE"""),"Good")</f>
        <v>Good</v>
      </c>
      <c r="X70" t="str">
        <f>IFERROR(__xludf.DUMMYFUNCTION("""COMPUTED_VALUE"""),"Good")</f>
        <v>Good</v>
      </c>
      <c r="Y70" t="str">
        <f>IFERROR(__xludf.DUMMYFUNCTION("""COMPUTED_VALUE"""),"Good")</f>
        <v>Good</v>
      </c>
      <c r="Z70" t="str">
        <f>IFERROR(__xludf.DUMMYFUNCTION("""COMPUTED_VALUE"""),"Good")</f>
        <v>Good</v>
      </c>
      <c r="AA70" t="str">
        <f>IFERROR(__xludf.DUMMYFUNCTION("""COMPUTED_VALUE"""),"Good")</f>
        <v>Good</v>
      </c>
      <c r="AB70" t="str">
        <f>IFERROR(__xludf.DUMMYFUNCTION("""COMPUTED_VALUE"""),"Good")</f>
        <v>Good</v>
      </c>
      <c r="AC70" t="str">
        <f>IFERROR(__xludf.DUMMYFUNCTION("""COMPUTED_VALUE"""),"Good")</f>
        <v>Good</v>
      </c>
      <c r="AE70" s="11"/>
      <c r="AF70" t="s">
        <v>32</v>
      </c>
      <c r="AG70" s="17" t="s">
        <v>18</v>
      </c>
      <c r="AH70" s="12"/>
      <c r="AI70" s="12" t="s">
        <v>148</v>
      </c>
      <c r="AJ70" s="19" t="s">
        <v>149</v>
      </c>
      <c r="AK70" s="20" t="str">
        <f>HYPERLINK("https://docs.google.com/document/d/1WsrMwbtq1vkTBudK_ew-NbpNttOyEo3T3Yuj3AdKLcs/edit?usp=drivesdk","James Tomazinis - 5/30/2018 9:45 AM")</f>
        <v>James Tomazinis - 5/30/2018 9:45 AM</v>
      </c>
      <c r="AL70" s="12" t="s">
        <v>150</v>
      </c>
    </row>
    <row r="71">
      <c r="A71" s="10">
        <f>IFERROR(__xludf.DUMMYFUNCTION("""COMPUTED_VALUE"""),43250.442842881945)</f>
        <v>43250.44284</v>
      </c>
      <c r="B71" s="11" t="str">
        <f>IFERROR(__xludf.DUMMYFUNCTION("""COMPUTED_VALUE"""),"Ben Mowbray")</f>
        <v>Ben Mowbray</v>
      </c>
      <c r="C71" t="str">
        <f>IFERROR(__xludf.DUMMYFUNCTION("""COMPUTED_VALUE"""),"ben.mowbray@dep.state.fl.us")</f>
        <v>ben.mowbray@dep.state.fl.us</v>
      </c>
      <c r="D71" t="str">
        <f>IFERROR(__xludf.DUMMYFUNCTION("""COMPUTED_VALUE"""),"Research")</f>
        <v>Research</v>
      </c>
      <c r="E71" t="str">
        <f>IFERROR(__xludf.DUMMYFUNCTION("""COMPUTED_VALUE"""),"Whitney Lab")</f>
        <v>Whitney Lab</v>
      </c>
      <c r="F71" s="13">
        <f>IFERROR(__xludf.DUMMYFUNCTION("""COMPUTED_VALUE"""),0.5)</f>
        <v>0.5</v>
      </c>
      <c r="G71" s="14">
        <f>IFERROR(__xludf.DUMMYFUNCTION("""COMPUTED_VALUE"""),43250.0)</f>
        <v>43250</v>
      </c>
      <c r="H71" t="str">
        <f>IFERROR(__xludf.DUMMYFUNCTION("""COMPUTED_VALUE"""),"Kimbro Sites")</f>
        <v>Kimbro Sites</v>
      </c>
      <c r="I71" s="15">
        <f>IFERROR(__xludf.DUMMYFUNCTION("""COMPUTED_VALUE"""),0.8055555555547471)</f>
        <v>0.8055555556</v>
      </c>
      <c r="J71" s="16">
        <f>IFERROR(__xludf.DUMMYFUNCTION("""COMPUTED_VALUE"""),43250.84722222222)</f>
        <v>43250.84722</v>
      </c>
      <c r="K71" t="str">
        <f>IFERROR(__xludf.DUMMYFUNCTION("""COMPUTED_VALUE"""),"23ft Skiff (Bertha) FL7972LJ DEP07613, Kayak(s)")</f>
        <v>23ft Skiff (Bertha) FL7972LJ DEP07613, Kayak(s)</v>
      </c>
      <c r="L71">
        <f>IFERROR(__xludf.DUMMYFUNCTION("""COMPUTED_VALUE"""),2.0)</f>
        <v>2</v>
      </c>
      <c r="M71" t="str">
        <f>IFERROR(__xludf.DUMMYFUNCTION("""COMPUTED_VALUE"""),"Ford F150 2008 - DEP18041 (SWMP Thing)")</f>
        <v>Ford F150 2008 - DEP18041 (SWMP Thing)</v>
      </c>
      <c r="N71" t="str">
        <f>IFERROR(__xludf.DUMMYFUNCTION("""COMPUTED_VALUE"""),"Pam Marcum, (480) 332-5414, Ben Mowbray, (407) 962-8782")</f>
        <v>Pam Marcum, (480) 332-5414, Ben Mowbray, (407) 962-8782</v>
      </c>
      <c r="O71" t="str">
        <f>IFERROR(__xludf.DUMMYFUNCTION("""COMPUTED_VALUE"""),"Kimbro Team")</f>
        <v>Kimbro Team</v>
      </c>
      <c r="P71" t="str">
        <f>IFERROR(__xludf.DUMMYFUNCTION("""COMPUTED_VALUE"""),"Ben")</f>
        <v>Ben</v>
      </c>
      <c r="Q71" t="str">
        <f>IFERROR(__xludf.DUMMYFUNCTION("""COMPUTED_VALUE"""),"Good")</f>
        <v>Good</v>
      </c>
      <c r="R71" t="str">
        <f>IFERROR(__xludf.DUMMYFUNCTION("""COMPUTED_VALUE"""),"Good")</f>
        <v>Good</v>
      </c>
      <c r="S71" t="str">
        <f>IFERROR(__xludf.DUMMYFUNCTION("""COMPUTED_VALUE"""),"Good")</f>
        <v>Good</v>
      </c>
      <c r="T71" t="str">
        <f>IFERROR(__xludf.DUMMYFUNCTION("""COMPUTED_VALUE"""),"Good")</f>
        <v>Good</v>
      </c>
      <c r="U71" t="str">
        <f>IFERROR(__xludf.DUMMYFUNCTION("""COMPUTED_VALUE"""),"Good")</f>
        <v>Good</v>
      </c>
      <c r="V71" t="str">
        <f>IFERROR(__xludf.DUMMYFUNCTION("""COMPUTED_VALUE"""),"Good")</f>
        <v>Good</v>
      </c>
      <c r="W71" t="str">
        <f>IFERROR(__xludf.DUMMYFUNCTION("""COMPUTED_VALUE"""),"Good")</f>
        <v>Good</v>
      </c>
      <c r="X71" t="str">
        <f>IFERROR(__xludf.DUMMYFUNCTION("""COMPUTED_VALUE"""),"Good")</f>
        <v>Good</v>
      </c>
      <c r="Y71" t="str">
        <f>IFERROR(__xludf.DUMMYFUNCTION("""COMPUTED_VALUE"""),"Good")</f>
        <v>Good</v>
      </c>
      <c r="Z71" t="str">
        <f>IFERROR(__xludf.DUMMYFUNCTION("""COMPUTED_VALUE"""),"Good")</f>
        <v>Good</v>
      </c>
      <c r="AA71" t="str">
        <f>IFERROR(__xludf.DUMMYFUNCTION("""COMPUTED_VALUE"""),"Good")</f>
        <v>Good</v>
      </c>
      <c r="AB71" t="str">
        <f>IFERROR(__xludf.DUMMYFUNCTION("""COMPUTED_VALUE"""),"Good")</f>
        <v>Good</v>
      </c>
      <c r="AC71" t="str">
        <f>IFERROR(__xludf.DUMMYFUNCTION("""COMPUTED_VALUE"""),"Good")</f>
        <v>Good</v>
      </c>
      <c r="AE71" s="11"/>
      <c r="AF71" t="s">
        <v>13</v>
      </c>
      <c r="AG71" s="17" t="s">
        <v>18</v>
      </c>
      <c r="AH71" s="12"/>
      <c r="AI71" s="12" t="s">
        <v>151</v>
      </c>
      <c r="AJ71" s="19" t="s">
        <v>152</v>
      </c>
      <c r="AK71" s="20" t="str">
        <f>HYPERLINK("https://docs.google.com/document/d/1QBVhj8T9wlvA9MtmpE0nIHEBCK43PFkjVDTBjO99NHM/edit?usp=drivesdk","Ben Mowbray - 5/30/2018 12:00 PM")</f>
        <v>Ben Mowbray - 5/30/2018 12:00 PM</v>
      </c>
      <c r="AL71" s="12" t="s">
        <v>153</v>
      </c>
    </row>
    <row r="72">
      <c r="A72" s="10">
        <f>IFERROR(__xludf.DUMMYFUNCTION("""COMPUTED_VALUE"""),43250.488843298604)</f>
        <v>43250.48884</v>
      </c>
      <c r="B72" s="11" t="str">
        <f>IFERROR(__xludf.DUMMYFUNCTION("""COMPUTED_VALUE"""),"Silas Tanner")</f>
        <v>Silas Tanner</v>
      </c>
      <c r="C72" t="str">
        <f>IFERROR(__xludf.DUMMYFUNCTION("""COMPUTED_VALUE"""),"silas.tanner@floridadep.gov")</f>
        <v>silas.tanner@floridadep.gov</v>
      </c>
      <c r="D72" t="str">
        <f>IFERROR(__xludf.DUMMYFUNCTION("""COMPUTED_VALUE"""),"Research")</f>
        <v>Research</v>
      </c>
      <c r="E72" t="str">
        <f>IFERROR(__xludf.DUMMYFUNCTION("""COMPUTED_VALUE"""),"Vilano Ramp; Green Rd")</f>
        <v>Vilano Ramp; Green Rd</v>
      </c>
      <c r="F72" s="13">
        <f>IFERROR(__xludf.DUMMYFUNCTION("""COMPUTED_VALUE"""),0.3645833333321207)</f>
        <v>0.3645833333</v>
      </c>
      <c r="G72" s="14">
        <f>IFERROR(__xludf.DUMMYFUNCTION("""COMPUTED_VALUE"""),43251.0)</f>
        <v>43251</v>
      </c>
      <c r="H72" t="str">
        <f>IFERROR(__xludf.DUMMYFUNCTION("""COMPUTED_VALUE"""),"ICW - SWMP sites")</f>
        <v>ICW - SWMP sites</v>
      </c>
      <c r="I72" s="15">
        <f>IFERROR(__xludf.DUMMYFUNCTION("""COMPUTED_VALUE"""),0.5833333333321207)</f>
        <v>0.5833333333</v>
      </c>
      <c r="J72" s="16">
        <f>IFERROR(__xludf.DUMMYFUNCTION("""COMPUTED_VALUE"""),43251.60416666667)</f>
        <v>43251.60417</v>
      </c>
      <c r="K72" t="str">
        <f>IFERROR(__xludf.DUMMYFUNCTION("""COMPUTED_VALUE"""),"20ft Sea Ark FL5351SJ UNF 2015")</f>
        <v>20ft Sea Ark FL5351SJ UNF 2015</v>
      </c>
      <c r="M72" t="str">
        <f>IFERROR(__xludf.DUMMYFUNCTION("""COMPUTED_VALUE"""),"Ford F250 2017 (Moby Dix) - DEP0021578")</f>
        <v>Ford F250 2017 (Moby Dix) - DEP0021578</v>
      </c>
      <c r="N72" t="str">
        <f>IFERROR(__xludf.DUMMYFUNCTION("""COMPUTED_VALUE"""),"Silas Tanner, (904) 483-8423, Remo Mondazi")</f>
        <v>Silas Tanner, (904) 483-8423, Remo Mondazi</v>
      </c>
      <c r="P72" t="str">
        <f>IFERROR(__xludf.DUMMYFUNCTION("""COMPUTED_VALUE"""),"Silas Tanner")</f>
        <v>Silas Tanner</v>
      </c>
      <c r="Q72" t="str">
        <f>IFERROR(__xludf.DUMMYFUNCTION("""COMPUTED_VALUE"""),"Good")</f>
        <v>Good</v>
      </c>
      <c r="R72" t="str">
        <f>IFERROR(__xludf.DUMMYFUNCTION("""COMPUTED_VALUE"""),"Good")</f>
        <v>Good</v>
      </c>
      <c r="S72" t="str">
        <f>IFERROR(__xludf.DUMMYFUNCTION("""COMPUTED_VALUE"""),"Good")</f>
        <v>Good</v>
      </c>
      <c r="T72" t="str">
        <f>IFERROR(__xludf.DUMMYFUNCTION("""COMPUTED_VALUE"""),"Good")</f>
        <v>Good</v>
      </c>
      <c r="U72" t="str">
        <f>IFERROR(__xludf.DUMMYFUNCTION("""COMPUTED_VALUE"""),"Good")</f>
        <v>Good</v>
      </c>
      <c r="V72" t="str">
        <f>IFERROR(__xludf.DUMMYFUNCTION("""COMPUTED_VALUE"""),"Good")</f>
        <v>Good</v>
      </c>
      <c r="W72" t="str">
        <f>IFERROR(__xludf.DUMMYFUNCTION("""COMPUTED_VALUE"""),"Good")</f>
        <v>Good</v>
      </c>
      <c r="X72" t="str">
        <f>IFERROR(__xludf.DUMMYFUNCTION("""COMPUTED_VALUE"""),"Good")</f>
        <v>Good</v>
      </c>
      <c r="Y72" t="str">
        <f>IFERROR(__xludf.DUMMYFUNCTION("""COMPUTED_VALUE"""),"Good")</f>
        <v>Good</v>
      </c>
      <c r="Z72" t="str">
        <f>IFERROR(__xludf.DUMMYFUNCTION("""COMPUTED_VALUE"""),"Good")</f>
        <v>Good</v>
      </c>
      <c r="AA72" t="str">
        <f>IFERROR(__xludf.DUMMYFUNCTION("""COMPUTED_VALUE"""),"Good")</f>
        <v>Good</v>
      </c>
      <c r="AB72" t="str">
        <f>IFERROR(__xludf.DUMMYFUNCTION("""COMPUTED_VALUE"""),"Good")</f>
        <v>Good</v>
      </c>
      <c r="AC72" t="str">
        <f>IFERROR(__xludf.DUMMYFUNCTION("""COMPUTED_VALUE"""),"Good")</f>
        <v>Good</v>
      </c>
      <c r="AE72" s="11"/>
      <c r="AF72" t="s">
        <v>13</v>
      </c>
      <c r="AG72" s="17" t="s">
        <v>18</v>
      </c>
      <c r="AH72" s="12"/>
      <c r="AI72" s="12" t="s">
        <v>154</v>
      </c>
      <c r="AJ72" s="19" t="s">
        <v>155</v>
      </c>
      <c r="AK72" s="20" t="str">
        <f>HYPERLINK("https://docs.google.com/document/d/18xsY3dGulHPGl_CAhmxP1foemiasC677-RRywmPh4mc/edit?usp=drivesdk","Silas Tanner - 5/31/2018 8:45 AM")</f>
        <v>Silas Tanner - 5/31/2018 8:45 AM</v>
      </c>
      <c r="AL72" s="12" t="s">
        <v>156</v>
      </c>
    </row>
    <row r="73">
      <c r="A73" s="10">
        <f>IFERROR(__xludf.DUMMYFUNCTION("""COMPUTED_VALUE"""),43251.47559137731)</f>
        <v>43251.47559</v>
      </c>
      <c r="B73" s="11" t="str">
        <f>IFERROR(__xludf.DUMMYFUNCTION("""COMPUTED_VALUE"""),"Ben Mowbray")</f>
        <v>Ben Mowbray</v>
      </c>
      <c r="C73" t="str">
        <f>IFERROR(__xludf.DUMMYFUNCTION("""COMPUTED_VALUE"""),"ben.mowbray@dep.state.fl.us")</f>
        <v>ben.mowbray@dep.state.fl.us</v>
      </c>
      <c r="D73" t="str">
        <f>IFERROR(__xludf.DUMMYFUNCTION("""COMPUTED_VALUE"""),"Research")</f>
        <v>Research</v>
      </c>
      <c r="E73" t="str">
        <f>IFERROR(__xludf.DUMMYFUNCTION("""COMPUTED_VALUE"""),"Green Rd.")</f>
        <v>Green Rd.</v>
      </c>
      <c r="F73" s="13">
        <f>IFERROR(__xludf.DUMMYFUNCTION("""COMPUTED_VALUE"""),0.5416666666678793)</f>
        <v>0.5416666667</v>
      </c>
      <c r="G73" s="14">
        <f>IFERROR(__xludf.DUMMYFUNCTION("""COMPUTED_VALUE"""),43251.0)</f>
        <v>43251</v>
      </c>
      <c r="H73" t="str">
        <f>IFERROR(__xludf.DUMMYFUNCTION("""COMPUTED_VALUE"""),"Kimbro Sites")</f>
        <v>Kimbro Sites</v>
      </c>
      <c r="I73" s="15">
        <f>IFERROR(__xludf.DUMMYFUNCTION("""COMPUTED_VALUE"""),0.7916666666678793)</f>
        <v>0.7916666667</v>
      </c>
      <c r="J73" s="16">
        <f>IFERROR(__xludf.DUMMYFUNCTION("""COMPUTED_VALUE"""),43251.83333333333)</f>
        <v>43251.83333</v>
      </c>
      <c r="K73" t="str">
        <f>IFERROR(__xludf.DUMMYFUNCTION("""COMPUTED_VALUE"""),"23ft Skiff (Bertha) FL7972LJ DEP07613, Kayak(s)")</f>
        <v>23ft Skiff (Bertha) FL7972LJ DEP07613, Kayak(s)</v>
      </c>
      <c r="L73">
        <f>IFERROR(__xludf.DUMMYFUNCTION("""COMPUTED_VALUE"""),2.0)</f>
        <v>2</v>
      </c>
      <c r="M73" t="str">
        <f>IFERROR(__xludf.DUMMYFUNCTION("""COMPUTED_VALUE"""),"Ford F150 2008 - DEP18041 (SWMP Thing)")</f>
        <v>Ford F150 2008 - DEP18041 (SWMP Thing)</v>
      </c>
      <c r="N73" t="str">
        <f>IFERROR(__xludf.DUMMYFUNCTION("""COMPUTED_VALUE"""),"Pam Marcum, (480) 332-5414, Ben Mowbray, (407) 962-8782")</f>
        <v>Pam Marcum, (480) 332-5414, Ben Mowbray, (407) 962-8782</v>
      </c>
      <c r="O73" t="str">
        <f>IFERROR(__xludf.DUMMYFUNCTION("""COMPUTED_VALUE"""),"Craig + Kimbro's team")</f>
        <v>Craig + Kimbro's team</v>
      </c>
      <c r="P73" t="str">
        <f>IFERROR(__xludf.DUMMYFUNCTION("""COMPUTED_VALUE"""),"Ben")</f>
        <v>Ben</v>
      </c>
      <c r="Q73" t="str">
        <f>IFERROR(__xludf.DUMMYFUNCTION("""COMPUTED_VALUE"""),"Good")</f>
        <v>Good</v>
      </c>
      <c r="R73" t="str">
        <f>IFERROR(__xludf.DUMMYFUNCTION("""COMPUTED_VALUE"""),"Good")</f>
        <v>Good</v>
      </c>
      <c r="S73" t="str">
        <f>IFERROR(__xludf.DUMMYFUNCTION("""COMPUTED_VALUE"""),"Good")</f>
        <v>Good</v>
      </c>
      <c r="T73" t="str">
        <f>IFERROR(__xludf.DUMMYFUNCTION("""COMPUTED_VALUE"""),"Good")</f>
        <v>Good</v>
      </c>
      <c r="U73" t="str">
        <f>IFERROR(__xludf.DUMMYFUNCTION("""COMPUTED_VALUE"""),"Good")</f>
        <v>Good</v>
      </c>
      <c r="V73" t="str">
        <f>IFERROR(__xludf.DUMMYFUNCTION("""COMPUTED_VALUE"""),"Good")</f>
        <v>Good</v>
      </c>
      <c r="W73" t="str">
        <f>IFERROR(__xludf.DUMMYFUNCTION("""COMPUTED_VALUE"""),"Good")</f>
        <v>Good</v>
      </c>
      <c r="X73" t="str">
        <f>IFERROR(__xludf.DUMMYFUNCTION("""COMPUTED_VALUE"""),"Good")</f>
        <v>Good</v>
      </c>
      <c r="Y73" t="str">
        <f>IFERROR(__xludf.DUMMYFUNCTION("""COMPUTED_VALUE"""),"Good")</f>
        <v>Good</v>
      </c>
      <c r="Z73" t="str">
        <f>IFERROR(__xludf.DUMMYFUNCTION("""COMPUTED_VALUE"""),"Good")</f>
        <v>Good</v>
      </c>
      <c r="AA73" t="str">
        <f>IFERROR(__xludf.DUMMYFUNCTION("""COMPUTED_VALUE"""),"Good")</f>
        <v>Good</v>
      </c>
      <c r="AB73" t="str">
        <f>IFERROR(__xludf.DUMMYFUNCTION("""COMPUTED_VALUE"""),"Good")</f>
        <v>Good</v>
      </c>
      <c r="AC73" t="str">
        <f>IFERROR(__xludf.DUMMYFUNCTION("""COMPUTED_VALUE"""),"Good")</f>
        <v>Good</v>
      </c>
      <c r="AE73" s="11"/>
      <c r="AF73" t="s">
        <v>13</v>
      </c>
      <c r="AG73" s="17" t="s">
        <v>43</v>
      </c>
      <c r="AH73" s="12"/>
      <c r="AI73" s="12" t="s">
        <v>157</v>
      </c>
      <c r="AJ73" s="19" t="s">
        <v>158</v>
      </c>
      <c r="AK73" s="20" t="str">
        <f>HYPERLINK("https://docs.google.com/document/d/1GGxNyt9MBnblp9Zx3L_z8an_bzsgGlS6W15cDVnm3fk/edit?usp=drivesdk","Ben Mowbray - 5/31/2018 1:00 PM")</f>
        <v>Ben Mowbray - 5/31/2018 1:00 PM</v>
      </c>
      <c r="AL73" s="12" t="s">
        <v>159</v>
      </c>
    </row>
    <row r="74">
      <c r="A74" s="10">
        <f>IFERROR(__xludf.DUMMYFUNCTION("""COMPUTED_VALUE"""),43252.41232859954)</f>
        <v>43252.41233</v>
      </c>
      <c r="B74" s="11" t="str">
        <f>IFERROR(__xludf.DUMMYFUNCTION("""COMPUTED_VALUE"""),"Pamela Marcum")</f>
        <v>Pamela Marcum</v>
      </c>
      <c r="C74" t="str">
        <f>IFERROR(__xludf.DUMMYFUNCTION("""COMPUTED_VALUE"""),"Pamela.Marcum@dep.state.fl.us")</f>
        <v>Pamela.Marcum@dep.state.fl.us</v>
      </c>
      <c r="D74" t="str">
        <f>IFERROR(__xludf.DUMMYFUNCTION("""COMPUTED_VALUE"""),"Research")</f>
        <v>Research</v>
      </c>
      <c r="E74" t="str">
        <f>IFERROR(__xludf.DUMMYFUNCTION("""COMPUTED_VALUE"""),"Whitney Lab")</f>
        <v>Whitney Lab</v>
      </c>
      <c r="F74" s="13">
        <f>IFERROR(__xludf.DUMMYFUNCTION("""COMPUTED_VALUE"""),0.4583333333321207)</f>
        <v>0.4583333333</v>
      </c>
      <c r="G74" s="14">
        <f>IFERROR(__xludf.DUMMYFUNCTION("""COMPUTED_VALUE"""),43252.0)</f>
        <v>43252</v>
      </c>
      <c r="H74" t="str">
        <f>IFERROR(__xludf.DUMMYFUNCTION("""COMPUTED_VALUE"""),"Fort Matanzas area")</f>
        <v>Fort Matanzas area</v>
      </c>
      <c r="I74" s="15">
        <f>IFERROR(__xludf.DUMMYFUNCTION("""COMPUTED_VALUE"""),0.6666666666678793)</f>
        <v>0.6666666667</v>
      </c>
      <c r="J74" s="16">
        <f>IFERROR(__xludf.DUMMYFUNCTION("""COMPUTED_VALUE"""),43253.70833333333)</f>
        <v>43253.70833</v>
      </c>
      <c r="K74" t="str">
        <f>IFERROR(__xludf.DUMMYFUNCTION("""COMPUTED_VALUE"""),"20ft Sea Ark FL5351SJ UNF 2015")</f>
        <v>20ft Sea Ark FL5351SJ UNF 2015</v>
      </c>
      <c r="M74" t="str">
        <f>IFERROR(__xludf.DUMMYFUNCTION("""COMPUTED_VALUE"""),"Ford F150 2008 - DEP18041 (SWMP Thing)")</f>
        <v>Ford F150 2008 - DEP18041 (SWMP Thing)</v>
      </c>
      <c r="N74" t="str">
        <f>IFERROR(__xludf.DUMMYFUNCTION("""COMPUTED_VALUE"""),"Pam Marcum, (480) 332-5414")</f>
        <v>Pam Marcum, (480) 332-5414</v>
      </c>
      <c r="O74" t="str">
        <f>IFERROR(__xludf.DUMMYFUNCTION("""COMPUTED_VALUE"""),"Tricia Kaiser, Eben Broadbent")</f>
        <v>Tricia Kaiser, Eben Broadbent</v>
      </c>
      <c r="P74" t="str">
        <f>IFERROR(__xludf.DUMMYFUNCTION("""COMPUTED_VALUE"""),"Pam Marcum")</f>
        <v>Pam Marcum</v>
      </c>
      <c r="Q74" t="str">
        <f>IFERROR(__xludf.DUMMYFUNCTION("""COMPUTED_VALUE"""),"Good")</f>
        <v>Good</v>
      </c>
      <c r="R74" t="str">
        <f>IFERROR(__xludf.DUMMYFUNCTION("""COMPUTED_VALUE"""),"Good")</f>
        <v>Good</v>
      </c>
      <c r="S74" t="str">
        <f>IFERROR(__xludf.DUMMYFUNCTION("""COMPUTED_VALUE"""),"Good")</f>
        <v>Good</v>
      </c>
      <c r="T74" t="str">
        <f>IFERROR(__xludf.DUMMYFUNCTION("""COMPUTED_VALUE"""),"Good")</f>
        <v>Good</v>
      </c>
      <c r="U74" t="str">
        <f>IFERROR(__xludf.DUMMYFUNCTION("""COMPUTED_VALUE"""),"Good")</f>
        <v>Good</v>
      </c>
      <c r="V74" t="str">
        <f>IFERROR(__xludf.DUMMYFUNCTION("""COMPUTED_VALUE"""),"Good")</f>
        <v>Good</v>
      </c>
      <c r="W74" t="str">
        <f>IFERROR(__xludf.DUMMYFUNCTION("""COMPUTED_VALUE"""),"Good")</f>
        <v>Good</v>
      </c>
      <c r="X74" t="str">
        <f>IFERROR(__xludf.DUMMYFUNCTION("""COMPUTED_VALUE"""),"Good")</f>
        <v>Good</v>
      </c>
      <c r="Y74" t="str">
        <f>IFERROR(__xludf.DUMMYFUNCTION("""COMPUTED_VALUE"""),"Good")</f>
        <v>Good</v>
      </c>
      <c r="Z74" t="str">
        <f>IFERROR(__xludf.DUMMYFUNCTION("""COMPUTED_VALUE"""),"Good")</f>
        <v>Good</v>
      </c>
      <c r="AA74" t="str">
        <f>IFERROR(__xludf.DUMMYFUNCTION("""COMPUTED_VALUE"""),"Good")</f>
        <v>Good</v>
      </c>
      <c r="AB74" t="str">
        <f>IFERROR(__xludf.DUMMYFUNCTION("""COMPUTED_VALUE"""),"Good")</f>
        <v>Good</v>
      </c>
      <c r="AC74" t="str">
        <f>IFERROR(__xludf.DUMMYFUNCTION("""COMPUTED_VALUE"""),"Good")</f>
        <v>Good</v>
      </c>
      <c r="AE74" s="11"/>
      <c r="AF74" t="s">
        <v>13</v>
      </c>
      <c r="AG74" s="17" t="s">
        <v>43</v>
      </c>
      <c r="AH74" s="12"/>
      <c r="AI74" s="12" t="s">
        <v>160</v>
      </c>
      <c r="AJ74" s="19" t="s">
        <v>161</v>
      </c>
      <c r="AK74" s="20" t="str">
        <f>HYPERLINK("https://docs.google.com/document/d/1Meihg5Jrur5EeX5nc6SpgFu2CqSqHvOVRaDjMu8Kzjw/edit?usp=drivesdk","Pamela Marcum - 6/1/2018 11:00 AM")</f>
        <v>Pamela Marcum - 6/1/2018 11:00 AM</v>
      </c>
      <c r="AL74" s="12" t="s">
        <v>162</v>
      </c>
    </row>
    <row r="75">
      <c r="A75" s="10">
        <f>IFERROR(__xludf.DUMMYFUNCTION("""COMPUTED_VALUE"""),43252.97022325232)</f>
        <v>43252.97022</v>
      </c>
      <c r="B75" s="11" t="str">
        <f>IFERROR(__xludf.DUMMYFUNCTION("""COMPUTED_VALUE"""),"Pamela Marcum")</f>
        <v>Pamela Marcum</v>
      </c>
      <c r="C75" t="str">
        <f>IFERROR(__xludf.DUMMYFUNCTION("""COMPUTED_VALUE"""),"Pamela.Marcum@dep.state.fl.us")</f>
        <v>Pamela.Marcum@dep.state.fl.us</v>
      </c>
      <c r="D75" t="str">
        <f>IFERROR(__xludf.DUMMYFUNCTION("""COMPUTED_VALUE"""),"Research")</f>
        <v>Research</v>
      </c>
      <c r="E75" t="str">
        <f>IFERROR(__xludf.DUMMYFUNCTION("""COMPUTED_VALUE"""),"Douglas Crane Park Shore Dr. ")</f>
        <v>Douglas Crane Park Shore Dr. </v>
      </c>
      <c r="F75" s="13">
        <f>IFERROR(__xludf.DUMMYFUNCTION("""COMPUTED_VALUE"""),0.25)</f>
        <v>0.25</v>
      </c>
      <c r="G75" s="14">
        <f>IFERROR(__xludf.DUMMYFUNCTION("""COMPUTED_VALUE"""),43253.0)</f>
        <v>43253</v>
      </c>
      <c r="H75" t="str">
        <f>IFERROR(__xludf.DUMMYFUNCTION("""COMPUTED_VALUE"""),"Spat sites")</f>
        <v>Spat sites</v>
      </c>
      <c r="I75" s="15">
        <f>IFERROR(__xludf.DUMMYFUNCTION("""COMPUTED_VALUE"""),0.5)</f>
        <v>0.5</v>
      </c>
      <c r="J75" s="16">
        <f>IFERROR(__xludf.DUMMYFUNCTION("""COMPUTED_VALUE"""),43252.54166666667)</f>
        <v>43252.54167</v>
      </c>
      <c r="K75" t="str">
        <f>IFERROR(__xludf.DUMMYFUNCTION("""COMPUTED_VALUE"""),"20ft Sea Ark FL5351SJ UNF 2015")</f>
        <v>20ft Sea Ark FL5351SJ UNF 2015</v>
      </c>
      <c r="M75" t="str">
        <f>IFERROR(__xludf.DUMMYFUNCTION("""COMPUTED_VALUE"""),"Ford F150 2008 - DEP18041 (SWMP Thing)")</f>
        <v>Ford F150 2008 - DEP18041 (SWMP Thing)</v>
      </c>
      <c r="N75" t="str">
        <f>IFERROR(__xludf.DUMMYFUNCTION("""COMPUTED_VALUE"""),"Pam Marcum, (480) 332-5414")</f>
        <v>Pam Marcum, (480) 332-5414</v>
      </c>
      <c r="O75" t="str">
        <f>IFERROR(__xludf.DUMMYFUNCTION("""COMPUTED_VALUE"""),"David Kimbro, Rodrigo")</f>
        <v>David Kimbro, Rodrigo</v>
      </c>
      <c r="P75" t="str">
        <f>IFERROR(__xludf.DUMMYFUNCTION("""COMPUTED_VALUE"""),"Pam")</f>
        <v>Pam</v>
      </c>
      <c r="Q75" t="str">
        <f>IFERROR(__xludf.DUMMYFUNCTION("""COMPUTED_VALUE"""),"Good")</f>
        <v>Good</v>
      </c>
      <c r="R75" t="str">
        <f>IFERROR(__xludf.DUMMYFUNCTION("""COMPUTED_VALUE"""),"Good")</f>
        <v>Good</v>
      </c>
      <c r="S75" t="str">
        <f>IFERROR(__xludf.DUMMYFUNCTION("""COMPUTED_VALUE"""),"Good")</f>
        <v>Good</v>
      </c>
      <c r="T75" t="str">
        <f>IFERROR(__xludf.DUMMYFUNCTION("""COMPUTED_VALUE"""),"Good")</f>
        <v>Good</v>
      </c>
      <c r="U75" t="str">
        <f>IFERROR(__xludf.DUMMYFUNCTION("""COMPUTED_VALUE"""),"Good")</f>
        <v>Good</v>
      </c>
      <c r="V75" t="str">
        <f>IFERROR(__xludf.DUMMYFUNCTION("""COMPUTED_VALUE"""),"Good")</f>
        <v>Good</v>
      </c>
      <c r="W75" t="str">
        <f>IFERROR(__xludf.DUMMYFUNCTION("""COMPUTED_VALUE"""),"Good")</f>
        <v>Good</v>
      </c>
      <c r="X75" t="str">
        <f>IFERROR(__xludf.DUMMYFUNCTION("""COMPUTED_VALUE"""),"Good")</f>
        <v>Good</v>
      </c>
      <c r="Y75" t="str">
        <f>IFERROR(__xludf.DUMMYFUNCTION("""COMPUTED_VALUE"""),"Good")</f>
        <v>Good</v>
      </c>
      <c r="Z75" t="str">
        <f>IFERROR(__xludf.DUMMYFUNCTION("""COMPUTED_VALUE"""),"Good")</f>
        <v>Good</v>
      </c>
      <c r="AA75" t="str">
        <f>IFERROR(__xludf.DUMMYFUNCTION("""COMPUTED_VALUE"""),"Good")</f>
        <v>Good</v>
      </c>
      <c r="AB75" t="str">
        <f>IFERROR(__xludf.DUMMYFUNCTION("""COMPUTED_VALUE"""),"Good")</f>
        <v>Good</v>
      </c>
      <c r="AC75" t="str">
        <f>IFERROR(__xludf.DUMMYFUNCTION("""COMPUTED_VALUE"""),"Good")</f>
        <v>Good</v>
      </c>
      <c r="AE75" s="11"/>
      <c r="AF75" t="s">
        <v>13</v>
      </c>
      <c r="AG75" s="17" t="s">
        <v>43</v>
      </c>
      <c r="AH75" s="12"/>
      <c r="AI75" s="12" t="s">
        <v>163</v>
      </c>
      <c r="AJ75" s="19" t="s">
        <v>164</v>
      </c>
      <c r="AK75" s="20" t="str">
        <f>HYPERLINK("https://docs.google.com/document/d/1_BU8DyN37-pP7dXayBuVa2UgN4SSVZhJ2PswBb3iWpA/edit?usp=drivesdk","Pamela Marcum - 6/2/2018 6:00 AM")</f>
        <v>Pamela Marcum - 6/2/2018 6:00 AM</v>
      </c>
      <c r="AL75" s="12" t="s">
        <v>165</v>
      </c>
    </row>
    <row r="76">
      <c r="A76" s="10">
        <f>IFERROR(__xludf.DUMMYFUNCTION("""COMPUTED_VALUE"""),43255.50650001157)</f>
        <v>43255.5065</v>
      </c>
      <c r="B76" s="11" t="str">
        <f>IFERROR(__xludf.DUMMYFUNCTION("""COMPUTED_VALUE"""),"Kenneth Rainer")</f>
        <v>Kenneth Rainer</v>
      </c>
      <c r="C76" t="str">
        <f>IFERROR(__xludf.DUMMYFUNCTION("""COMPUTED_VALUE"""),"Kenneth.Rainer@dep.state.fl.us")</f>
        <v>Kenneth.Rainer@dep.state.fl.us</v>
      </c>
      <c r="D76" t="str">
        <f>IFERROR(__xludf.DUMMYFUNCTION("""COMPUTED_VALUE"""),"Education")</f>
        <v>Education</v>
      </c>
      <c r="E76" t="str">
        <f>IFERROR(__xludf.DUMMYFUNCTION("""COMPUTED_VALUE"""),"Green Road Boat Ramp")</f>
        <v>Green Road Boat Ramp</v>
      </c>
      <c r="F76" s="13">
        <f>IFERROR(__xludf.DUMMYFUNCTION("""COMPUTED_VALUE"""),0.4166666666678793)</f>
        <v>0.4166666667</v>
      </c>
      <c r="G76" s="14">
        <f>IFERROR(__xludf.DUMMYFUNCTION("""COMPUTED_VALUE"""),43256.0)</f>
        <v>43256</v>
      </c>
      <c r="H76" t="str">
        <f>IFERROR(__xludf.DUMMYFUNCTION("""COMPUTED_VALUE"""),"Jason's Creek/ Matanzas Inlet")</f>
        <v>Jason's Creek/ Matanzas Inlet</v>
      </c>
      <c r="I76" s="15">
        <f>IFERROR(__xludf.DUMMYFUNCTION("""COMPUTED_VALUE"""),0.6458333333321207)</f>
        <v>0.6458333333</v>
      </c>
      <c r="J76" s="16">
        <f>IFERROR(__xludf.DUMMYFUNCTION("""COMPUTED_VALUE"""),43257.64583333333)</f>
        <v>43257.64583</v>
      </c>
      <c r="K76" t="str">
        <f>IFERROR(__xludf.DUMMYFUNCTION("""COMPUTED_VALUE"""),"23ft Skiff (Bertha) FL7972LJ DEP07613, Kayak(s)")</f>
        <v>23ft Skiff (Bertha) FL7972LJ DEP07613, Kayak(s)</v>
      </c>
      <c r="L76">
        <f>IFERROR(__xludf.DUMMYFUNCTION("""COMPUTED_VALUE"""),6.0)</f>
        <v>6</v>
      </c>
      <c r="M76" t="str">
        <f>IFERROR(__xludf.DUMMYFUNCTION("""COMPUTED_VALUE"""),"Ford F250 2017 (Moby Dix) - DEP0021578")</f>
        <v>Ford F250 2017 (Moby Dix) - DEP0021578</v>
      </c>
      <c r="N76" t="str">
        <f>IFERROR(__xludf.DUMMYFUNCTION("""COMPUTED_VALUE"""),"Kenneth Rainer, (936) 499-1853, Jimmy Tomazinis, (904) 547-0094")</f>
        <v>Kenneth Rainer, (936) 499-1853, Jimmy Tomazinis, (904) 547-0094</v>
      </c>
      <c r="O76" t="str">
        <f>IFERROR(__xludf.DUMMYFUNCTION("""COMPUTED_VALUE"""),"Gabriela Canas, (904) 891-9743, Emma Hanson, Summer Campers and Summer Camp Interns")</f>
        <v>Gabriela Canas, (904) 891-9743, Emma Hanson, Summer Campers and Summer Camp Interns</v>
      </c>
      <c r="P76" t="str">
        <f>IFERROR(__xludf.DUMMYFUNCTION("""COMPUTED_VALUE"""),"Kenneth Rainer")</f>
        <v>Kenneth Rainer</v>
      </c>
      <c r="Q76" t="str">
        <f>IFERROR(__xludf.DUMMYFUNCTION("""COMPUTED_VALUE"""),"Good")</f>
        <v>Good</v>
      </c>
      <c r="R76" t="str">
        <f>IFERROR(__xludf.DUMMYFUNCTION("""COMPUTED_VALUE"""),"Good")</f>
        <v>Good</v>
      </c>
      <c r="S76" t="str">
        <f>IFERROR(__xludf.DUMMYFUNCTION("""COMPUTED_VALUE"""),"Good")</f>
        <v>Good</v>
      </c>
      <c r="T76" t="str">
        <f>IFERROR(__xludf.DUMMYFUNCTION("""COMPUTED_VALUE"""),"Good")</f>
        <v>Good</v>
      </c>
      <c r="U76" t="str">
        <f>IFERROR(__xludf.DUMMYFUNCTION("""COMPUTED_VALUE"""),"Good")</f>
        <v>Good</v>
      </c>
      <c r="V76" t="str">
        <f>IFERROR(__xludf.DUMMYFUNCTION("""COMPUTED_VALUE"""),"Good")</f>
        <v>Good</v>
      </c>
      <c r="W76" t="str">
        <f>IFERROR(__xludf.DUMMYFUNCTION("""COMPUTED_VALUE"""),"Good")</f>
        <v>Good</v>
      </c>
      <c r="X76" t="str">
        <f>IFERROR(__xludf.DUMMYFUNCTION("""COMPUTED_VALUE"""),"Good")</f>
        <v>Good</v>
      </c>
      <c r="Y76" t="str">
        <f>IFERROR(__xludf.DUMMYFUNCTION("""COMPUTED_VALUE"""),"Good")</f>
        <v>Good</v>
      </c>
      <c r="Z76" t="str">
        <f>IFERROR(__xludf.DUMMYFUNCTION("""COMPUTED_VALUE"""),"Good")</f>
        <v>Good</v>
      </c>
      <c r="AA76" t="str">
        <f>IFERROR(__xludf.DUMMYFUNCTION("""COMPUTED_VALUE"""),"Good")</f>
        <v>Good</v>
      </c>
      <c r="AB76" t="str">
        <f>IFERROR(__xludf.DUMMYFUNCTION("""COMPUTED_VALUE"""),"Good")</f>
        <v>Good</v>
      </c>
      <c r="AC76" t="str">
        <f>IFERROR(__xludf.DUMMYFUNCTION("""COMPUTED_VALUE"""),"Good")</f>
        <v>Good</v>
      </c>
      <c r="AD76" t="str">
        <f>IFERROR(__xludf.DUMMYFUNCTION("""COMPUTED_VALUE"""),"88F; 2%; 7 mph WNW")</f>
        <v>88F; 2%; 7 mph WNW</v>
      </c>
      <c r="AE76" s="11" t="str">
        <f>IFERROR(__xludf.DUMMYFUNCTION("""COMPUTED_VALUE"""),"H (1:35 a.m. | 3.51ft), L (8:21 a.m. | 0.37ft), H (2:06 p.m. | 2.87ft), L (8:17 p.m. | 0.55ft)")</f>
        <v>H (1:35 a.m. | 3.51ft), L (8:21 a.m. | 0.37ft), H (2:06 p.m. | 2.87ft), L (8:17 p.m. | 0.55ft)</v>
      </c>
      <c r="AF76" t="s">
        <v>9</v>
      </c>
      <c r="AG76" s="17" t="s">
        <v>18</v>
      </c>
      <c r="AH76" s="12"/>
      <c r="AI76" s="12" t="s">
        <v>166</v>
      </c>
      <c r="AJ76" s="19" t="s">
        <v>167</v>
      </c>
      <c r="AK76" s="20" t="str">
        <f>HYPERLINK("https://docs.google.com/document/d/1_99TZLD-k-C9EsSVpSJNccEWzt4WrxyVPB59pY1zq1c/edit?usp=drivesdk","Kenneth Rainer - 6/5/2018 10:00 AM")</f>
        <v>Kenneth Rainer - 6/5/2018 10:00 AM</v>
      </c>
      <c r="AL76" s="12" t="s">
        <v>168</v>
      </c>
    </row>
    <row r="77">
      <c r="A77" s="10">
        <f>IFERROR(__xludf.DUMMYFUNCTION("""COMPUTED_VALUE"""),43255.509085983795)</f>
        <v>43255.50909</v>
      </c>
      <c r="B77" s="11" t="str">
        <f>IFERROR(__xludf.DUMMYFUNCTION("""COMPUTED_VALUE"""),"Jimmy Tomazinis")</f>
        <v>Jimmy Tomazinis</v>
      </c>
      <c r="C77" t="str">
        <f>IFERROR(__xludf.DUMMYFUNCTION("""COMPUTED_VALUE"""),"james.tomazinis@floridadep.gov")</f>
        <v>james.tomazinis@floridadep.gov</v>
      </c>
      <c r="D77" t="str">
        <f>IFERROR(__xludf.DUMMYFUNCTION("""COMPUTED_VALUE"""),"Education")</f>
        <v>Education</v>
      </c>
      <c r="E77" t="str">
        <f>IFERROR(__xludf.DUMMYFUNCTION("""COMPUTED_VALUE"""),"Green Road Boat Ramp")</f>
        <v>Green Road Boat Ramp</v>
      </c>
      <c r="F77" s="13">
        <f>IFERROR(__xludf.DUMMYFUNCTION("""COMPUTED_VALUE"""),0.4166666666678793)</f>
        <v>0.4166666667</v>
      </c>
      <c r="G77" s="14">
        <f>IFERROR(__xludf.DUMMYFUNCTION("""COMPUTED_VALUE"""),43256.0)</f>
        <v>43256</v>
      </c>
      <c r="H77" t="str">
        <f>IFERROR(__xludf.DUMMYFUNCTION("""COMPUTED_VALUE"""),"Jason's Creek / Matanzas Inlet")</f>
        <v>Jason's Creek / Matanzas Inlet</v>
      </c>
      <c r="I77" s="15">
        <f>IFERROR(__xludf.DUMMYFUNCTION("""COMPUTED_VALUE"""),0.6458333333321207)</f>
        <v>0.6458333333</v>
      </c>
      <c r="J77" s="16">
        <f>IFERROR(__xludf.DUMMYFUNCTION("""COMPUTED_VALUE"""),43257.64583333333)</f>
        <v>43257.64583</v>
      </c>
      <c r="K77" t="str">
        <f>IFERROR(__xludf.DUMMYFUNCTION("""COMPUTED_VALUE"""),"F 20ft Sea Ark (Easy 200) FL8534PY DEP21451")</f>
        <v>F 20ft Sea Ark (Easy 200) FL8534PY DEP21451</v>
      </c>
      <c r="M77" t="str">
        <f>IFERROR(__xludf.DUMMYFUNCTION("""COMPUTED_VALUE"""),"Ford F150 2008 - DEP18041 (SWMP Thing)")</f>
        <v>Ford F150 2008 - DEP18041 (SWMP Thing)</v>
      </c>
      <c r="N77" t="str">
        <f>IFERROR(__xludf.DUMMYFUNCTION("""COMPUTED_VALUE"""),"Kenneth Rainer, (936) 499-1853, Jimmy Tomazinis, (904) 547-0094")</f>
        <v>Kenneth Rainer, (936) 499-1853, Jimmy Tomazinis, (904) 547-0094</v>
      </c>
      <c r="O77" t="str">
        <f>IFERROR(__xludf.DUMMYFUNCTION("""COMPUTED_VALUE"""),"Gabriela Canas, (904) 891-9743, Emma Hanson, Summer Campers and Summer Camp Interns")</f>
        <v>Gabriela Canas, (904) 891-9743, Emma Hanson, Summer Campers and Summer Camp Interns</v>
      </c>
      <c r="P77" t="str">
        <f>IFERROR(__xludf.DUMMYFUNCTION("""COMPUTED_VALUE"""),"James Tomazinis")</f>
        <v>James Tomazinis</v>
      </c>
      <c r="Q77" t="str">
        <f>IFERROR(__xludf.DUMMYFUNCTION("""COMPUTED_VALUE"""),"Good")</f>
        <v>Good</v>
      </c>
      <c r="R77" t="str">
        <f>IFERROR(__xludf.DUMMYFUNCTION("""COMPUTED_VALUE"""),"Good")</f>
        <v>Good</v>
      </c>
      <c r="S77" t="str">
        <f>IFERROR(__xludf.DUMMYFUNCTION("""COMPUTED_VALUE"""),"Good")</f>
        <v>Good</v>
      </c>
      <c r="T77" t="str">
        <f>IFERROR(__xludf.DUMMYFUNCTION("""COMPUTED_VALUE"""),"Good")</f>
        <v>Good</v>
      </c>
      <c r="U77" t="str">
        <f>IFERROR(__xludf.DUMMYFUNCTION("""COMPUTED_VALUE"""),"Good")</f>
        <v>Good</v>
      </c>
      <c r="V77" t="str">
        <f>IFERROR(__xludf.DUMMYFUNCTION("""COMPUTED_VALUE"""),"Good")</f>
        <v>Good</v>
      </c>
      <c r="W77" t="str">
        <f>IFERROR(__xludf.DUMMYFUNCTION("""COMPUTED_VALUE"""),"Good")</f>
        <v>Good</v>
      </c>
      <c r="X77" t="str">
        <f>IFERROR(__xludf.DUMMYFUNCTION("""COMPUTED_VALUE"""),"Good")</f>
        <v>Good</v>
      </c>
      <c r="Y77" t="str">
        <f>IFERROR(__xludf.DUMMYFUNCTION("""COMPUTED_VALUE"""),"Good")</f>
        <v>Good</v>
      </c>
      <c r="Z77" t="str">
        <f>IFERROR(__xludf.DUMMYFUNCTION("""COMPUTED_VALUE"""),"Good")</f>
        <v>Good</v>
      </c>
      <c r="AA77" t="str">
        <f>IFERROR(__xludf.DUMMYFUNCTION("""COMPUTED_VALUE"""),"Good")</f>
        <v>Good</v>
      </c>
      <c r="AB77" t="str">
        <f>IFERROR(__xludf.DUMMYFUNCTION("""COMPUTED_VALUE"""),"Good")</f>
        <v>Good</v>
      </c>
      <c r="AC77" t="str">
        <f>IFERROR(__xludf.DUMMYFUNCTION("""COMPUTED_VALUE"""),"Good")</f>
        <v>Good</v>
      </c>
      <c r="AD77" t="str">
        <f>IFERROR(__xludf.DUMMYFUNCTION("""COMPUTED_VALUE"""),"88F; 2%; 7 mph WNW")</f>
        <v>88F; 2%; 7 mph WNW</v>
      </c>
      <c r="AE77" s="11" t="str">
        <f>IFERROR(__xludf.DUMMYFUNCTION("""COMPUTED_VALUE"""),"H (1:35 a.m. | 3.51ft), L (8:21 a.m. | 0.37ft), H (2:06 p.m. | 2.87ft), L (8:17 p.m. | 0.55ft)")</f>
        <v>H (1:35 a.m. | 3.51ft), L (8:21 a.m. | 0.37ft), H (2:06 p.m. | 2.87ft), L (8:17 p.m. | 0.55ft)</v>
      </c>
      <c r="AF77" t="s">
        <v>9</v>
      </c>
      <c r="AG77" s="17" t="s">
        <v>18</v>
      </c>
      <c r="AH77" s="12"/>
      <c r="AI77" s="12" t="s">
        <v>169</v>
      </c>
      <c r="AJ77" s="19" t="s">
        <v>170</v>
      </c>
      <c r="AK77" s="20" t="str">
        <f>HYPERLINK("https://docs.google.com/document/d/1OT1kes3CIgU0ZoBNEpPtzP0zZ3y229Cg9-mTm6wn5UM/edit?usp=drivesdk","Jimmy Tomazinis - 6/5/2018 10:00 AM")</f>
        <v>Jimmy Tomazinis - 6/5/2018 10:00 AM</v>
      </c>
      <c r="AL77" s="12" t="s">
        <v>171</v>
      </c>
    </row>
    <row r="78">
      <c r="A78" s="10">
        <f>IFERROR(__xludf.DUMMYFUNCTION("""COMPUTED_VALUE"""),43255.5117305324)</f>
        <v>43255.51173</v>
      </c>
      <c r="B78" s="11" t="str">
        <f>IFERROR(__xludf.DUMMYFUNCTION("""COMPUTED_VALUE"""),"Kenneth Rainer")</f>
        <v>Kenneth Rainer</v>
      </c>
      <c r="C78" t="str">
        <f>IFERROR(__xludf.DUMMYFUNCTION("""COMPUTED_VALUE"""),"Kenneth.Rainer@dep.state.fl.us")</f>
        <v>Kenneth.Rainer@dep.state.fl.us</v>
      </c>
      <c r="D78" t="str">
        <f>IFERROR(__xludf.DUMMYFUNCTION("""COMPUTED_VALUE"""),"Education")</f>
        <v>Education</v>
      </c>
      <c r="E78" t="str">
        <f>IFERROR(__xludf.DUMMYFUNCTION("""COMPUTED_VALUE"""),"Usina Boat Ramp")</f>
        <v>Usina Boat Ramp</v>
      </c>
      <c r="F78" s="13">
        <f>IFERROR(__xludf.DUMMYFUNCTION("""COMPUTED_VALUE"""),0.3958333333321207)</f>
        <v>0.3958333333</v>
      </c>
      <c r="G78" s="14">
        <f>IFERROR(__xludf.DUMMYFUNCTION("""COMPUTED_VALUE"""),43258.0)</f>
        <v>43258</v>
      </c>
      <c r="H78" t="str">
        <f>IFERROR(__xludf.DUMMYFUNCTION("""COMPUTED_VALUE"""),"Wright's Landing; Shell Bluff; Angelini Project")</f>
        <v>Wright's Landing; Shell Bluff; Angelini Project</v>
      </c>
      <c r="I78" s="15">
        <f>IFERROR(__xludf.DUMMYFUNCTION("""COMPUTED_VALUE"""),0.6458333333321207)</f>
        <v>0.6458333333</v>
      </c>
      <c r="J78" s="16">
        <f>IFERROR(__xludf.DUMMYFUNCTION("""COMPUTED_VALUE"""),43258.66666666667)</f>
        <v>43258.66667</v>
      </c>
      <c r="K78" t="str">
        <f>IFERROR(__xludf.DUMMYFUNCTION("""COMPUTED_VALUE"""),"23ft Skiff (Bertha) FL7972LJ DEP07613")</f>
        <v>23ft Skiff (Bertha) FL7972LJ DEP07613</v>
      </c>
      <c r="M78" t="str">
        <f>IFERROR(__xludf.DUMMYFUNCTION("""COMPUTED_VALUE"""),"Ford F250 2017 (Moby Dix) - DEP0021578")</f>
        <v>Ford F250 2017 (Moby Dix) - DEP0021578</v>
      </c>
      <c r="N78" t="str">
        <f>IFERROR(__xludf.DUMMYFUNCTION("""COMPUTED_VALUE"""),"Kenneth Rainer, (936) 499-1853, Silas Tanner, (904) 483-8423")</f>
        <v>Kenneth Rainer, (936) 499-1853, Silas Tanner, (904) 483-8423</v>
      </c>
      <c r="O78" t="str">
        <f>IFERROR(__xludf.DUMMYFUNCTION("""COMPUTED_VALUE"""),"Gabriela Canas, (904) 891-9743, Emma Hanson, Josie Spearman, (386) 627-0816, Summer Campers and Summer Camp Interns")</f>
        <v>Gabriela Canas, (904) 891-9743, Emma Hanson, Josie Spearman, (386) 627-0816, Summer Campers and Summer Camp Interns</v>
      </c>
      <c r="P78" t="str">
        <f>IFERROR(__xludf.DUMMYFUNCTION("""COMPUTED_VALUE"""),"Kenneth Rainer")</f>
        <v>Kenneth Rainer</v>
      </c>
      <c r="Q78" t="str">
        <f>IFERROR(__xludf.DUMMYFUNCTION("""COMPUTED_VALUE"""),"Good")</f>
        <v>Good</v>
      </c>
      <c r="R78" t="str">
        <f>IFERROR(__xludf.DUMMYFUNCTION("""COMPUTED_VALUE"""),"Good")</f>
        <v>Good</v>
      </c>
      <c r="S78" t="str">
        <f>IFERROR(__xludf.DUMMYFUNCTION("""COMPUTED_VALUE"""),"Good")</f>
        <v>Good</v>
      </c>
      <c r="T78" t="str">
        <f>IFERROR(__xludf.DUMMYFUNCTION("""COMPUTED_VALUE"""),"Good")</f>
        <v>Good</v>
      </c>
      <c r="U78" t="str">
        <f>IFERROR(__xludf.DUMMYFUNCTION("""COMPUTED_VALUE"""),"Good")</f>
        <v>Good</v>
      </c>
      <c r="V78" t="str">
        <f>IFERROR(__xludf.DUMMYFUNCTION("""COMPUTED_VALUE"""),"Good")</f>
        <v>Good</v>
      </c>
      <c r="W78" t="str">
        <f>IFERROR(__xludf.DUMMYFUNCTION("""COMPUTED_VALUE"""),"Good")</f>
        <v>Good</v>
      </c>
      <c r="X78" t="str">
        <f>IFERROR(__xludf.DUMMYFUNCTION("""COMPUTED_VALUE"""),"Good")</f>
        <v>Good</v>
      </c>
      <c r="Y78" t="str">
        <f>IFERROR(__xludf.DUMMYFUNCTION("""COMPUTED_VALUE"""),"Good")</f>
        <v>Good</v>
      </c>
      <c r="Z78" t="str">
        <f>IFERROR(__xludf.DUMMYFUNCTION("""COMPUTED_VALUE"""),"Good")</f>
        <v>Good</v>
      </c>
      <c r="AA78" t="str">
        <f>IFERROR(__xludf.DUMMYFUNCTION("""COMPUTED_VALUE"""),"Good")</f>
        <v>Good</v>
      </c>
      <c r="AB78" t="str">
        <f>IFERROR(__xludf.DUMMYFUNCTION("""COMPUTED_VALUE"""),"Good")</f>
        <v>Good</v>
      </c>
      <c r="AC78" t="str">
        <f>IFERROR(__xludf.DUMMYFUNCTION("""COMPUTED_VALUE"""),"Good")</f>
        <v>Good</v>
      </c>
      <c r="AD78" t="str">
        <f>IFERROR(__xludf.DUMMYFUNCTION("""COMPUTED_VALUE"""),"87F; 34%; 10 mph ESE (scattered thunderstorms and partly cloudy)")</f>
        <v>87F; 34%; 10 mph ESE (scattered thunderstorms and partly cloudy)</v>
      </c>
      <c r="AE78" s="11" t="str">
        <f>IFERROR(__xludf.DUMMYFUNCTION("""COMPUTED_VALUE"""),"H (3:18 a.m. | 3.36ft), L (9:46 a.m. | -0.27ft), H (4:02 p.m. | 3.32ft), L (10:08 p.m. | 0.08ft)")</f>
        <v>H (3:18 a.m. | 3.36ft), L (9:46 a.m. | -0.27ft), H (4:02 p.m. | 3.32ft), L (10:08 p.m. | 0.08ft)</v>
      </c>
      <c r="AF78" t="s">
        <v>9</v>
      </c>
      <c r="AG78" s="17" t="s">
        <v>7</v>
      </c>
      <c r="AH78" s="12"/>
      <c r="AI78" s="12" t="s">
        <v>172</v>
      </c>
      <c r="AJ78" s="19" t="s">
        <v>173</v>
      </c>
      <c r="AK78" s="20" t="str">
        <f>HYPERLINK("https://docs.google.com/document/d/1f4rCTUh5g2HKvT37iHIzLi2xkFwrlxrV8ZlB-EPRd_0/edit?usp=drivesdk","Kenneth Rainer - 6/7/2018 9:30 AM")</f>
        <v>Kenneth Rainer - 6/7/2018 9:30 AM</v>
      </c>
      <c r="AL78" s="12" t="s">
        <v>174</v>
      </c>
    </row>
    <row r="79">
      <c r="A79" s="10">
        <f>IFERROR(__xludf.DUMMYFUNCTION("""COMPUTED_VALUE"""),43255.51348325231)</f>
        <v>43255.51348</v>
      </c>
      <c r="B79" s="11" t="str">
        <f>IFERROR(__xludf.DUMMYFUNCTION("""COMPUTED_VALUE"""),"Silas Tanner")</f>
        <v>Silas Tanner</v>
      </c>
      <c r="C79" t="str">
        <f>IFERROR(__xludf.DUMMYFUNCTION("""COMPUTED_VALUE"""),"silas.tanner@floridadep.gov")</f>
        <v>silas.tanner@floridadep.gov</v>
      </c>
      <c r="D79" t="str">
        <f>IFERROR(__xludf.DUMMYFUNCTION("""COMPUTED_VALUE"""),"Education")</f>
        <v>Education</v>
      </c>
      <c r="E79" t="str">
        <f>IFERROR(__xludf.DUMMYFUNCTION("""COMPUTED_VALUE"""),"Usina Boat Ramp")</f>
        <v>Usina Boat Ramp</v>
      </c>
      <c r="F79" s="13">
        <f>IFERROR(__xludf.DUMMYFUNCTION("""COMPUTED_VALUE"""),0.3958333333321207)</f>
        <v>0.3958333333</v>
      </c>
      <c r="G79" s="14">
        <f>IFERROR(__xludf.DUMMYFUNCTION("""COMPUTED_VALUE"""),43258.0)</f>
        <v>43258</v>
      </c>
      <c r="H79" t="str">
        <f>IFERROR(__xludf.DUMMYFUNCTION("""COMPUTED_VALUE"""),"Wright's Landing; Shell Bluff; Angelini Project")</f>
        <v>Wright's Landing; Shell Bluff; Angelini Project</v>
      </c>
      <c r="I79" s="15">
        <f>IFERROR(__xludf.DUMMYFUNCTION("""COMPUTED_VALUE"""),0.6458333333321207)</f>
        <v>0.6458333333</v>
      </c>
      <c r="J79" s="16">
        <f>IFERROR(__xludf.DUMMYFUNCTION("""COMPUTED_VALUE"""),43258.66666666667)</f>
        <v>43258.66667</v>
      </c>
      <c r="K79" t="str">
        <f>IFERROR(__xludf.DUMMYFUNCTION("""COMPUTED_VALUE"""),"F 20ft Sea Ark (Easy 200) FL8534PY DEP21451")</f>
        <v>F 20ft Sea Ark (Easy 200) FL8534PY DEP21451</v>
      </c>
      <c r="M79" t="str">
        <f>IFERROR(__xludf.DUMMYFUNCTION("""COMPUTED_VALUE"""),"Ford F150 2008 - DEP18041 (SWMP Thing)")</f>
        <v>Ford F150 2008 - DEP18041 (SWMP Thing)</v>
      </c>
      <c r="N79" t="str">
        <f>IFERROR(__xludf.DUMMYFUNCTION("""COMPUTED_VALUE"""),"Kenneth Rainer, (936) 499-1853, Silas Tanner, (904) 483-8423")</f>
        <v>Kenneth Rainer, (936) 499-1853, Silas Tanner, (904) 483-8423</v>
      </c>
      <c r="O79" t="str">
        <f>IFERROR(__xludf.DUMMYFUNCTION("""COMPUTED_VALUE"""),"Gabriela Canas, (904) 891-9743, Emma Hanson, Josie Spearman, (386) 627-0816, Summer Campers and Summer Camp Interns")</f>
        <v>Gabriela Canas, (904) 891-9743, Emma Hanson, Josie Spearman, (386) 627-0816, Summer Campers and Summer Camp Interns</v>
      </c>
      <c r="P79" t="str">
        <f>IFERROR(__xludf.DUMMYFUNCTION("""COMPUTED_VALUE"""),"Silas Tanner")</f>
        <v>Silas Tanner</v>
      </c>
      <c r="Q79" t="str">
        <f>IFERROR(__xludf.DUMMYFUNCTION("""COMPUTED_VALUE"""),"Good")</f>
        <v>Good</v>
      </c>
      <c r="R79" t="str">
        <f>IFERROR(__xludf.DUMMYFUNCTION("""COMPUTED_VALUE"""),"Good")</f>
        <v>Good</v>
      </c>
      <c r="S79" t="str">
        <f>IFERROR(__xludf.DUMMYFUNCTION("""COMPUTED_VALUE"""),"Good")</f>
        <v>Good</v>
      </c>
      <c r="T79" t="str">
        <f>IFERROR(__xludf.DUMMYFUNCTION("""COMPUTED_VALUE"""),"Good")</f>
        <v>Good</v>
      </c>
      <c r="U79" t="str">
        <f>IFERROR(__xludf.DUMMYFUNCTION("""COMPUTED_VALUE"""),"Good")</f>
        <v>Good</v>
      </c>
      <c r="V79" t="str">
        <f>IFERROR(__xludf.DUMMYFUNCTION("""COMPUTED_VALUE"""),"Good")</f>
        <v>Good</v>
      </c>
      <c r="W79" t="str">
        <f>IFERROR(__xludf.DUMMYFUNCTION("""COMPUTED_VALUE"""),"Good")</f>
        <v>Good</v>
      </c>
      <c r="X79" t="str">
        <f>IFERROR(__xludf.DUMMYFUNCTION("""COMPUTED_VALUE"""),"Good")</f>
        <v>Good</v>
      </c>
      <c r="Y79" t="str">
        <f>IFERROR(__xludf.DUMMYFUNCTION("""COMPUTED_VALUE"""),"Good")</f>
        <v>Good</v>
      </c>
      <c r="Z79" t="str">
        <f>IFERROR(__xludf.DUMMYFUNCTION("""COMPUTED_VALUE"""),"Good")</f>
        <v>Good</v>
      </c>
      <c r="AA79" t="str">
        <f>IFERROR(__xludf.DUMMYFUNCTION("""COMPUTED_VALUE"""),"Good")</f>
        <v>Good</v>
      </c>
      <c r="AB79" t="str">
        <f>IFERROR(__xludf.DUMMYFUNCTION("""COMPUTED_VALUE"""),"Good")</f>
        <v>Good</v>
      </c>
      <c r="AC79" t="str">
        <f>IFERROR(__xludf.DUMMYFUNCTION("""COMPUTED_VALUE"""),"Good")</f>
        <v>Good</v>
      </c>
      <c r="AD79" t="str">
        <f>IFERROR(__xludf.DUMMYFUNCTION("""COMPUTED_VALUE"""),"87F; 34%; 10 mph ESE (scattered thunderstorms and partly cloudy)")</f>
        <v>87F; 34%; 10 mph ESE (scattered thunderstorms and partly cloudy)</v>
      </c>
      <c r="AE79" s="11" t="str">
        <f>IFERROR(__xludf.DUMMYFUNCTION("""COMPUTED_VALUE"""),"H (3:18 a.m. | 3.36ft), L (9:46 a.m. | -0.27ft), H (4:02 p.m. | 3.32ft), L (10:08 p.m. | 0.08ft)")</f>
        <v>H (3:18 a.m. | 3.36ft), L (9:46 a.m. | -0.27ft), H (4:02 p.m. | 3.32ft), L (10:08 p.m. | 0.08ft)</v>
      </c>
      <c r="AF79" t="s">
        <v>9</v>
      </c>
      <c r="AG79" s="17" t="s">
        <v>7</v>
      </c>
      <c r="AH79" s="12"/>
      <c r="AI79" s="12" t="s">
        <v>175</v>
      </c>
      <c r="AJ79" s="19" t="s">
        <v>176</v>
      </c>
      <c r="AK79" s="20" t="str">
        <f>HYPERLINK("https://docs.google.com/document/d/1omI7AifJyv7VBder7xWpamlAqbP_DccSbkNyJKL1wJk/edit?usp=drivesdk","Silas Tanner - 6/7/2018 9:30 AM")</f>
        <v>Silas Tanner - 6/7/2018 9:30 AM</v>
      </c>
      <c r="AL79" s="12" t="s">
        <v>177</v>
      </c>
    </row>
    <row r="80">
      <c r="A80" s="10">
        <f>IFERROR(__xludf.DUMMYFUNCTION("""COMPUTED_VALUE"""),43262.36147427084)</f>
        <v>43262.36147</v>
      </c>
      <c r="B80" s="11" t="str">
        <f>IFERROR(__xludf.DUMMYFUNCTION("""COMPUTED_VALUE"""),"James Tomazinis")</f>
        <v>James Tomazinis</v>
      </c>
      <c r="C80" t="str">
        <f>IFERROR(__xludf.DUMMYFUNCTION("""COMPUTED_VALUE"""),"james.tomazinis@floridadep.gov")</f>
        <v>james.tomazinis@floridadep.gov</v>
      </c>
      <c r="D80" t="str">
        <f>IFERROR(__xludf.DUMMYFUNCTION("""COMPUTED_VALUE"""),"Stewardship (Aquatic)")</f>
        <v>Stewardship (Aquatic)</v>
      </c>
      <c r="E80" t="str">
        <f>IFERROR(__xludf.DUMMYFUNCTION("""COMPUTED_VALUE"""),"Guana Dam")</f>
        <v>Guana Dam</v>
      </c>
      <c r="F80" s="13">
        <f>IFERROR(__xludf.DUMMYFUNCTION("""COMPUTED_VALUE"""),0.3541666666678793)</f>
        <v>0.3541666667</v>
      </c>
      <c r="G80" s="14">
        <f>IFERROR(__xludf.DUMMYFUNCTION("""COMPUTED_VALUE"""),43262.0)</f>
        <v>43262</v>
      </c>
      <c r="H80" t="str">
        <f>IFERROR(__xludf.DUMMYFUNCTION("""COMPUTED_VALUE"""),"Guana WQ sites")</f>
        <v>Guana WQ sites</v>
      </c>
      <c r="I80" s="15">
        <f>IFERROR(__xludf.DUMMYFUNCTION("""COMPUTED_VALUE"""),0.5)</f>
        <v>0.5</v>
      </c>
      <c r="J80" s="16"/>
      <c r="K80" t="str">
        <f>IFERROR(__xludf.DUMMYFUNCTION("""COMPUTED_VALUE"""),"Jon Boat FL0484NP DEP06819")</f>
        <v>Jon Boat FL0484NP DEP06819</v>
      </c>
      <c r="M80" t="str">
        <f>IFERROR(__xludf.DUMMYFUNCTION("""COMPUTED_VALUE"""),"Ford Explorer 2002 - DEP05465 (AP)")</f>
        <v>Ford Explorer 2002 - DEP05465 (AP)</v>
      </c>
      <c r="N80" t="str">
        <f>IFERROR(__xludf.DUMMYFUNCTION("""COMPUTED_VALUE"""),"Jimmy Tomazinis, (904) 547-0094")</f>
        <v>Jimmy Tomazinis, (904) 547-0094</v>
      </c>
      <c r="O80" t="str">
        <f>IFERROR(__xludf.DUMMYFUNCTION("""COMPUTED_VALUE"""),"Hunter Mathews")</f>
        <v>Hunter Mathews</v>
      </c>
      <c r="P80" t="str">
        <f>IFERROR(__xludf.DUMMYFUNCTION("""COMPUTED_VALUE"""),"Jimmy")</f>
        <v>Jimmy</v>
      </c>
      <c r="Q80" t="str">
        <f>IFERROR(__xludf.DUMMYFUNCTION("""COMPUTED_VALUE"""),"Good")</f>
        <v>Good</v>
      </c>
      <c r="R80" t="str">
        <f>IFERROR(__xludf.DUMMYFUNCTION("""COMPUTED_VALUE"""),"Good")</f>
        <v>Good</v>
      </c>
      <c r="S80" t="str">
        <f>IFERROR(__xludf.DUMMYFUNCTION("""COMPUTED_VALUE"""),"Good")</f>
        <v>Good</v>
      </c>
      <c r="T80" t="str">
        <f>IFERROR(__xludf.DUMMYFUNCTION("""COMPUTED_VALUE"""),"Good")</f>
        <v>Good</v>
      </c>
      <c r="U80" t="str">
        <f>IFERROR(__xludf.DUMMYFUNCTION("""COMPUTED_VALUE"""),"Good")</f>
        <v>Good</v>
      </c>
      <c r="V80" t="str">
        <f>IFERROR(__xludf.DUMMYFUNCTION("""COMPUTED_VALUE"""),"Good")</f>
        <v>Good</v>
      </c>
      <c r="W80" t="str">
        <f>IFERROR(__xludf.DUMMYFUNCTION("""COMPUTED_VALUE"""),"Good")</f>
        <v>Good</v>
      </c>
      <c r="X80" t="str">
        <f>IFERROR(__xludf.DUMMYFUNCTION("""COMPUTED_VALUE"""),"Good")</f>
        <v>Good</v>
      </c>
      <c r="Y80" t="str">
        <f>IFERROR(__xludf.DUMMYFUNCTION("""COMPUTED_VALUE"""),"Good")</f>
        <v>Good</v>
      </c>
      <c r="Z80" t="str">
        <f>IFERROR(__xludf.DUMMYFUNCTION("""COMPUTED_VALUE"""),"Good")</f>
        <v>Good</v>
      </c>
      <c r="AA80" t="str">
        <f>IFERROR(__xludf.DUMMYFUNCTION("""COMPUTED_VALUE"""),"Good")</f>
        <v>Good</v>
      </c>
      <c r="AB80" t="str">
        <f>IFERROR(__xludf.DUMMYFUNCTION("""COMPUTED_VALUE"""),"Good")</f>
        <v>Good</v>
      </c>
      <c r="AC80" t="str">
        <f>IFERROR(__xludf.DUMMYFUNCTION("""COMPUTED_VALUE"""),"Good")</f>
        <v>Good</v>
      </c>
      <c r="AE80" s="11"/>
      <c r="AF80" t="s">
        <v>32</v>
      </c>
      <c r="AG80" s="17" t="s">
        <v>18</v>
      </c>
      <c r="AH80" s="12"/>
      <c r="AI80" s="12" t="s">
        <v>178</v>
      </c>
      <c r="AJ80" s="19" t="s">
        <v>179</v>
      </c>
      <c r="AK80" s="20" t="str">
        <f>HYPERLINK("https://docs.google.com/document/d/1nhihx7WUJyq9xrne-IuE8z6M1bOCmJPhlEGshsFWGQU/edit?usp=drivesdk","James Tomazinis - 6/11/2018 8:30 AM")</f>
        <v>James Tomazinis - 6/11/2018 8:30 AM</v>
      </c>
      <c r="AL80" s="12" t="s">
        <v>180</v>
      </c>
    </row>
    <row r="81">
      <c r="A81" s="10">
        <f>IFERROR(__xludf.DUMMYFUNCTION("""COMPUTED_VALUE"""),43263.29583268519)</f>
        <v>43263.29583</v>
      </c>
      <c r="B81" s="11" t="str">
        <f>IFERROR(__xludf.DUMMYFUNCTION("""COMPUTED_VALUE"""),"Silas Tanner")</f>
        <v>Silas Tanner</v>
      </c>
      <c r="C81" t="str">
        <f>IFERROR(__xludf.DUMMYFUNCTION("""COMPUTED_VALUE"""),"silas.tanner@dep.state.fl.us")</f>
        <v>silas.tanner@dep.state.fl.us</v>
      </c>
      <c r="D81" t="str">
        <f>IFERROR(__xludf.DUMMYFUNCTION("""COMPUTED_VALUE"""),"Research")</f>
        <v>Research</v>
      </c>
      <c r="E81" t="str">
        <f>IFERROR(__xludf.DUMMYFUNCTION("""COMPUTED_VALUE"""),"Vilano County ramp")</f>
        <v>Vilano County ramp</v>
      </c>
      <c r="F81" s="13">
        <f>IFERROR(__xludf.DUMMYFUNCTION("""COMPUTED_VALUE"""),0.3645833333321207)</f>
        <v>0.3645833333</v>
      </c>
      <c r="G81" s="14">
        <f>IFERROR(__xludf.DUMMYFUNCTION("""COMPUTED_VALUE"""),43263.0)</f>
        <v>43263</v>
      </c>
      <c r="H81" t="str">
        <f>IFERROR(__xludf.DUMMYFUNCTION("""COMPUTED_VALUE"""),"ICW SWMP sites")</f>
        <v>ICW SWMP sites</v>
      </c>
      <c r="I81" s="15">
        <f>IFERROR(__xludf.DUMMYFUNCTION("""COMPUTED_VALUE"""),0.5833333333321207)</f>
        <v>0.5833333333</v>
      </c>
      <c r="J81" s="16">
        <f>IFERROR(__xludf.DUMMYFUNCTION("""COMPUTED_VALUE"""),43263.60416666667)</f>
        <v>43263.60417</v>
      </c>
      <c r="K81" t="str">
        <f>IFERROR(__xludf.DUMMYFUNCTION("""COMPUTED_VALUE"""),"23ft Skiff (Bertha) FL7972LJ DEP07613")</f>
        <v>23ft Skiff (Bertha) FL7972LJ DEP07613</v>
      </c>
      <c r="M81" t="str">
        <f>IFERROR(__xludf.DUMMYFUNCTION("""COMPUTED_VALUE"""),"Ford F150 2008 - DEP18041 (SWMP Thing)")</f>
        <v>Ford F150 2008 - DEP18041 (SWMP Thing)</v>
      </c>
      <c r="N81" t="str">
        <f>IFERROR(__xludf.DUMMYFUNCTION("""COMPUTED_VALUE"""),"Silas Tanner, (904) 483-8423, Jimmy Tomazinis, (904) 547-0094")</f>
        <v>Silas Tanner, (904) 483-8423, Jimmy Tomazinis, (904) 547-0094</v>
      </c>
      <c r="O81" t="str">
        <f>IFERROR(__xludf.DUMMYFUNCTION("""COMPUTED_VALUE"""),"Sam Shaw, Terri Calleson")</f>
        <v>Sam Shaw, Terri Calleson</v>
      </c>
      <c r="P81" t="str">
        <f>IFERROR(__xludf.DUMMYFUNCTION("""COMPUTED_VALUE"""),"Tomazinis")</f>
        <v>Tomazinis</v>
      </c>
      <c r="Q81" t="str">
        <f>IFERROR(__xludf.DUMMYFUNCTION("""COMPUTED_VALUE"""),"Good")</f>
        <v>Good</v>
      </c>
      <c r="R81" t="str">
        <f>IFERROR(__xludf.DUMMYFUNCTION("""COMPUTED_VALUE"""),"Good")</f>
        <v>Good</v>
      </c>
      <c r="S81" t="str">
        <f>IFERROR(__xludf.DUMMYFUNCTION("""COMPUTED_VALUE"""),"Good")</f>
        <v>Good</v>
      </c>
      <c r="T81" t="str">
        <f>IFERROR(__xludf.DUMMYFUNCTION("""COMPUTED_VALUE"""),"Good")</f>
        <v>Good</v>
      </c>
      <c r="U81" t="str">
        <f>IFERROR(__xludf.DUMMYFUNCTION("""COMPUTED_VALUE"""),"Good")</f>
        <v>Good</v>
      </c>
      <c r="V81" t="str">
        <f>IFERROR(__xludf.DUMMYFUNCTION("""COMPUTED_VALUE"""),"Good")</f>
        <v>Good</v>
      </c>
      <c r="W81" t="str">
        <f>IFERROR(__xludf.DUMMYFUNCTION("""COMPUTED_VALUE"""),"Good")</f>
        <v>Good</v>
      </c>
      <c r="X81" t="str">
        <f>IFERROR(__xludf.DUMMYFUNCTION("""COMPUTED_VALUE"""),"Good")</f>
        <v>Good</v>
      </c>
      <c r="Y81" t="str">
        <f>IFERROR(__xludf.DUMMYFUNCTION("""COMPUTED_VALUE"""),"Good")</f>
        <v>Good</v>
      </c>
      <c r="Z81" t="str">
        <f>IFERROR(__xludf.DUMMYFUNCTION("""COMPUTED_VALUE"""),"Good")</f>
        <v>Good</v>
      </c>
      <c r="AA81" t="str">
        <f>IFERROR(__xludf.DUMMYFUNCTION("""COMPUTED_VALUE"""),"Good")</f>
        <v>Good</v>
      </c>
      <c r="AB81" t="str">
        <f>IFERROR(__xludf.DUMMYFUNCTION("""COMPUTED_VALUE"""),"Good")</f>
        <v>Good</v>
      </c>
      <c r="AC81" t="str">
        <f>IFERROR(__xludf.DUMMYFUNCTION("""COMPUTED_VALUE"""),"Good")</f>
        <v>Good</v>
      </c>
      <c r="AE81" s="11"/>
      <c r="AF81" t="s">
        <v>13</v>
      </c>
      <c r="AG81" s="17" t="s">
        <v>18</v>
      </c>
      <c r="AH81" s="12"/>
      <c r="AI81" s="12" t="s">
        <v>181</v>
      </c>
      <c r="AJ81" s="19" t="s">
        <v>182</v>
      </c>
      <c r="AK81" s="20" t="str">
        <f>HYPERLINK("https://docs.google.com/document/d/14xL-FgR87Xdn5S8WoYx0_em_jRQvOEXqyE9kNUhAwZs/edit?usp=drivesdk","Silas Tanner - 6/12/2018 8:45 AM")</f>
        <v>Silas Tanner - 6/12/2018 8:45 AM</v>
      </c>
      <c r="AL81" s="12" t="s">
        <v>183</v>
      </c>
    </row>
    <row r="82">
      <c r="A82" s="10">
        <f>IFERROR(__xludf.DUMMYFUNCTION("""COMPUTED_VALUE"""),43263.545481180554)</f>
        <v>43263.54548</v>
      </c>
      <c r="B82" s="11" t="str">
        <f>IFERROR(__xludf.DUMMYFUNCTION("""COMPUTED_VALUE"""),"Kenneth Rainer")</f>
        <v>Kenneth Rainer</v>
      </c>
      <c r="C82" t="str">
        <f>IFERROR(__xludf.DUMMYFUNCTION("""COMPUTED_VALUE"""),"Kenneth.Rainer@floridadep.gov")</f>
        <v>Kenneth.Rainer@floridadep.gov</v>
      </c>
      <c r="D82" t="str">
        <f>IFERROR(__xludf.DUMMYFUNCTION("""COMPUTED_VALUE"""),"Education")</f>
        <v>Education</v>
      </c>
      <c r="E82" t="str">
        <f>IFERROR(__xludf.DUMMYFUNCTION("""COMPUTED_VALUE"""),"Vilano Boat Ramp")</f>
        <v>Vilano Boat Ramp</v>
      </c>
      <c r="F82" s="13">
        <f>IFERROR(__xludf.DUMMYFUNCTION("""COMPUTED_VALUE"""),0.5208333333321207)</f>
        <v>0.5208333333</v>
      </c>
      <c r="G82" s="14">
        <f>IFERROR(__xludf.DUMMYFUNCTION("""COMPUTED_VALUE"""),43265.0)</f>
        <v>43265</v>
      </c>
      <c r="H82" t="str">
        <f>IFERROR(__xludf.DUMMYFUNCTION("""COMPUTED_VALUE"""),"GTM NERR Northern Component")</f>
        <v>GTM NERR Northern Component</v>
      </c>
      <c r="I82" s="15">
        <f>IFERROR(__xludf.DUMMYFUNCTION("""COMPUTED_VALUE"""),0.6875)</f>
        <v>0.6875</v>
      </c>
      <c r="J82" s="16">
        <f>IFERROR(__xludf.DUMMYFUNCTION("""COMPUTED_VALUE"""),43265.70833333333)</f>
        <v>43265.70833</v>
      </c>
      <c r="K82" t="str">
        <f>IFERROR(__xludf.DUMMYFUNCTION("""COMPUTED_VALUE"""),"23ft Skiff (Bertha) FL7972LJ DEP07613")</f>
        <v>23ft Skiff (Bertha) FL7972LJ DEP07613</v>
      </c>
      <c r="M82" t="str">
        <f>IFERROR(__xludf.DUMMYFUNCTION("""COMPUTED_VALUE"""),"Ford F250 2017 (Moby Dix) - DEP0021578")</f>
        <v>Ford F250 2017 (Moby Dix) - DEP0021578</v>
      </c>
      <c r="N82" t="str">
        <f>IFERROR(__xludf.DUMMYFUNCTION("""COMPUTED_VALUE"""),"Nikki Dix, (352) 219-4079, Kenneth Rainer, (936) 499-1853")</f>
        <v>Nikki Dix, (352) 219-4079, Kenneth Rainer, (936) 499-1853</v>
      </c>
      <c r="O82" t="str">
        <f>IFERROR(__xludf.DUMMYFUNCTION("""COMPUTED_VALUE"""),"UF Professor and Students (with completed Release Waivers)")</f>
        <v>UF Professor and Students (with completed Release Waivers)</v>
      </c>
      <c r="P82" t="str">
        <f>IFERROR(__xludf.DUMMYFUNCTION("""COMPUTED_VALUE"""),"Kenneth Rainer")</f>
        <v>Kenneth Rainer</v>
      </c>
      <c r="Q82" t="str">
        <f>IFERROR(__xludf.DUMMYFUNCTION("""COMPUTED_VALUE"""),"Good")</f>
        <v>Good</v>
      </c>
      <c r="R82" t="str">
        <f>IFERROR(__xludf.DUMMYFUNCTION("""COMPUTED_VALUE"""),"Good")</f>
        <v>Good</v>
      </c>
      <c r="S82" t="str">
        <f>IFERROR(__xludf.DUMMYFUNCTION("""COMPUTED_VALUE"""),"Good")</f>
        <v>Good</v>
      </c>
      <c r="T82" t="str">
        <f>IFERROR(__xludf.DUMMYFUNCTION("""COMPUTED_VALUE"""),"Good")</f>
        <v>Good</v>
      </c>
      <c r="U82" t="str">
        <f>IFERROR(__xludf.DUMMYFUNCTION("""COMPUTED_VALUE"""),"Good")</f>
        <v>Good</v>
      </c>
      <c r="V82" t="str">
        <f>IFERROR(__xludf.DUMMYFUNCTION("""COMPUTED_VALUE"""),"Good")</f>
        <v>Good</v>
      </c>
      <c r="W82" t="str">
        <f>IFERROR(__xludf.DUMMYFUNCTION("""COMPUTED_VALUE"""),"Good")</f>
        <v>Good</v>
      </c>
      <c r="X82" t="str">
        <f>IFERROR(__xludf.DUMMYFUNCTION("""COMPUTED_VALUE"""),"Good")</f>
        <v>Good</v>
      </c>
      <c r="Y82" t="str">
        <f>IFERROR(__xludf.DUMMYFUNCTION("""COMPUTED_VALUE"""),"Good")</f>
        <v>Good</v>
      </c>
      <c r="Z82" t="str">
        <f>IFERROR(__xludf.DUMMYFUNCTION("""COMPUTED_VALUE"""),"Good")</f>
        <v>Good</v>
      </c>
      <c r="AA82" t="str">
        <f>IFERROR(__xludf.DUMMYFUNCTION("""COMPUTED_VALUE"""),"Good")</f>
        <v>Good</v>
      </c>
      <c r="AB82" t="str">
        <f>IFERROR(__xludf.DUMMYFUNCTION("""COMPUTED_VALUE"""),"Good")</f>
        <v>Good</v>
      </c>
      <c r="AC82" t="str">
        <f>IFERROR(__xludf.DUMMYFUNCTION("""COMPUTED_VALUE"""),"Good")</f>
        <v>Good</v>
      </c>
      <c r="AD82" t="str">
        <f>IFERROR(__xludf.DUMMYFUNCTION("""COMPUTED_VALUE"""),"Partly cloudy. A stray shower or thunderstorm is possible. High 89F. Winds WSW at 5 to 10 mph.")</f>
        <v>Partly cloudy. A stray shower or thunderstorm is possible. High 89F. Winds WSW at 5 to 10 mph.</v>
      </c>
      <c r="AE82" s="11" t="str">
        <f>IFERROR(__xludf.DUMMYFUNCTION("""COMPUTED_VALUE"""),"High 09:43AM (3.82ft); Low 03:37PM (-1.22ft)")</f>
        <v>High 09:43AM (3.82ft); Low 03:37PM (-1.22ft)</v>
      </c>
      <c r="AF82" t="s">
        <v>9</v>
      </c>
      <c r="AG82" s="7" t="s">
        <v>18</v>
      </c>
      <c r="AH82" s="12"/>
      <c r="AI82" s="12" t="s">
        <v>184</v>
      </c>
      <c r="AJ82" s="19" t="s">
        <v>185</v>
      </c>
      <c r="AK82" s="20" t="str">
        <f>HYPERLINK("https://docs.google.com/document/d/1Ad-FJGyHWoa6R8teeyJx_5DdPsF8CvyTVaG0dnm6hzA/edit?usp=drivesdk","Kenneth Rainer - 6/14/2018 12:30 PM")</f>
        <v>Kenneth Rainer - 6/14/2018 12:30 PM</v>
      </c>
      <c r="AL82" s="12" t="s">
        <v>186</v>
      </c>
    </row>
    <row r="83">
      <c r="A83" s="10">
        <f>IFERROR(__xludf.DUMMYFUNCTION("""COMPUTED_VALUE"""),43264.68505503472)</f>
        <v>43264.68506</v>
      </c>
      <c r="B83" s="11" t="str">
        <f>IFERROR(__xludf.DUMMYFUNCTION("""COMPUTED_VALUE"""),"Silas Tanner")</f>
        <v>Silas Tanner</v>
      </c>
      <c r="C83" t="str">
        <f>IFERROR(__xludf.DUMMYFUNCTION("""COMPUTED_VALUE"""),"silas.tanner@floridadep.gov")</f>
        <v>silas.tanner@floridadep.gov</v>
      </c>
      <c r="D83" t="str">
        <f>IFERROR(__xludf.DUMMYFUNCTION("""COMPUTED_VALUE"""),"Research")</f>
        <v>Research</v>
      </c>
      <c r="E83" t="str">
        <f>IFERROR(__xludf.DUMMYFUNCTION("""COMPUTED_VALUE"""),"Bing's")</f>
        <v>Bing's</v>
      </c>
      <c r="F83" s="13">
        <f>IFERROR(__xludf.DUMMYFUNCTION("""COMPUTED_VALUE"""),0.5)</f>
        <v>0.5</v>
      </c>
      <c r="G83" s="14">
        <f>IFERROR(__xludf.DUMMYFUNCTION("""COMPUTED_VALUE"""),43265.0)</f>
        <v>43265</v>
      </c>
      <c r="H83" t="str">
        <f>IFERROR(__xludf.DUMMYFUNCTION("""COMPUTED_VALUE"""),"ICW - Rattlesnake Island to Bing's")</f>
        <v>ICW - Rattlesnake Island to Bing's</v>
      </c>
      <c r="I83" s="15">
        <f>IFERROR(__xludf.DUMMYFUNCTION("""COMPUTED_VALUE"""),0.6666666666678793)</f>
        <v>0.6666666667</v>
      </c>
      <c r="J83" s="16">
        <f>IFERROR(__xludf.DUMMYFUNCTION("""COMPUTED_VALUE"""),43265.69791666667)</f>
        <v>43265.69792</v>
      </c>
      <c r="K83" t="str">
        <f>IFERROR(__xludf.DUMMYFUNCTION("""COMPUTED_VALUE"""),"F 20ft Sea Ark (Easy 200) FL8534PY DEP21451")</f>
        <v>F 20ft Sea Ark (Easy 200) FL8534PY DEP21451</v>
      </c>
      <c r="M83" t="str">
        <f>IFERROR(__xludf.DUMMYFUNCTION("""COMPUTED_VALUE"""),"Ford F150 2008 - DEP18041 (SWMP Thing)")</f>
        <v>Ford F150 2008 - DEP18041 (SWMP Thing)</v>
      </c>
      <c r="N83" t="str">
        <f>IFERROR(__xludf.DUMMYFUNCTION("""COMPUTED_VALUE"""),"Silas Tanner, (904) 483-8423")</f>
        <v>Silas Tanner, (904) 483-8423</v>
      </c>
      <c r="O83" t="str">
        <f>IFERROR(__xludf.DUMMYFUNCTION("""COMPUTED_VALUE"""),"Hunter Mathews, Matt Brown, Westly Woodward")</f>
        <v>Hunter Mathews, Matt Brown, Westly Woodward</v>
      </c>
      <c r="P83" t="str">
        <f>IFERROR(__xludf.DUMMYFUNCTION("""COMPUTED_VALUE"""),"Tanner")</f>
        <v>Tanner</v>
      </c>
      <c r="Q83" t="str">
        <f>IFERROR(__xludf.DUMMYFUNCTION("""COMPUTED_VALUE"""),"Good")</f>
        <v>Good</v>
      </c>
      <c r="R83" t="str">
        <f>IFERROR(__xludf.DUMMYFUNCTION("""COMPUTED_VALUE"""),"Good")</f>
        <v>Good</v>
      </c>
      <c r="S83" t="str">
        <f>IFERROR(__xludf.DUMMYFUNCTION("""COMPUTED_VALUE"""),"Good")</f>
        <v>Good</v>
      </c>
      <c r="T83" t="str">
        <f>IFERROR(__xludf.DUMMYFUNCTION("""COMPUTED_VALUE"""),"Good")</f>
        <v>Good</v>
      </c>
      <c r="U83" t="str">
        <f>IFERROR(__xludf.DUMMYFUNCTION("""COMPUTED_VALUE"""),"Good")</f>
        <v>Good</v>
      </c>
      <c r="V83" t="str">
        <f>IFERROR(__xludf.DUMMYFUNCTION("""COMPUTED_VALUE"""),"Good")</f>
        <v>Good</v>
      </c>
      <c r="W83" t="str">
        <f>IFERROR(__xludf.DUMMYFUNCTION("""COMPUTED_VALUE"""),"Good")</f>
        <v>Good</v>
      </c>
      <c r="X83" t="str">
        <f>IFERROR(__xludf.DUMMYFUNCTION("""COMPUTED_VALUE"""),"Good")</f>
        <v>Good</v>
      </c>
      <c r="Y83" t="str">
        <f>IFERROR(__xludf.DUMMYFUNCTION("""COMPUTED_VALUE"""),"Good")</f>
        <v>Good</v>
      </c>
      <c r="Z83" t="str">
        <f>IFERROR(__xludf.DUMMYFUNCTION("""COMPUTED_VALUE"""),"Good")</f>
        <v>Good</v>
      </c>
      <c r="AA83" t="str">
        <f>IFERROR(__xludf.DUMMYFUNCTION("""COMPUTED_VALUE"""),"Good")</f>
        <v>Good</v>
      </c>
      <c r="AB83" t="str">
        <f>IFERROR(__xludf.DUMMYFUNCTION("""COMPUTED_VALUE"""),"Good")</f>
        <v>Good</v>
      </c>
      <c r="AC83" t="str">
        <f>IFERROR(__xludf.DUMMYFUNCTION("""COMPUTED_VALUE"""),"Good")</f>
        <v>Good</v>
      </c>
      <c r="AE83" s="11"/>
      <c r="AF83" t="s">
        <v>13</v>
      </c>
      <c r="AG83" s="17" t="s">
        <v>56</v>
      </c>
      <c r="AH83" s="12"/>
      <c r="AI83" s="12" t="s">
        <v>187</v>
      </c>
      <c r="AJ83" s="19" t="s">
        <v>188</v>
      </c>
      <c r="AK83" s="20" t="str">
        <f>HYPERLINK("https://docs.google.com/document/d/1ZVWr_QqAdt-Iz7q9i3GNK8i0lyZgwCCfyxmlR1hJwkw/edit?usp=drivesdk","Silas Tanner - 6/14/2018 12:00 PM")</f>
        <v>Silas Tanner - 6/14/2018 12:00 PM</v>
      </c>
      <c r="AL83" s="12" t="s">
        <v>189</v>
      </c>
    </row>
    <row r="84">
      <c r="A84" s="10">
        <f>IFERROR(__xludf.DUMMYFUNCTION("""COMPUTED_VALUE"""),43266.392776643515)</f>
        <v>43266.39278</v>
      </c>
      <c r="B84" s="11" t="str">
        <f>IFERROR(__xludf.DUMMYFUNCTION("""COMPUTED_VALUE"""),"James Tomazinis")</f>
        <v>James Tomazinis</v>
      </c>
      <c r="C84" t="str">
        <f>IFERROR(__xludf.DUMMYFUNCTION("""COMPUTED_VALUE"""),"james.tomazinis@floridadep.gov")</f>
        <v>james.tomazinis@floridadep.gov</v>
      </c>
      <c r="D84" t="str">
        <f>IFERROR(__xludf.DUMMYFUNCTION("""COMPUTED_VALUE"""),"Stewardship (Aquatic)")</f>
        <v>Stewardship (Aquatic)</v>
      </c>
      <c r="E84" t="str">
        <f>IFERROR(__xludf.DUMMYFUNCTION("""COMPUTED_VALUE"""),"Lighthouse park")</f>
        <v>Lighthouse park</v>
      </c>
      <c r="F84" s="13">
        <f>IFERROR(__xludf.DUMMYFUNCTION("""COMPUTED_VALUE"""),0.4166666666678793)</f>
        <v>0.4166666667</v>
      </c>
      <c r="G84" s="14">
        <f>IFERROR(__xludf.DUMMYFUNCTION("""COMPUTED_VALUE"""),43266.0)</f>
        <v>43266</v>
      </c>
      <c r="H84" t="str">
        <f>IFERROR(__xludf.DUMMYFUNCTION("""COMPUTED_VALUE"""),"Greater St. Augustine area")</f>
        <v>Greater St. Augustine area</v>
      </c>
      <c r="I84" s="15">
        <f>IFERROR(__xludf.DUMMYFUNCTION("""COMPUTED_VALUE"""),0.7083333333321207)</f>
        <v>0.7083333333</v>
      </c>
      <c r="J84" s="16"/>
      <c r="K84" t="str">
        <f>IFERROR(__xludf.DUMMYFUNCTION("""COMPUTED_VALUE"""),"23ft Skiff (Bertha) FL7972LJ DEP07613")</f>
        <v>23ft Skiff (Bertha) FL7972LJ DEP07613</v>
      </c>
      <c r="M84" t="str">
        <f>IFERROR(__xludf.DUMMYFUNCTION("""COMPUTED_VALUE"""),"Ford F150 2015 (White) - DEP21448")</f>
        <v>Ford F150 2015 (White) - DEP21448</v>
      </c>
      <c r="N84" t="str">
        <f>IFERROR(__xludf.DUMMYFUNCTION("""COMPUTED_VALUE"""),"Scott Eastman, (904) 501-9267, Pam Marcum, (480) 332-5414, Jimmy Tomazinis, (904) 547-0094")</f>
        <v>Scott Eastman, (904) 501-9267, Pam Marcum, (480) 332-5414, Jimmy Tomazinis, (904) 547-0094</v>
      </c>
      <c r="O84" t="str">
        <f>IFERROR(__xludf.DUMMYFUNCTION("""COMPUTED_VALUE"""),"Jeff Loflin")</f>
        <v>Jeff Loflin</v>
      </c>
      <c r="P84" t="str">
        <f>IFERROR(__xludf.DUMMYFUNCTION("""COMPUTED_VALUE"""),"James Tomazinis")</f>
        <v>James Tomazinis</v>
      </c>
      <c r="Q84" t="str">
        <f>IFERROR(__xludf.DUMMYFUNCTION("""COMPUTED_VALUE"""),"Good")</f>
        <v>Good</v>
      </c>
      <c r="R84" t="str">
        <f>IFERROR(__xludf.DUMMYFUNCTION("""COMPUTED_VALUE"""),"Good")</f>
        <v>Good</v>
      </c>
      <c r="S84" t="str">
        <f>IFERROR(__xludf.DUMMYFUNCTION("""COMPUTED_VALUE"""),"Good")</f>
        <v>Good</v>
      </c>
      <c r="T84" t="str">
        <f>IFERROR(__xludf.DUMMYFUNCTION("""COMPUTED_VALUE"""),"Good")</f>
        <v>Good</v>
      </c>
      <c r="U84" t="str">
        <f>IFERROR(__xludf.DUMMYFUNCTION("""COMPUTED_VALUE"""),"Good")</f>
        <v>Good</v>
      </c>
      <c r="V84" t="str">
        <f>IFERROR(__xludf.DUMMYFUNCTION("""COMPUTED_VALUE"""),"Good")</f>
        <v>Good</v>
      </c>
      <c r="W84" t="str">
        <f>IFERROR(__xludf.DUMMYFUNCTION("""COMPUTED_VALUE"""),"Good")</f>
        <v>Good</v>
      </c>
      <c r="X84" t="str">
        <f>IFERROR(__xludf.DUMMYFUNCTION("""COMPUTED_VALUE"""),"Good")</f>
        <v>Good</v>
      </c>
      <c r="Y84" t="str">
        <f>IFERROR(__xludf.DUMMYFUNCTION("""COMPUTED_VALUE"""),"Good")</f>
        <v>Good</v>
      </c>
      <c r="Z84" t="str">
        <f>IFERROR(__xludf.DUMMYFUNCTION("""COMPUTED_VALUE"""),"Good")</f>
        <v>Good</v>
      </c>
      <c r="AA84" t="str">
        <f>IFERROR(__xludf.DUMMYFUNCTION("""COMPUTED_VALUE"""),"Good")</f>
        <v>Good</v>
      </c>
      <c r="AB84" t="str">
        <f>IFERROR(__xludf.DUMMYFUNCTION("""COMPUTED_VALUE"""),"Good")</f>
        <v>Good</v>
      </c>
      <c r="AC84" t="str">
        <f>IFERROR(__xludf.DUMMYFUNCTION("""COMPUTED_VALUE"""),"Good")</f>
        <v>Good</v>
      </c>
      <c r="AE84" s="11"/>
      <c r="AF84" t="s">
        <v>32</v>
      </c>
      <c r="AG84" s="17" t="s">
        <v>115</v>
      </c>
      <c r="AH84" s="12"/>
      <c r="AI84" s="12" t="s">
        <v>190</v>
      </c>
      <c r="AJ84" s="19" t="s">
        <v>191</v>
      </c>
      <c r="AK84" s="20" t="str">
        <f>HYPERLINK("https://docs.google.com/document/d/1segsGRdC7iRishkJwC9X3suCxEE9-PDWq8OEnJz3WW4/edit?usp=drivesdk","James Tomazinis - 6/15/2018 10:00 AM")</f>
        <v>James Tomazinis - 6/15/2018 10:00 AM</v>
      </c>
      <c r="AL84" s="12" t="s">
        <v>192</v>
      </c>
    </row>
    <row r="85">
      <c r="A85" s="10">
        <f>IFERROR(__xludf.DUMMYFUNCTION("""COMPUTED_VALUE"""),43266.46594609954)</f>
        <v>43266.46595</v>
      </c>
      <c r="B85" s="11" t="str">
        <f>IFERROR(__xludf.DUMMYFUNCTION("""COMPUTED_VALUE"""),"Silas Tanner")</f>
        <v>Silas Tanner</v>
      </c>
      <c r="C85" t="str">
        <f>IFERROR(__xludf.DUMMYFUNCTION("""COMPUTED_VALUE"""),"silas.tanner@floridadep.gov")</f>
        <v>silas.tanner@floridadep.gov</v>
      </c>
      <c r="D85" t="str">
        <f>IFERROR(__xludf.DUMMYFUNCTION("""COMPUTED_VALUE"""),"Research")</f>
        <v>Research</v>
      </c>
      <c r="E85" t="str">
        <f>IFERROR(__xludf.DUMMYFUNCTION("""COMPUTED_VALUE"""),"Bing's")</f>
        <v>Bing's</v>
      </c>
      <c r="F85" s="13">
        <f>IFERROR(__xludf.DUMMYFUNCTION("""COMPUTED_VALUE"""),0.5416666666678793)</f>
        <v>0.5416666667</v>
      </c>
      <c r="G85" s="14">
        <f>IFERROR(__xludf.DUMMYFUNCTION("""COMPUTED_VALUE"""),43266.0)</f>
        <v>43266</v>
      </c>
      <c r="H85" t="str">
        <f>IFERROR(__xludf.DUMMYFUNCTION("""COMPUTED_VALUE"""),"ICW Summerhaven area")</f>
        <v>ICW Summerhaven area</v>
      </c>
      <c r="I85" s="15">
        <f>IFERROR(__xludf.DUMMYFUNCTION("""COMPUTED_VALUE"""),0.6666666666678793)</f>
        <v>0.6666666667</v>
      </c>
      <c r="J85" s="16">
        <f>IFERROR(__xludf.DUMMYFUNCTION("""COMPUTED_VALUE"""),43266.70833333333)</f>
        <v>43266.70833</v>
      </c>
      <c r="K85" t="str">
        <f>IFERROR(__xludf.DUMMYFUNCTION("""COMPUTED_VALUE"""),"F 20ft Sea Ark (Easy 200) FL8534PY DEP21451")</f>
        <v>F 20ft Sea Ark (Easy 200) FL8534PY DEP21451</v>
      </c>
      <c r="M85" t="str">
        <f>IFERROR(__xludf.DUMMYFUNCTION("""COMPUTED_VALUE"""),"Ford F150 2008 - DEP18041 (SWMP Thing)")</f>
        <v>Ford F150 2008 - DEP18041 (SWMP Thing)</v>
      </c>
      <c r="N85" t="str">
        <f>IFERROR(__xludf.DUMMYFUNCTION("""COMPUTED_VALUE"""),"Silas Tanner, (904) 483-8423")</f>
        <v>Silas Tanner, (904) 483-8423</v>
      </c>
      <c r="O85" t="str">
        <f>IFERROR(__xludf.DUMMYFUNCTION("""COMPUTED_VALUE"""),"Matt Brown")</f>
        <v>Matt Brown</v>
      </c>
      <c r="P85" t="str">
        <f>IFERROR(__xludf.DUMMYFUNCTION("""COMPUTED_VALUE"""),"Silas Tanner")</f>
        <v>Silas Tanner</v>
      </c>
      <c r="Q85" t="str">
        <f>IFERROR(__xludf.DUMMYFUNCTION("""COMPUTED_VALUE"""),"Good")</f>
        <v>Good</v>
      </c>
      <c r="R85" t="str">
        <f>IFERROR(__xludf.DUMMYFUNCTION("""COMPUTED_VALUE"""),"Good")</f>
        <v>Good</v>
      </c>
      <c r="S85" t="str">
        <f>IFERROR(__xludf.DUMMYFUNCTION("""COMPUTED_VALUE"""),"Good")</f>
        <v>Good</v>
      </c>
      <c r="T85" t="str">
        <f>IFERROR(__xludf.DUMMYFUNCTION("""COMPUTED_VALUE"""),"Good")</f>
        <v>Good</v>
      </c>
      <c r="U85" t="str">
        <f>IFERROR(__xludf.DUMMYFUNCTION("""COMPUTED_VALUE"""),"Good")</f>
        <v>Good</v>
      </c>
      <c r="V85" t="str">
        <f>IFERROR(__xludf.DUMMYFUNCTION("""COMPUTED_VALUE"""),"Good")</f>
        <v>Good</v>
      </c>
      <c r="W85" t="str">
        <f>IFERROR(__xludf.DUMMYFUNCTION("""COMPUTED_VALUE"""),"Good")</f>
        <v>Good</v>
      </c>
      <c r="X85" t="str">
        <f>IFERROR(__xludf.DUMMYFUNCTION("""COMPUTED_VALUE"""),"Good")</f>
        <v>Good</v>
      </c>
      <c r="Y85" t="str">
        <f>IFERROR(__xludf.DUMMYFUNCTION("""COMPUTED_VALUE"""),"Good")</f>
        <v>Good</v>
      </c>
      <c r="Z85" t="str">
        <f>IFERROR(__xludf.DUMMYFUNCTION("""COMPUTED_VALUE"""),"Good")</f>
        <v>Good</v>
      </c>
      <c r="AA85" t="str">
        <f>IFERROR(__xludf.DUMMYFUNCTION("""COMPUTED_VALUE"""),"Good")</f>
        <v>Good</v>
      </c>
      <c r="AB85" t="str">
        <f>IFERROR(__xludf.DUMMYFUNCTION("""COMPUTED_VALUE"""),"Good")</f>
        <v>Good</v>
      </c>
      <c r="AC85" t="str">
        <f>IFERROR(__xludf.DUMMYFUNCTION("""COMPUTED_VALUE"""),"Good")</f>
        <v>Good</v>
      </c>
      <c r="AE85" s="11"/>
      <c r="AF85" t="s">
        <v>13</v>
      </c>
      <c r="AG85" s="17" t="s">
        <v>18</v>
      </c>
      <c r="AH85" s="12"/>
      <c r="AI85" s="12" t="s">
        <v>193</v>
      </c>
      <c r="AJ85" s="19" t="s">
        <v>194</v>
      </c>
      <c r="AK85" s="20" t="str">
        <f>HYPERLINK("https://docs.google.com/document/d/1YErNHz-z5auJhRmMWf7quuIOf99gflm67GG5yE4XHtw/edit?usp=drivesdk","Silas Tanner - 6/15/2018 1:00 PM")</f>
        <v>Silas Tanner - 6/15/2018 1:00 PM</v>
      </c>
      <c r="AL85" s="12" t="s">
        <v>195</v>
      </c>
    </row>
    <row r="86">
      <c r="A86" s="10">
        <f>IFERROR(__xludf.DUMMYFUNCTION("""COMPUTED_VALUE"""),43267.41427137732)</f>
        <v>43267.41427</v>
      </c>
      <c r="B86" s="11" t="str">
        <f>IFERROR(__xludf.DUMMYFUNCTION("""COMPUTED_VALUE"""),"Gabriela Canas")</f>
        <v>Gabriela Canas</v>
      </c>
      <c r="C86" t="str">
        <f>IFERROR(__xludf.DUMMYFUNCTION("""COMPUTED_VALUE"""),"gabriela.canas@dep.state.fl.us")</f>
        <v>gabriela.canas@dep.state.fl.us</v>
      </c>
      <c r="D86" t="str">
        <f>IFERROR(__xludf.DUMMYFUNCTION("""COMPUTED_VALUE"""),"Research")</f>
        <v>Research</v>
      </c>
      <c r="E86" t="str">
        <f>IFERROR(__xludf.DUMMYFUNCTION("""COMPUTED_VALUE"""),"Shore drive boat ramp")</f>
        <v>Shore drive boat ramp</v>
      </c>
      <c r="F86" s="13">
        <f>IFERROR(__xludf.DUMMYFUNCTION("""COMPUTED_VALUE"""),0.4375)</f>
        <v>0.4375</v>
      </c>
      <c r="G86" s="14">
        <f>IFERROR(__xludf.DUMMYFUNCTION("""COMPUTED_VALUE"""),43267.0)</f>
        <v>43267</v>
      </c>
      <c r="H86" t="str">
        <f>IFERROR(__xludf.DUMMYFUNCTION("""COMPUTED_VALUE"""),"Gabby’s creek ")</f>
        <v>Gabby’s creek </v>
      </c>
      <c r="I86" s="15">
        <f>IFERROR(__xludf.DUMMYFUNCTION("""COMPUTED_VALUE"""),0.625)</f>
        <v>0.625</v>
      </c>
      <c r="J86" s="16">
        <f>IFERROR(__xludf.DUMMYFUNCTION("""COMPUTED_VALUE"""),43267.66666666667)</f>
        <v>43267.66667</v>
      </c>
      <c r="K86" t="str">
        <f>IFERROR(__xludf.DUMMYFUNCTION("""COMPUTED_VALUE"""),"F 20ft Sea Ark (Easy 200) FL8534PY DEP21451")</f>
        <v>F 20ft Sea Ark (Easy 200) FL8534PY DEP21451</v>
      </c>
      <c r="M86" t="str">
        <f>IFERROR(__xludf.DUMMYFUNCTION("""COMPUTED_VALUE"""),"Ford F250 2017 (Moby Dix) - DEP0021578")</f>
        <v>Ford F250 2017 (Moby Dix) - DEP0021578</v>
      </c>
      <c r="N86" t="str">
        <f>IFERROR(__xludf.DUMMYFUNCTION("""COMPUTED_VALUE"""),"Ben Mowbray, (407) 962-8782")</f>
        <v>Ben Mowbray, (407) 962-8782</v>
      </c>
      <c r="O86" t="str">
        <f>IFERROR(__xludf.DUMMYFUNCTION("""COMPUTED_VALUE"""),"Gabriela Canas, (904) 891-9743, 2 volunteers Alee knowell, Charles Huber ")</f>
        <v>Gabriela Canas, (904) 891-9743, 2 volunteers Alee knowell, Charles Huber </v>
      </c>
      <c r="P86" t="str">
        <f>IFERROR(__xludf.DUMMYFUNCTION("""COMPUTED_VALUE"""),"Ben Mowbray ")</f>
        <v>Ben Mowbray </v>
      </c>
      <c r="Q86" t="str">
        <f>IFERROR(__xludf.DUMMYFUNCTION("""COMPUTED_VALUE"""),"Good")</f>
        <v>Good</v>
      </c>
      <c r="R86" t="str">
        <f>IFERROR(__xludf.DUMMYFUNCTION("""COMPUTED_VALUE"""),"Good")</f>
        <v>Good</v>
      </c>
      <c r="S86" t="str">
        <f>IFERROR(__xludf.DUMMYFUNCTION("""COMPUTED_VALUE"""),"Good")</f>
        <v>Good</v>
      </c>
      <c r="T86" t="str">
        <f>IFERROR(__xludf.DUMMYFUNCTION("""COMPUTED_VALUE"""),"Good")</f>
        <v>Good</v>
      </c>
      <c r="U86" t="str">
        <f>IFERROR(__xludf.DUMMYFUNCTION("""COMPUTED_VALUE"""),"Good")</f>
        <v>Good</v>
      </c>
      <c r="V86" t="str">
        <f>IFERROR(__xludf.DUMMYFUNCTION("""COMPUTED_VALUE"""),"Good")</f>
        <v>Good</v>
      </c>
      <c r="W86" t="str">
        <f>IFERROR(__xludf.DUMMYFUNCTION("""COMPUTED_VALUE"""),"Good")</f>
        <v>Good</v>
      </c>
      <c r="X86" t="str">
        <f>IFERROR(__xludf.DUMMYFUNCTION("""COMPUTED_VALUE"""),"Good")</f>
        <v>Good</v>
      </c>
      <c r="Y86" t="str">
        <f>IFERROR(__xludf.DUMMYFUNCTION("""COMPUTED_VALUE"""),"Good")</f>
        <v>Good</v>
      </c>
      <c r="Z86" t="str">
        <f>IFERROR(__xludf.DUMMYFUNCTION("""COMPUTED_VALUE"""),"Good")</f>
        <v>Good</v>
      </c>
      <c r="AA86" t="str">
        <f>IFERROR(__xludf.DUMMYFUNCTION("""COMPUTED_VALUE"""),"Good")</f>
        <v>Good</v>
      </c>
      <c r="AB86" t="str">
        <f>IFERROR(__xludf.DUMMYFUNCTION("""COMPUTED_VALUE"""),"Good")</f>
        <v>Good</v>
      </c>
      <c r="AC86" t="str">
        <f>IFERROR(__xludf.DUMMYFUNCTION("""COMPUTED_VALUE"""),"Good")</f>
        <v>Good</v>
      </c>
      <c r="AD86" t="str">
        <f>IFERROR(__xludf.DUMMYFUNCTION("""COMPUTED_VALUE"""),"Afternoon storms")</f>
        <v>Afternoon storms</v>
      </c>
      <c r="AE86" s="11" t="str">
        <f>IFERROR(__xludf.DUMMYFUNCTION("""COMPUTED_VALUE"""),"11:30 high tide")</f>
        <v>11:30 high tide</v>
      </c>
      <c r="AF86" t="s">
        <v>13</v>
      </c>
      <c r="AG86" s="17" t="s">
        <v>7</v>
      </c>
      <c r="AH86" s="12"/>
      <c r="AI86" s="12" t="s">
        <v>196</v>
      </c>
      <c r="AJ86" s="19" t="s">
        <v>197</v>
      </c>
      <c r="AK86" s="20" t="str">
        <f>HYPERLINK("https://docs.google.com/document/d/1zx2ToY0GcjujicDXZiUTnvQUpIp0-oiJuQlUByUuEXk/edit?usp=drivesdk","Gabriela Canas - 6/16/2018 10:30 AM")</f>
        <v>Gabriela Canas - 6/16/2018 10:30 AM</v>
      </c>
      <c r="AL86" s="12" t="s">
        <v>198</v>
      </c>
    </row>
    <row r="87">
      <c r="A87" s="10">
        <f>IFERROR(__xludf.DUMMYFUNCTION("""COMPUTED_VALUE"""),43269.25535648148)</f>
        <v>43269.25536</v>
      </c>
      <c r="B87" s="11" t="str">
        <f>IFERROR(__xludf.DUMMYFUNCTION("""COMPUTED_VALUE"""),"Pamela Marcum")</f>
        <v>Pamela Marcum</v>
      </c>
      <c r="C87" t="str">
        <f>IFERROR(__xludf.DUMMYFUNCTION("""COMPUTED_VALUE"""),"Pamela.Marcum@dep.state.fl.us")</f>
        <v>Pamela.Marcum@dep.state.fl.us</v>
      </c>
      <c r="D87" t="str">
        <f>IFERROR(__xludf.DUMMYFUNCTION("""COMPUTED_VALUE"""),"Research")</f>
        <v>Research</v>
      </c>
      <c r="E87" t="str">
        <f>IFERROR(__xludf.DUMMYFUNCTION("""COMPUTED_VALUE"""),"Whitney &amp; Green Rd")</f>
        <v>Whitney &amp; Green Rd</v>
      </c>
      <c r="F87" s="13">
        <f>IFERROR(__xludf.DUMMYFUNCTION("""COMPUTED_VALUE"""),0.2916666666678793)</f>
        <v>0.2916666667</v>
      </c>
      <c r="G87" s="14">
        <f>IFERROR(__xludf.DUMMYFUNCTION("""COMPUTED_VALUE"""),43269.0)</f>
        <v>43269</v>
      </c>
      <c r="H87" t="str">
        <f>IFERROR(__xludf.DUMMYFUNCTION("""COMPUTED_VALUE"""),"Kimbro Sites- Pellicer &amp; Moses")</f>
        <v>Kimbro Sites- Pellicer &amp; Moses</v>
      </c>
      <c r="I87" s="15">
        <f>IFERROR(__xludf.DUMMYFUNCTION("""COMPUTED_VALUE"""),0.625)</f>
        <v>0.625</v>
      </c>
      <c r="J87" s="16">
        <f>IFERROR(__xludf.DUMMYFUNCTION("""COMPUTED_VALUE"""),43269.70833333333)</f>
        <v>43269.70833</v>
      </c>
      <c r="K87" t="str">
        <f>IFERROR(__xludf.DUMMYFUNCTION("""COMPUTED_VALUE"""),"23ft Skiff (Bertha) FL7972LJ DEP07613")</f>
        <v>23ft Skiff (Bertha) FL7972LJ DEP07613</v>
      </c>
      <c r="M87" t="str">
        <f>IFERROR(__xludf.DUMMYFUNCTION("""COMPUTED_VALUE"""),"Ford F150 2008 - DEP18041 (SWMP Thing)")</f>
        <v>Ford F150 2008 - DEP18041 (SWMP Thing)</v>
      </c>
      <c r="N87" t="str">
        <f>IFERROR(__xludf.DUMMYFUNCTION("""COMPUTED_VALUE"""),"Pam Marcum, (480) 332-5414, Ben Mowbray, (407) 962-8782")</f>
        <v>Pam Marcum, (480) 332-5414, Ben Mowbray, (407) 962-8782</v>
      </c>
      <c r="O87" t="str">
        <f>IFERROR(__xludf.DUMMYFUNCTION("""COMPUTED_VALUE"""),"David Kimbro, Nicole Peckham, Rodrigo")</f>
        <v>David Kimbro, Nicole Peckham, Rodrigo</v>
      </c>
      <c r="P87" t="str">
        <f>IFERROR(__xludf.DUMMYFUNCTION("""COMPUTED_VALUE"""),"Pam Marcum")</f>
        <v>Pam Marcum</v>
      </c>
      <c r="Q87" t="str">
        <f>IFERROR(__xludf.DUMMYFUNCTION("""COMPUTED_VALUE"""),"Good")</f>
        <v>Good</v>
      </c>
      <c r="R87" t="str">
        <f>IFERROR(__xludf.DUMMYFUNCTION("""COMPUTED_VALUE"""),"Good")</f>
        <v>Good</v>
      </c>
      <c r="S87" t="str">
        <f>IFERROR(__xludf.DUMMYFUNCTION("""COMPUTED_VALUE"""),"Good")</f>
        <v>Good</v>
      </c>
      <c r="T87" t="str">
        <f>IFERROR(__xludf.DUMMYFUNCTION("""COMPUTED_VALUE"""),"Good")</f>
        <v>Good</v>
      </c>
      <c r="U87" t="str">
        <f>IFERROR(__xludf.DUMMYFUNCTION("""COMPUTED_VALUE"""),"Good")</f>
        <v>Good</v>
      </c>
      <c r="V87" t="str">
        <f>IFERROR(__xludf.DUMMYFUNCTION("""COMPUTED_VALUE"""),"Good")</f>
        <v>Good</v>
      </c>
      <c r="W87" t="str">
        <f>IFERROR(__xludf.DUMMYFUNCTION("""COMPUTED_VALUE"""),"Good")</f>
        <v>Good</v>
      </c>
      <c r="X87" t="str">
        <f>IFERROR(__xludf.DUMMYFUNCTION("""COMPUTED_VALUE"""),"Good")</f>
        <v>Good</v>
      </c>
      <c r="Y87" t="str">
        <f>IFERROR(__xludf.DUMMYFUNCTION("""COMPUTED_VALUE"""),"Good")</f>
        <v>Good</v>
      </c>
      <c r="Z87" t="str">
        <f>IFERROR(__xludf.DUMMYFUNCTION("""COMPUTED_VALUE"""),"Good")</f>
        <v>Good</v>
      </c>
      <c r="AA87" t="str">
        <f>IFERROR(__xludf.DUMMYFUNCTION("""COMPUTED_VALUE"""),"Good")</f>
        <v>Good</v>
      </c>
      <c r="AB87" t="str">
        <f>IFERROR(__xludf.DUMMYFUNCTION("""COMPUTED_VALUE"""),"Good")</f>
        <v>Good</v>
      </c>
      <c r="AC87" t="str">
        <f>IFERROR(__xludf.DUMMYFUNCTION("""COMPUTED_VALUE"""),"Good")</f>
        <v>Good</v>
      </c>
      <c r="AE87" s="11"/>
      <c r="AF87" t="s">
        <v>13</v>
      </c>
      <c r="AG87" s="17" t="s">
        <v>18</v>
      </c>
      <c r="AH87" s="12"/>
      <c r="AI87" s="12" t="s">
        <v>199</v>
      </c>
      <c r="AJ87" s="19" t="s">
        <v>200</v>
      </c>
      <c r="AK87" s="20" t="str">
        <f>HYPERLINK("https://docs.google.com/document/d/1KwWbRZ0rfVkD6cgG4sahSuTzc2waIBHIwhs9aelaYeM/edit?usp=drivesdk","Pamela Marcum - 6/18/2018 7:00 AM")</f>
        <v>Pamela Marcum - 6/18/2018 7:00 AM</v>
      </c>
      <c r="AL87" s="12" t="s">
        <v>201</v>
      </c>
    </row>
    <row r="88">
      <c r="A88" s="10">
        <f>IFERROR(__xludf.DUMMYFUNCTION("""COMPUTED_VALUE"""),43270.230364710646)</f>
        <v>43270.23036</v>
      </c>
      <c r="B88" s="11" t="str">
        <f>IFERROR(__xludf.DUMMYFUNCTION("""COMPUTED_VALUE"""),"Ben Mowbray")</f>
        <v>Ben Mowbray</v>
      </c>
      <c r="C88" t="str">
        <f>IFERROR(__xludf.DUMMYFUNCTION("""COMPUTED_VALUE"""),"ben.mowbray@dep.state.fl.us")</f>
        <v>ben.mowbray@dep.state.fl.us</v>
      </c>
      <c r="D88" t="str">
        <f>IFERROR(__xludf.DUMMYFUNCTION("""COMPUTED_VALUE"""),"Research")</f>
        <v>Research</v>
      </c>
      <c r="E88" t="str">
        <f>IFERROR(__xludf.DUMMYFUNCTION("""COMPUTED_VALUE"""),"Green Rd. Boat Ramp")</f>
        <v>Green Rd. Boat Ramp</v>
      </c>
      <c r="F88" s="13">
        <f>IFERROR(__xludf.DUMMYFUNCTION("""COMPUTED_VALUE"""),0.375)</f>
        <v>0.375</v>
      </c>
      <c r="G88" s="14">
        <f>IFERROR(__xludf.DUMMYFUNCTION("""COMPUTED_VALUE"""),43270.0)</f>
        <v>43270</v>
      </c>
      <c r="H88" t="str">
        <f>IFERROR(__xludf.DUMMYFUNCTION("""COMPUTED_VALUE"""),"Moses Kimbro Site")</f>
        <v>Moses Kimbro Site</v>
      </c>
      <c r="I88" s="15">
        <f>IFERROR(__xludf.DUMMYFUNCTION("""COMPUTED_VALUE"""),0.5625)</f>
        <v>0.5625</v>
      </c>
      <c r="J88" s="16">
        <f>IFERROR(__xludf.DUMMYFUNCTION("""COMPUTED_VALUE"""),43270.625)</f>
        <v>43270.625</v>
      </c>
      <c r="K88" t="str">
        <f>IFERROR(__xludf.DUMMYFUNCTION("""COMPUTED_VALUE"""),"23ft Skiff (Bertha) FL7972LJ DEP07613, Kayak(s)")</f>
        <v>23ft Skiff (Bertha) FL7972LJ DEP07613, Kayak(s)</v>
      </c>
      <c r="L88">
        <f>IFERROR(__xludf.DUMMYFUNCTION("""COMPUTED_VALUE"""),1.0)</f>
        <v>1</v>
      </c>
      <c r="M88" t="str">
        <f>IFERROR(__xludf.DUMMYFUNCTION("""COMPUTED_VALUE"""),"Ford F150 2015 (White) - DEP21448")</f>
        <v>Ford F150 2015 (White) - DEP21448</v>
      </c>
      <c r="N88" t="str">
        <f>IFERROR(__xludf.DUMMYFUNCTION("""COMPUTED_VALUE"""),"Ben Mowbray, (407) 962-8782")</f>
        <v>Ben Mowbray, (407) 962-8782</v>
      </c>
      <c r="O88" t="str">
        <f>IFERROR(__xludf.DUMMYFUNCTION("""COMPUTED_VALUE"""),"Nicole Peckham, Adrienne, Rodrigo")</f>
        <v>Nicole Peckham, Adrienne, Rodrigo</v>
      </c>
      <c r="P88" t="str">
        <f>IFERROR(__xludf.DUMMYFUNCTION("""COMPUTED_VALUE"""),"Ben")</f>
        <v>Ben</v>
      </c>
      <c r="Q88" t="str">
        <f>IFERROR(__xludf.DUMMYFUNCTION("""COMPUTED_VALUE"""),"Good")</f>
        <v>Good</v>
      </c>
      <c r="R88" t="str">
        <f>IFERROR(__xludf.DUMMYFUNCTION("""COMPUTED_VALUE"""),"Good")</f>
        <v>Good</v>
      </c>
      <c r="S88" t="str">
        <f>IFERROR(__xludf.DUMMYFUNCTION("""COMPUTED_VALUE"""),"Good")</f>
        <v>Good</v>
      </c>
      <c r="T88" t="str">
        <f>IFERROR(__xludf.DUMMYFUNCTION("""COMPUTED_VALUE"""),"Good")</f>
        <v>Good</v>
      </c>
      <c r="U88" t="str">
        <f>IFERROR(__xludf.DUMMYFUNCTION("""COMPUTED_VALUE"""),"Good")</f>
        <v>Good</v>
      </c>
      <c r="V88" t="str">
        <f>IFERROR(__xludf.DUMMYFUNCTION("""COMPUTED_VALUE"""),"Good")</f>
        <v>Good</v>
      </c>
      <c r="W88" t="str">
        <f>IFERROR(__xludf.DUMMYFUNCTION("""COMPUTED_VALUE"""),"Good")</f>
        <v>Good</v>
      </c>
      <c r="X88" t="str">
        <f>IFERROR(__xludf.DUMMYFUNCTION("""COMPUTED_VALUE"""),"Good")</f>
        <v>Good</v>
      </c>
      <c r="Y88" t="str">
        <f>IFERROR(__xludf.DUMMYFUNCTION("""COMPUTED_VALUE"""),"Good")</f>
        <v>Good</v>
      </c>
      <c r="Z88" t="str">
        <f>IFERROR(__xludf.DUMMYFUNCTION("""COMPUTED_VALUE"""),"Good")</f>
        <v>Good</v>
      </c>
      <c r="AA88" t="str">
        <f>IFERROR(__xludf.DUMMYFUNCTION("""COMPUTED_VALUE"""),"Good")</f>
        <v>Good</v>
      </c>
      <c r="AB88" t="str">
        <f>IFERROR(__xludf.DUMMYFUNCTION("""COMPUTED_VALUE"""),"Good")</f>
        <v>Good</v>
      </c>
      <c r="AC88" t="str">
        <f>IFERROR(__xludf.DUMMYFUNCTION("""COMPUTED_VALUE"""),"Good")</f>
        <v>Good</v>
      </c>
      <c r="AE88" s="11"/>
      <c r="AF88" t="s">
        <v>13</v>
      </c>
      <c r="AG88" s="17" t="s">
        <v>18</v>
      </c>
      <c r="AH88" s="12"/>
      <c r="AI88" s="12" t="s">
        <v>202</v>
      </c>
      <c r="AJ88" s="19" t="s">
        <v>203</v>
      </c>
      <c r="AK88" s="20" t="str">
        <f>HYPERLINK("https://docs.google.com/document/d/18sH7tpcvRVPrnvu5INSV_e-yIKj2uGcQozGVLnx_pZU/edit?usp=drivesdk","Ben Mowbray - 6/19/2018 9:00 AM")</f>
        <v>Ben Mowbray - 6/19/2018 9:00 AM</v>
      </c>
      <c r="AL88" s="12" t="s">
        <v>204</v>
      </c>
    </row>
    <row r="89">
      <c r="A89" s="10">
        <f>IFERROR(__xludf.DUMMYFUNCTION("""COMPUTED_VALUE"""),43272.359175879625)</f>
        <v>43272.35918</v>
      </c>
      <c r="B89" s="11" t="str">
        <f>IFERROR(__xludf.DUMMYFUNCTION("""COMPUTED_VALUE"""),"James Tomazinis")</f>
        <v>James Tomazinis</v>
      </c>
      <c r="C89" t="str">
        <f>IFERROR(__xludf.DUMMYFUNCTION("""COMPUTED_VALUE"""),"james.tomazinis@floridadep.gov")</f>
        <v>james.tomazinis@floridadep.gov</v>
      </c>
      <c r="D89" t="str">
        <f>IFERROR(__xludf.DUMMYFUNCTION("""COMPUTED_VALUE"""),"Stewardship (Aquatic)")</f>
        <v>Stewardship (Aquatic)</v>
      </c>
      <c r="E89" t="str">
        <f>IFERROR(__xludf.DUMMYFUNCTION("""COMPUTED_VALUE"""),"Sawpit creek")</f>
        <v>Sawpit creek</v>
      </c>
      <c r="F89" s="13">
        <f>IFERROR(__xludf.DUMMYFUNCTION("""COMPUTED_VALUE"""),0.40625)</f>
        <v>0.40625</v>
      </c>
      <c r="G89" s="14">
        <f>IFERROR(__xludf.DUMMYFUNCTION("""COMPUTED_VALUE"""),43272.0)</f>
        <v>43272</v>
      </c>
      <c r="H89" t="str">
        <f>IFERROR(__xludf.DUMMYFUNCTION("""COMPUTED_VALUE"""),"Nassauville restoration site and mangroves")</f>
        <v>Nassauville restoration site and mangroves</v>
      </c>
      <c r="I89" s="15">
        <f>IFERROR(__xludf.DUMMYFUNCTION("""COMPUTED_VALUE"""),0.7083333333321207)</f>
        <v>0.7083333333</v>
      </c>
      <c r="J89" s="16"/>
      <c r="K89" t="str">
        <f>IFERROR(__xludf.DUMMYFUNCTION("""COMPUTED_VALUE"""),"F 20ft Sea Ark (Easy 200) FL8534PY DEP21451")</f>
        <v>F 20ft Sea Ark (Easy 200) FL8534PY DEP21451</v>
      </c>
      <c r="M89" t="str">
        <f>IFERROR(__xludf.DUMMYFUNCTION("""COMPUTED_VALUE"""),"Ford F250 2017 (Moby Dix) - DEP0021578")</f>
        <v>Ford F250 2017 (Moby Dix) - DEP0021578</v>
      </c>
      <c r="N89" t="str">
        <f>IFERROR(__xludf.DUMMYFUNCTION("""COMPUTED_VALUE"""),"Scott Eastman, (904) 501-9267, Jimmy Tomazinis, (904) 547-0094")</f>
        <v>Scott Eastman, (904) 501-9267, Jimmy Tomazinis, (904) 547-0094</v>
      </c>
      <c r="O89" t="str">
        <f>IFERROR(__xludf.DUMMYFUNCTION("""COMPUTED_VALUE"""),"Mike Dickson")</f>
        <v>Mike Dickson</v>
      </c>
      <c r="P89" t="str">
        <f>IFERROR(__xludf.DUMMYFUNCTION("""COMPUTED_VALUE"""),"Jimmy")</f>
        <v>Jimmy</v>
      </c>
      <c r="Q89" t="str">
        <f>IFERROR(__xludf.DUMMYFUNCTION("""COMPUTED_VALUE"""),"Good")</f>
        <v>Good</v>
      </c>
      <c r="R89" t="str">
        <f>IFERROR(__xludf.DUMMYFUNCTION("""COMPUTED_VALUE"""),"Good")</f>
        <v>Good</v>
      </c>
      <c r="S89" t="str">
        <f>IFERROR(__xludf.DUMMYFUNCTION("""COMPUTED_VALUE"""),"Good")</f>
        <v>Good</v>
      </c>
      <c r="T89" t="str">
        <f>IFERROR(__xludf.DUMMYFUNCTION("""COMPUTED_VALUE"""),"Good")</f>
        <v>Good</v>
      </c>
      <c r="U89" t="str">
        <f>IFERROR(__xludf.DUMMYFUNCTION("""COMPUTED_VALUE"""),"Good")</f>
        <v>Good</v>
      </c>
      <c r="V89" t="str">
        <f>IFERROR(__xludf.DUMMYFUNCTION("""COMPUTED_VALUE"""),"Good")</f>
        <v>Good</v>
      </c>
      <c r="W89" t="str">
        <f>IFERROR(__xludf.DUMMYFUNCTION("""COMPUTED_VALUE"""),"Good")</f>
        <v>Good</v>
      </c>
      <c r="X89" t="str">
        <f>IFERROR(__xludf.DUMMYFUNCTION("""COMPUTED_VALUE"""),"Good")</f>
        <v>Good</v>
      </c>
      <c r="Y89" t="str">
        <f>IFERROR(__xludf.DUMMYFUNCTION("""COMPUTED_VALUE"""),"Good")</f>
        <v>Good</v>
      </c>
      <c r="Z89" t="str">
        <f>IFERROR(__xludf.DUMMYFUNCTION("""COMPUTED_VALUE"""),"Good")</f>
        <v>Good</v>
      </c>
      <c r="AA89" t="str">
        <f>IFERROR(__xludf.DUMMYFUNCTION("""COMPUTED_VALUE"""),"Good")</f>
        <v>Good</v>
      </c>
      <c r="AB89" t="str">
        <f>IFERROR(__xludf.DUMMYFUNCTION("""COMPUTED_VALUE"""),"Good")</f>
        <v>Good</v>
      </c>
      <c r="AC89" t="str">
        <f>IFERROR(__xludf.DUMMYFUNCTION("""COMPUTED_VALUE"""),"Good")</f>
        <v>Good</v>
      </c>
      <c r="AE89" s="11"/>
      <c r="AF89" t="s">
        <v>32</v>
      </c>
      <c r="AG89" s="17" t="s">
        <v>18</v>
      </c>
      <c r="AH89" s="12"/>
      <c r="AI89" s="12" t="s">
        <v>205</v>
      </c>
      <c r="AJ89" s="19" t="s">
        <v>206</v>
      </c>
      <c r="AK89" s="20" t="str">
        <f>HYPERLINK("https://docs.google.com/document/d/1v7q-IULNLh2s7jlsl-iuhE7Fi_UIkWYnjOZQaPhKCSs/edit?usp=drivesdk","James Tomazinis - 6/21/2018 9:45 AM")</f>
        <v>James Tomazinis - 6/21/2018 9:45 AM</v>
      </c>
      <c r="AL89" s="12" t="s">
        <v>207</v>
      </c>
    </row>
    <row r="90">
      <c r="A90" s="10">
        <f>IFERROR(__xludf.DUMMYFUNCTION("""COMPUTED_VALUE"""),43276.37586149305)</f>
        <v>43276.37586</v>
      </c>
      <c r="B90" s="11" t="str">
        <f>IFERROR(__xludf.DUMMYFUNCTION("""COMPUTED_VALUE"""),"Pamela Marcum")</f>
        <v>Pamela Marcum</v>
      </c>
      <c r="C90" t="str">
        <f>IFERROR(__xludf.DUMMYFUNCTION("""COMPUTED_VALUE"""),"Pamela.Marcum@dep.state.fl.us")</f>
        <v>Pamela.Marcum@dep.state.fl.us</v>
      </c>
      <c r="D90" t="str">
        <f>IFERROR(__xludf.DUMMYFUNCTION("""COMPUTED_VALUE"""),"Research")</f>
        <v>Research</v>
      </c>
      <c r="E90" t="str">
        <f>IFERROR(__xludf.DUMMYFUNCTION("""COMPUTED_VALUE"""),"Bing's Landing")</f>
        <v>Bing's Landing</v>
      </c>
      <c r="F90" s="13">
        <f>IFERROR(__xludf.DUMMYFUNCTION("""COMPUTED_VALUE"""),0.5)</f>
        <v>0.5</v>
      </c>
      <c r="G90" s="14">
        <f>IFERROR(__xludf.DUMMYFUNCTION("""COMPUTED_VALUE"""),43276.0)</f>
        <v>43276</v>
      </c>
      <c r="H90" t="str">
        <f>IFERROR(__xludf.DUMMYFUNCTION("""COMPUTED_VALUE"""),"Mantanzas River")</f>
        <v>Mantanzas River</v>
      </c>
      <c r="I90" s="15">
        <f>IFERROR(__xludf.DUMMYFUNCTION("""COMPUTED_VALUE"""),0.625)</f>
        <v>0.625</v>
      </c>
      <c r="J90" s="16">
        <f>IFERROR(__xludf.DUMMYFUNCTION("""COMPUTED_VALUE"""),43276.66666666667)</f>
        <v>43276.66667</v>
      </c>
      <c r="K90" t="str">
        <f>IFERROR(__xludf.DUMMYFUNCTION("""COMPUTED_VALUE"""),"23ft Skiff (Bertha) FL7972LJ DEP07613")</f>
        <v>23ft Skiff (Bertha) FL7972LJ DEP07613</v>
      </c>
      <c r="M90" t="str">
        <f>IFERROR(__xludf.DUMMYFUNCTION("""COMPUTED_VALUE"""),"Ford F150 2008 - DEP18041 (SWMP Thing)")</f>
        <v>Ford F150 2008 - DEP18041 (SWMP Thing)</v>
      </c>
      <c r="N90" t="str">
        <f>IFERROR(__xludf.DUMMYFUNCTION("""COMPUTED_VALUE"""),"Pam Marcum, (480) 332-5414")</f>
        <v>Pam Marcum, (480) 332-5414</v>
      </c>
      <c r="O90" t="str">
        <f>IFERROR(__xludf.DUMMYFUNCTION("""COMPUTED_VALUE"""),"Benjamin Mowbray, (407) 962-8782, Remo Mondazzi")</f>
        <v>Benjamin Mowbray, (407) 962-8782, Remo Mondazzi</v>
      </c>
      <c r="P90" t="str">
        <f>IFERROR(__xludf.DUMMYFUNCTION("""COMPUTED_VALUE"""),"Pamela Marcum")</f>
        <v>Pamela Marcum</v>
      </c>
      <c r="Q90" t="str">
        <f>IFERROR(__xludf.DUMMYFUNCTION("""COMPUTED_VALUE"""),"Good")</f>
        <v>Good</v>
      </c>
      <c r="R90" t="str">
        <f>IFERROR(__xludf.DUMMYFUNCTION("""COMPUTED_VALUE"""),"Good")</f>
        <v>Good</v>
      </c>
      <c r="S90" t="str">
        <f>IFERROR(__xludf.DUMMYFUNCTION("""COMPUTED_VALUE"""),"Good")</f>
        <v>Good</v>
      </c>
      <c r="T90" t="str">
        <f>IFERROR(__xludf.DUMMYFUNCTION("""COMPUTED_VALUE"""),"Good")</f>
        <v>Good</v>
      </c>
      <c r="U90" t="str">
        <f>IFERROR(__xludf.DUMMYFUNCTION("""COMPUTED_VALUE"""),"Good")</f>
        <v>Good</v>
      </c>
      <c r="V90" t="str">
        <f>IFERROR(__xludf.DUMMYFUNCTION("""COMPUTED_VALUE"""),"Good")</f>
        <v>Good</v>
      </c>
      <c r="W90" t="str">
        <f>IFERROR(__xludf.DUMMYFUNCTION("""COMPUTED_VALUE"""),"Good")</f>
        <v>Good</v>
      </c>
      <c r="X90" t="str">
        <f>IFERROR(__xludf.DUMMYFUNCTION("""COMPUTED_VALUE"""),"Good")</f>
        <v>Good</v>
      </c>
      <c r="Y90" t="str">
        <f>IFERROR(__xludf.DUMMYFUNCTION("""COMPUTED_VALUE"""),"Good")</f>
        <v>Good</v>
      </c>
      <c r="Z90" t="str">
        <f>IFERROR(__xludf.DUMMYFUNCTION("""COMPUTED_VALUE"""),"Good")</f>
        <v>Good</v>
      </c>
      <c r="AA90" t="str">
        <f>IFERROR(__xludf.DUMMYFUNCTION("""COMPUTED_VALUE"""),"Good")</f>
        <v>Good</v>
      </c>
      <c r="AB90" t="str">
        <f>IFERROR(__xludf.DUMMYFUNCTION("""COMPUTED_VALUE"""),"Good")</f>
        <v>Good</v>
      </c>
      <c r="AC90" t="str">
        <f>IFERROR(__xludf.DUMMYFUNCTION("""COMPUTED_VALUE"""),"Good")</f>
        <v>Good</v>
      </c>
      <c r="AE90" s="11"/>
      <c r="AF90" t="s">
        <v>13</v>
      </c>
      <c r="AG90" s="17" t="s">
        <v>208</v>
      </c>
      <c r="AH90" s="12"/>
      <c r="AI90" s="12" t="s">
        <v>209</v>
      </c>
      <c r="AJ90" s="19" t="s">
        <v>210</v>
      </c>
      <c r="AK90" s="20" t="str">
        <f>HYPERLINK("https://docs.google.com/document/d/1L0kzkzO3R_dAJCQe55pzE_QXkWNAsyj-X0rnm0gVaQY/edit?usp=drivesdk","Pamela Marcum - 6/25/2018 12:00 PM")</f>
        <v>Pamela Marcum - 6/25/2018 12:00 PM</v>
      </c>
      <c r="AL90" s="12" t="s">
        <v>211</v>
      </c>
    </row>
    <row r="91">
      <c r="A91" s="10">
        <f>IFERROR(__xludf.DUMMYFUNCTION("""COMPUTED_VALUE"""),43276.43057229167)</f>
        <v>43276.43057</v>
      </c>
      <c r="B91" s="11" t="str">
        <f>IFERROR(__xludf.DUMMYFUNCTION("""COMPUTED_VALUE"""),"Kenneth Rainer")</f>
        <v>Kenneth Rainer</v>
      </c>
      <c r="C91" t="str">
        <f>IFERROR(__xludf.DUMMYFUNCTION("""COMPUTED_VALUE"""),"Kenneth.Rainer@dep.state.fl.us")</f>
        <v>Kenneth.Rainer@dep.state.fl.us</v>
      </c>
      <c r="D91" t="str">
        <f>IFERROR(__xludf.DUMMYFUNCTION("""COMPUTED_VALUE"""),"Education")</f>
        <v>Education</v>
      </c>
      <c r="E91" t="str">
        <f>IFERROR(__xludf.DUMMYFUNCTION("""COMPUTED_VALUE"""),"Usina Boat Ramp")</f>
        <v>Usina Boat Ramp</v>
      </c>
      <c r="F91" s="13">
        <f>IFERROR(__xludf.DUMMYFUNCTION("""COMPUTED_VALUE"""),0.375)</f>
        <v>0.375</v>
      </c>
      <c r="G91" s="14">
        <f>IFERROR(__xludf.DUMMYFUNCTION("""COMPUTED_VALUE"""),43277.0)</f>
        <v>43277</v>
      </c>
      <c r="H91" t="str">
        <f>IFERROR(__xludf.DUMMYFUNCTION("""COMPUTED_VALUE"""),"Northern Component - Shell Bluff")</f>
        <v>Northern Component - Shell Bluff</v>
      </c>
      <c r="I91" s="15">
        <f>IFERROR(__xludf.DUMMYFUNCTION("""COMPUTED_VALUE"""),0.5416666666678793)</f>
        <v>0.5416666667</v>
      </c>
      <c r="J91" s="16">
        <f>IFERROR(__xludf.DUMMYFUNCTION("""COMPUTED_VALUE"""),43277.58333333333)</f>
        <v>43277.58333</v>
      </c>
      <c r="K91" t="str">
        <f>IFERROR(__xludf.DUMMYFUNCTION("""COMPUTED_VALUE"""),"23ft Skiff (Bertha) FL7972LJ DEP07613")</f>
        <v>23ft Skiff (Bertha) FL7972LJ DEP07613</v>
      </c>
      <c r="M91" t="str">
        <f>IFERROR(__xludf.DUMMYFUNCTION("""COMPUTED_VALUE"""),"Ford F250 2017 (Moby Dix) - DEP0021578")</f>
        <v>Ford F250 2017 (Moby Dix) - DEP0021578</v>
      </c>
      <c r="N91" t="str">
        <f>IFERROR(__xludf.DUMMYFUNCTION("""COMPUTED_VALUE"""),"Kenneth Rainer, (936) 499-1853")</f>
        <v>Kenneth Rainer, (936) 499-1853</v>
      </c>
      <c r="O91" t="str">
        <f>IFERROR(__xludf.DUMMYFUNCTION("""COMPUTED_VALUE"""),"Gabriela Canas, (904) 891-9743, Emma Hanson, Josie Spearman, (386) 627-0816")</f>
        <v>Gabriela Canas, (904) 891-9743, Emma Hanson, Josie Spearman, (386) 627-0816</v>
      </c>
      <c r="P91" t="str">
        <f>IFERROR(__xludf.DUMMYFUNCTION("""COMPUTED_VALUE"""),"Kenneth Rainer")</f>
        <v>Kenneth Rainer</v>
      </c>
      <c r="Q91" t="str">
        <f>IFERROR(__xludf.DUMMYFUNCTION("""COMPUTED_VALUE"""),"Good")</f>
        <v>Good</v>
      </c>
      <c r="R91" t="str">
        <f>IFERROR(__xludf.DUMMYFUNCTION("""COMPUTED_VALUE"""),"Good")</f>
        <v>Good</v>
      </c>
      <c r="S91" t="str">
        <f>IFERROR(__xludf.DUMMYFUNCTION("""COMPUTED_VALUE"""),"Good")</f>
        <v>Good</v>
      </c>
      <c r="T91" t="str">
        <f>IFERROR(__xludf.DUMMYFUNCTION("""COMPUTED_VALUE"""),"Good")</f>
        <v>Good</v>
      </c>
      <c r="U91" t="str">
        <f>IFERROR(__xludf.DUMMYFUNCTION("""COMPUTED_VALUE"""),"Good")</f>
        <v>Good</v>
      </c>
      <c r="V91" t="str">
        <f>IFERROR(__xludf.DUMMYFUNCTION("""COMPUTED_VALUE"""),"Good")</f>
        <v>Good</v>
      </c>
      <c r="W91" t="str">
        <f>IFERROR(__xludf.DUMMYFUNCTION("""COMPUTED_VALUE"""),"Good")</f>
        <v>Good</v>
      </c>
      <c r="X91" t="str">
        <f>IFERROR(__xludf.DUMMYFUNCTION("""COMPUTED_VALUE"""),"Good")</f>
        <v>Good</v>
      </c>
      <c r="Y91" t="str">
        <f>IFERROR(__xludf.DUMMYFUNCTION("""COMPUTED_VALUE"""),"Good")</f>
        <v>Good</v>
      </c>
      <c r="Z91" t="str">
        <f>IFERROR(__xludf.DUMMYFUNCTION("""COMPUTED_VALUE"""),"Good")</f>
        <v>Good</v>
      </c>
      <c r="AA91" t="str">
        <f>IFERROR(__xludf.DUMMYFUNCTION("""COMPUTED_VALUE"""),"Good")</f>
        <v>Good</v>
      </c>
      <c r="AB91" t="str">
        <f>IFERROR(__xludf.DUMMYFUNCTION("""COMPUTED_VALUE"""),"Good")</f>
        <v>Good</v>
      </c>
      <c r="AC91" t="str">
        <f>IFERROR(__xludf.DUMMYFUNCTION("""COMPUTED_VALUE"""),"Good")</f>
        <v>Good</v>
      </c>
      <c r="AD91" t="str">
        <f>IFERROR(__xludf.DUMMYFUNCTION("""COMPUTED_VALUE"""),"Partly cloudy. A stray shower or thunderstorm is possible. High 89F. Winds SSE at 10 to 15 mph.")</f>
        <v>Partly cloudy. A stray shower or thunderstorm is possible. High 89F. Winds SSE at 10 to 15 mph.</v>
      </c>
      <c r="AE91" s="11" t="str">
        <f>IFERROR(__xludf.DUMMYFUNCTION("""COMPUTED_VALUE"""),"2:07 AM (-0.02); 7:59 AM (3.53); 1:56 PM (-0.26); 8:26 PM (4.52)")</f>
        <v>2:07 AM (-0.02); 7:59 AM (3.53); 1:56 PM (-0.26); 8:26 PM (4.52)</v>
      </c>
      <c r="AF91" t="s">
        <v>9</v>
      </c>
      <c r="AG91" s="17" t="s">
        <v>128</v>
      </c>
      <c r="AH91" s="12"/>
      <c r="AI91" s="12" t="s">
        <v>212</v>
      </c>
      <c r="AJ91" s="19" t="s">
        <v>213</v>
      </c>
      <c r="AK91" s="20" t="str">
        <f>HYPERLINK("https://docs.google.com/document/d/1ntrs6YFpK78CyX3JOrufebLGk1XUDopFAGN4tHmjzSY/edit?usp=drivesdk","Kenneth Rainer - 6/26/2018 9:00 AM")</f>
        <v>Kenneth Rainer - 6/26/2018 9:00 AM</v>
      </c>
      <c r="AL91" s="12" t="s">
        <v>214</v>
      </c>
    </row>
    <row r="92">
      <c r="A92" s="10">
        <f>IFERROR(__xludf.DUMMYFUNCTION("""COMPUTED_VALUE"""),43278.30461924768)</f>
        <v>43278.30462</v>
      </c>
      <c r="B92" s="11" t="str">
        <f>IFERROR(__xludf.DUMMYFUNCTION("""COMPUTED_VALUE"""),"James Tomazinis")</f>
        <v>James Tomazinis</v>
      </c>
      <c r="C92" t="str">
        <f>IFERROR(__xludf.DUMMYFUNCTION("""COMPUTED_VALUE"""),"james.tomazinis@floridadep.gov")</f>
        <v>james.tomazinis@floridadep.gov</v>
      </c>
      <c r="D92" t="str">
        <f>IFERROR(__xludf.DUMMYFUNCTION("""COMPUTED_VALUE"""),"Stewardship (Aquatic)")</f>
        <v>Stewardship (Aquatic)</v>
      </c>
      <c r="E92" t="str">
        <f>IFERROR(__xludf.DUMMYFUNCTION("""COMPUTED_VALUE"""),"Guana Dam")</f>
        <v>Guana Dam</v>
      </c>
      <c r="F92" s="13">
        <f>IFERROR(__xludf.DUMMYFUNCTION("""COMPUTED_VALUE"""),0.3125)</f>
        <v>0.3125</v>
      </c>
      <c r="G92" s="14">
        <f>IFERROR(__xludf.DUMMYFUNCTION("""COMPUTED_VALUE"""),43278.0)</f>
        <v>43278</v>
      </c>
      <c r="H92" t="str">
        <f>IFERROR(__xludf.DUMMYFUNCTION("""COMPUTED_VALUE"""),"Guana lake")</f>
        <v>Guana lake</v>
      </c>
      <c r="I92" s="15">
        <f>IFERROR(__xludf.DUMMYFUNCTION("""COMPUTED_VALUE"""),0.5416666666678793)</f>
        <v>0.5416666667</v>
      </c>
      <c r="J92" s="16"/>
      <c r="K92" t="str">
        <f>IFERROR(__xludf.DUMMYFUNCTION("""COMPUTED_VALUE"""),"Jon Boat FL0484NP DEP06819")</f>
        <v>Jon Boat FL0484NP DEP06819</v>
      </c>
      <c r="M92" t="str">
        <f>IFERROR(__xludf.DUMMYFUNCTION("""COMPUTED_VALUE"""),"Ford F150 2015 (White) - DEP21448")</f>
        <v>Ford F150 2015 (White) - DEP21448</v>
      </c>
      <c r="N92" t="str">
        <f>IFERROR(__xludf.DUMMYFUNCTION("""COMPUTED_VALUE"""),"Jimmy Tomazinis, (904) 547-0094")</f>
        <v>Jimmy Tomazinis, (904) 547-0094</v>
      </c>
      <c r="O92" t="str">
        <f>IFERROR(__xludf.DUMMYFUNCTION("""COMPUTED_VALUE"""),"Kelly Smith")</f>
        <v>Kelly Smith</v>
      </c>
      <c r="P92" t="str">
        <f>IFERROR(__xludf.DUMMYFUNCTION("""COMPUTED_VALUE"""),"Jimmy")</f>
        <v>Jimmy</v>
      </c>
      <c r="Q92" t="str">
        <f>IFERROR(__xludf.DUMMYFUNCTION("""COMPUTED_VALUE"""),"Good")</f>
        <v>Good</v>
      </c>
      <c r="R92" t="str">
        <f>IFERROR(__xludf.DUMMYFUNCTION("""COMPUTED_VALUE"""),"Good")</f>
        <v>Good</v>
      </c>
      <c r="S92" t="str">
        <f>IFERROR(__xludf.DUMMYFUNCTION("""COMPUTED_VALUE"""),"Good")</f>
        <v>Good</v>
      </c>
      <c r="T92" t="str">
        <f>IFERROR(__xludf.DUMMYFUNCTION("""COMPUTED_VALUE"""),"Good")</f>
        <v>Good</v>
      </c>
      <c r="U92" t="str">
        <f>IFERROR(__xludf.DUMMYFUNCTION("""COMPUTED_VALUE"""),"Good")</f>
        <v>Good</v>
      </c>
      <c r="V92" t="str">
        <f>IFERROR(__xludf.DUMMYFUNCTION("""COMPUTED_VALUE"""),"Good")</f>
        <v>Good</v>
      </c>
      <c r="W92" t="str">
        <f>IFERROR(__xludf.DUMMYFUNCTION("""COMPUTED_VALUE"""),"Good")</f>
        <v>Good</v>
      </c>
      <c r="X92" t="str">
        <f>IFERROR(__xludf.DUMMYFUNCTION("""COMPUTED_VALUE"""),"Good")</f>
        <v>Good</v>
      </c>
      <c r="Y92" t="str">
        <f>IFERROR(__xludf.DUMMYFUNCTION("""COMPUTED_VALUE"""),"Good")</f>
        <v>Good</v>
      </c>
      <c r="Z92" t="str">
        <f>IFERROR(__xludf.DUMMYFUNCTION("""COMPUTED_VALUE"""),"Good")</f>
        <v>Good</v>
      </c>
      <c r="AA92" t="str">
        <f>IFERROR(__xludf.DUMMYFUNCTION("""COMPUTED_VALUE"""),"Good")</f>
        <v>Good</v>
      </c>
      <c r="AB92" t="str">
        <f>IFERROR(__xludf.DUMMYFUNCTION("""COMPUTED_VALUE"""),"Good")</f>
        <v>Good</v>
      </c>
      <c r="AC92" t="str">
        <f>IFERROR(__xludf.DUMMYFUNCTION("""COMPUTED_VALUE"""),"Good")</f>
        <v>Good</v>
      </c>
      <c r="AE92" s="11"/>
      <c r="AF92" t="s">
        <v>32</v>
      </c>
      <c r="AG92" s="17" t="s">
        <v>18</v>
      </c>
      <c r="AH92" s="12"/>
      <c r="AI92" s="12" t="s">
        <v>215</v>
      </c>
      <c r="AJ92" s="19" t="s">
        <v>216</v>
      </c>
      <c r="AK92" s="20" t="str">
        <f>HYPERLINK("https://docs.google.com/document/d/1FpILXcPLEtzulcfVT6SGTL70ibQT75O0hb2ZfXmGgmI/edit?usp=drivesdk","James Tomazinis - 6/27/2018 7:30 AM")</f>
        <v>James Tomazinis - 6/27/2018 7:30 AM</v>
      </c>
      <c r="AL92" s="12" t="s">
        <v>217</v>
      </c>
    </row>
    <row r="93">
      <c r="A93" s="10">
        <f>IFERROR(__xludf.DUMMYFUNCTION("""COMPUTED_VALUE"""),43278.408061863425)</f>
        <v>43278.40806</v>
      </c>
      <c r="B93" s="11" t="str">
        <f>IFERROR(__xludf.DUMMYFUNCTION("""COMPUTED_VALUE"""),"Silas Tanner")</f>
        <v>Silas Tanner</v>
      </c>
      <c r="C93" t="str">
        <f>IFERROR(__xludf.DUMMYFUNCTION("""COMPUTED_VALUE"""),"silas.tanner@floridadep.gov")</f>
        <v>silas.tanner@floridadep.gov</v>
      </c>
      <c r="D93" t="str">
        <f>IFERROR(__xludf.DUMMYFUNCTION("""COMPUTED_VALUE"""),"Research/Nikki")</f>
        <v>Research/Nikki</v>
      </c>
      <c r="E93" t="str">
        <f>IFERROR(__xludf.DUMMYFUNCTION("""COMPUTED_VALUE"""),"Bing's")</f>
        <v>Bing's</v>
      </c>
      <c r="F93" s="13">
        <f>IFERROR(__xludf.DUMMYFUNCTION("""COMPUTED_VALUE"""),0.4583333333321207)</f>
        <v>0.4583333333</v>
      </c>
      <c r="G93" s="14">
        <f>IFERROR(__xludf.DUMMYFUNCTION("""COMPUTED_VALUE"""),43278.0)</f>
        <v>43278</v>
      </c>
      <c r="H93" t="str">
        <f>IFERROR(__xludf.DUMMYFUNCTION("""COMPUTED_VALUE"""),"ICW - Summerhaven")</f>
        <v>ICW - Summerhaven</v>
      </c>
      <c r="I93" s="15">
        <f>IFERROR(__xludf.DUMMYFUNCTION("""COMPUTED_VALUE"""),0.6041666666678793)</f>
        <v>0.6041666667</v>
      </c>
      <c r="J93" s="16">
        <f>IFERROR(__xludf.DUMMYFUNCTION("""COMPUTED_VALUE"""),43278.64583333333)</f>
        <v>43278.64583</v>
      </c>
      <c r="K93" t="str">
        <f>IFERROR(__xludf.DUMMYFUNCTION("""COMPUTED_VALUE"""),"23ft Skiff (Bertha) FL7972LJ DEP07613")</f>
        <v>23ft Skiff (Bertha) FL7972LJ DEP07613</v>
      </c>
      <c r="M93" t="str">
        <f>IFERROR(__xludf.DUMMYFUNCTION("""COMPUTED_VALUE"""),"Ford F250 2017 (Moby Dix) - DEP0021578")</f>
        <v>Ford F250 2017 (Moby Dix) - DEP0021578</v>
      </c>
      <c r="N93" t="str">
        <f>IFERROR(__xludf.DUMMYFUNCTION("""COMPUTED_VALUE"""),"Shannon Dunnigan, (803) 727-5734, Silas Tanner, (904) 483-8423")</f>
        <v>Shannon Dunnigan, (803) 727-5734, Silas Tanner, (904) 483-8423</v>
      </c>
      <c r="O93" t="str">
        <f>IFERROR(__xludf.DUMMYFUNCTION("""COMPUTED_VALUE"""),"Hunter Mathews, Matt Brown, Westly Woodward")</f>
        <v>Hunter Mathews, Matt Brown, Westly Woodward</v>
      </c>
      <c r="P93" t="str">
        <f>IFERROR(__xludf.DUMMYFUNCTION("""COMPUTED_VALUE"""),"Silas Tanner")</f>
        <v>Silas Tanner</v>
      </c>
      <c r="Q93" t="str">
        <f>IFERROR(__xludf.DUMMYFUNCTION("""COMPUTED_VALUE"""),"Good")</f>
        <v>Good</v>
      </c>
      <c r="R93" t="str">
        <f>IFERROR(__xludf.DUMMYFUNCTION("""COMPUTED_VALUE"""),"Good")</f>
        <v>Good</v>
      </c>
      <c r="S93" t="str">
        <f>IFERROR(__xludf.DUMMYFUNCTION("""COMPUTED_VALUE"""),"Good")</f>
        <v>Good</v>
      </c>
      <c r="T93" t="str">
        <f>IFERROR(__xludf.DUMMYFUNCTION("""COMPUTED_VALUE"""),"Good")</f>
        <v>Good</v>
      </c>
      <c r="U93" t="str">
        <f>IFERROR(__xludf.DUMMYFUNCTION("""COMPUTED_VALUE"""),"Good")</f>
        <v>Good</v>
      </c>
      <c r="V93" t="str">
        <f>IFERROR(__xludf.DUMMYFUNCTION("""COMPUTED_VALUE"""),"Good")</f>
        <v>Good</v>
      </c>
      <c r="W93" t="str">
        <f>IFERROR(__xludf.DUMMYFUNCTION("""COMPUTED_VALUE"""),"Good")</f>
        <v>Good</v>
      </c>
      <c r="X93" t="str">
        <f>IFERROR(__xludf.DUMMYFUNCTION("""COMPUTED_VALUE"""),"Good")</f>
        <v>Good</v>
      </c>
      <c r="Y93" t="str">
        <f>IFERROR(__xludf.DUMMYFUNCTION("""COMPUTED_VALUE"""),"Good")</f>
        <v>Good</v>
      </c>
      <c r="Z93" t="str">
        <f>IFERROR(__xludf.DUMMYFUNCTION("""COMPUTED_VALUE"""),"Good")</f>
        <v>Good</v>
      </c>
      <c r="AA93" t="str">
        <f>IFERROR(__xludf.DUMMYFUNCTION("""COMPUTED_VALUE"""),"Good")</f>
        <v>Good</v>
      </c>
      <c r="AB93" t="str">
        <f>IFERROR(__xludf.DUMMYFUNCTION("""COMPUTED_VALUE"""),"Good")</f>
        <v>Good</v>
      </c>
      <c r="AC93" t="str">
        <f>IFERROR(__xludf.DUMMYFUNCTION("""COMPUTED_VALUE"""),"Good")</f>
        <v>Good</v>
      </c>
      <c r="AE93" s="11"/>
      <c r="AF93" t="s">
        <v>218</v>
      </c>
      <c r="AG93" s="17" t="s">
        <v>18</v>
      </c>
      <c r="AH93" s="12"/>
      <c r="AI93" s="12" t="s">
        <v>219</v>
      </c>
      <c r="AJ93" s="19" t="s">
        <v>220</v>
      </c>
      <c r="AK93" s="20" t="str">
        <f>HYPERLINK("https://docs.google.com/document/d/1XauK_Lwrv1Qt95jY2ZpwtpyOvOLtQrABuSS55AExW6U/edit?usp=drivesdk","Silas Tanner - 6/27/2018 11:00 AM")</f>
        <v>Silas Tanner - 6/27/2018 11:00 AM</v>
      </c>
      <c r="AL93" s="12" t="s">
        <v>221</v>
      </c>
    </row>
    <row r="94">
      <c r="A94" s="10">
        <f>IFERROR(__xludf.DUMMYFUNCTION("""COMPUTED_VALUE"""),43280.540484293975)</f>
        <v>43280.54048</v>
      </c>
      <c r="B94" s="11" t="str">
        <f>IFERROR(__xludf.DUMMYFUNCTION("""COMPUTED_VALUE"""),"Ben Mowbray")</f>
        <v>Ben Mowbray</v>
      </c>
      <c r="C94" t="str">
        <f>IFERROR(__xludf.DUMMYFUNCTION("""COMPUTED_VALUE"""),"ben.mowbray@dep.state.fl.us")</f>
        <v>ben.mowbray@dep.state.fl.us</v>
      </c>
      <c r="D94" t="str">
        <f>IFERROR(__xludf.DUMMYFUNCTION("""COMPUTED_VALUE"""),"Research/Nikki")</f>
        <v>Research/Nikki</v>
      </c>
      <c r="E94" t="str">
        <f>IFERROR(__xludf.DUMMYFUNCTION("""COMPUTED_VALUE"""),"Aunt Kate's")</f>
        <v>Aunt Kate's</v>
      </c>
      <c r="F94" s="13">
        <f>IFERROR(__xludf.DUMMYFUNCTION("""COMPUTED_VALUE"""),0.20138888889050577)</f>
        <v>0.2013888889</v>
      </c>
      <c r="G94" s="14">
        <f>IFERROR(__xludf.DUMMYFUNCTION("""COMPUTED_VALUE"""),43281.0)</f>
        <v>43281</v>
      </c>
      <c r="H94" t="str">
        <f>IFERROR(__xludf.DUMMYFUNCTION("""COMPUTED_VALUE"""),"Oyster Reefs in Tolomato and Guana River")</f>
        <v>Oyster Reefs in Tolomato and Guana River</v>
      </c>
      <c r="I94" s="15">
        <f>IFERROR(__xludf.DUMMYFUNCTION("""COMPUTED_VALUE"""),0.5416666666678793)</f>
        <v>0.5416666667</v>
      </c>
      <c r="J94" s="16">
        <f>IFERROR(__xludf.DUMMYFUNCTION("""COMPUTED_VALUE"""),43281.5625)</f>
        <v>43281.5625</v>
      </c>
      <c r="K94" t="str">
        <f>IFERROR(__xludf.DUMMYFUNCTION("""COMPUTED_VALUE"""),"23ft Skiff (Bertha) FL7972LJ DEP07613")</f>
        <v>23ft Skiff (Bertha) FL7972LJ DEP07613</v>
      </c>
      <c r="M94" t="str">
        <f>IFERROR(__xludf.DUMMYFUNCTION("""COMPUTED_VALUE"""),"Ford F150 2008 - DEP18041 (SWMP Thing)")</f>
        <v>Ford F150 2008 - DEP18041 (SWMP Thing)</v>
      </c>
      <c r="N94" t="str">
        <f>IFERROR(__xludf.DUMMYFUNCTION("""COMPUTED_VALUE"""),"Ben Mowbray, (407) 962-8782")</f>
        <v>Ben Mowbray, (407) 962-8782</v>
      </c>
      <c r="O94" t="str">
        <f>IFERROR(__xludf.DUMMYFUNCTION("""COMPUTED_VALUE"""),"Benjamin Mowbray, (407) 962-8782, Nicole Peckham, Rodrigo Pavani, Adrienne Breef-Pilz")</f>
        <v>Benjamin Mowbray, (407) 962-8782, Nicole Peckham, Rodrigo Pavani, Adrienne Breef-Pilz</v>
      </c>
      <c r="P94" t="str">
        <f>IFERROR(__xludf.DUMMYFUNCTION("""COMPUTED_VALUE"""),"Ben")</f>
        <v>Ben</v>
      </c>
      <c r="Q94" t="str">
        <f>IFERROR(__xludf.DUMMYFUNCTION("""COMPUTED_VALUE"""),"Good")</f>
        <v>Good</v>
      </c>
      <c r="R94" t="str">
        <f>IFERROR(__xludf.DUMMYFUNCTION("""COMPUTED_VALUE"""),"Good")</f>
        <v>Good</v>
      </c>
      <c r="S94" t="str">
        <f>IFERROR(__xludf.DUMMYFUNCTION("""COMPUTED_VALUE"""),"Good")</f>
        <v>Good</v>
      </c>
      <c r="T94" t="str">
        <f>IFERROR(__xludf.DUMMYFUNCTION("""COMPUTED_VALUE"""),"Good")</f>
        <v>Good</v>
      </c>
      <c r="U94" t="str">
        <f>IFERROR(__xludf.DUMMYFUNCTION("""COMPUTED_VALUE"""),"Good")</f>
        <v>Good</v>
      </c>
      <c r="V94" t="str">
        <f>IFERROR(__xludf.DUMMYFUNCTION("""COMPUTED_VALUE"""),"Good")</f>
        <v>Good</v>
      </c>
      <c r="W94" t="str">
        <f>IFERROR(__xludf.DUMMYFUNCTION("""COMPUTED_VALUE"""),"Good")</f>
        <v>Good</v>
      </c>
      <c r="X94" t="str">
        <f>IFERROR(__xludf.DUMMYFUNCTION("""COMPUTED_VALUE"""),"Good")</f>
        <v>Good</v>
      </c>
      <c r="Y94" t="str">
        <f>IFERROR(__xludf.DUMMYFUNCTION("""COMPUTED_VALUE"""),"Good")</f>
        <v>Good</v>
      </c>
      <c r="Z94" t="str">
        <f>IFERROR(__xludf.DUMMYFUNCTION("""COMPUTED_VALUE"""),"Good")</f>
        <v>Good</v>
      </c>
      <c r="AA94" t="str">
        <f>IFERROR(__xludf.DUMMYFUNCTION("""COMPUTED_VALUE"""),"Good")</f>
        <v>Good</v>
      </c>
      <c r="AB94" t="str">
        <f>IFERROR(__xludf.DUMMYFUNCTION("""COMPUTED_VALUE"""),"Good")</f>
        <v>Good</v>
      </c>
      <c r="AC94" t="str">
        <f>IFERROR(__xludf.DUMMYFUNCTION("""COMPUTED_VALUE"""),"Good")</f>
        <v>Good</v>
      </c>
      <c r="AE94" s="11"/>
      <c r="AF94" t="s">
        <v>218</v>
      </c>
      <c r="AG94" s="17" t="s">
        <v>43</v>
      </c>
      <c r="AH94" s="12"/>
      <c r="AI94" s="12" t="s">
        <v>222</v>
      </c>
      <c r="AJ94" s="19" t="s">
        <v>223</v>
      </c>
      <c r="AK94" s="20" t="str">
        <f>HYPERLINK("https://docs.google.com/document/d/1jQ1Oq7IYAKkafOHydGGQLYmkCHw1ud0uqub5wzV9okc/edit?usp=drivesdk","Ben Mowbray - 6/30/2018 4:50 AM")</f>
        <v>Ben Mowbray - 6/30/2018 4:50 AM</v>
      </c>
      <c r="AL94" s="12" t="s">
        <v>224</v>
      </c>
    </row>
    <row r="95">
      <c r="A95" s="10">
        <f>IFERROR(__xludf.DUMMYFUNCTION("""COMPUTED_VALUE"""),43282.14363834491)</f>
        <v>43282.14364</v>
      </c>
      <c r="B95" s="11" t="str">
        <f>IFERROR(__xludf.DUMMYFUNCTION("""COMPUTED_VALUE"""),"Ben Mowbray")</f>
        <v>Ben Mowbray</v>
      </c>
      <c r="C95" t="str">
        <f>IFERROR(__xludf.DUMMYFUNCTION("""COMPUTED_VALUE"""),"ben.mowbray@dep.state.fl.us")</f>
        <v>ben.mowbray@dep.state.fl.us</v>
      </c>
      <c r="D95" t="str">
        <f>IFERROR(__xludf.DUMMYFUNCTION("""COMPUTED_VALUE"""),"Research/Nikki")</f>
        <v>Research/Nikki</v>
      </c>
      <c r="E95" t="str">
        <f>IFERROR(__xludf.DUMMYFUNCTION("""COMPUTED_VALUE"""),"Aunt Kate's")</f>
        <v>Aunt Kate's</v>
      </c>
      <c r="F95" s="13">
        <f>IFERROR(__xludf.DUMMYFUNCTION("""COMPUTED_VALUE"""),0.1875)</f>
        <v>0.1875</v>
      </c>
      <c r="G95" s="14">
        <f>IFERROR(__xludf.DUMMYFUNCTION("""COMPUTED_VALUE"""),43282.0)</f>
        <v>43282</v>
      </c>
      <c r="H95" t="str">
        <f>IFERROR(__xludf.DUMMYFUNCTION("""COMPUTED_VALUE"""),"Reefs in Tolomato")</f>
        <v>Reefs in Tolomato</v>
      </c>
      <c r="I95" s="15">
        <f>IFERROR(__xludf.DUMMYFUNCTION("""COMPUTED_VALUE"""),0.3333333333321207)</f>
        <v>0.3333333333</v>
      </c>
      <c r="J95" s="16">
        <f>IFERROR(__xludf.DUMMYFUNCTION("""COMPUTED_VALUE"""),43282.34375)</f>
        <v>43282.34375</v>
      </c>
      <c r="K95" t="str">
        <f>IFERROR(__xludf.DUMMYFUNCTION("""COMPUTED_VALUE"""),"23ft Skiff (Bertha) FL7972LJ DEP07613")</f>
        <v>23ft Skiff (Bertha) FL7972LJ DEP07613</v>
      </c>
      <c r="M95" t="str">
        <f>IFERROR(__xludf.DUMMYFUNCTION("""COMPUTED_VALUE"""),"Ford F150 2008 - DEP18041 (SWMP Thing)")</f>
        <v>Ford F150 2008 - DEP18041 (SWMP Thing)</v>
      </c>
      <c r="N95" t="str">
        <f>IFERROR(__xludf.DUMMYFUNCTION("""COMPUTED_VALUE"""),"Ben Mowbray, (407) 962-8782")</f>
        <v>Ben Mowbray, (407) 962-8782</v>
      </c>
      <c r="O95" t="str">
        <f>IFERROR(__xludf.DUMMYFUNCTION("""COMPUTED_VALUE"""),"Nicole Peckham, Rodrigo Pavani, Adrienne Breef-Pilz")</f>
        <v>Nicole Peckham, Rodrigo Pavani, Adrienne Breef-Pilz</v>
      </c>
      <c r="P95" t="str">
        <f>IFERROR(__xludf.DUMMYFUNCTION("""COMPUTED_VALUE"""),"Ben")</f>
        <v>Ben</v>
      </c>
      <c r="Q95" t="str">
        <f>IFERROR(__xludf.DUMMYFUNCTION("""COMPUTED_VALUE"""),"Good")</f>
        <v>Good</v>
      </c>
      <c r="R95" t="str">
        <f>IFERROR(__xludf.DUMMYFUNCTION("""COMPUTED_VALUE"""),"Good")</f>
        <v>Good</v>
      </c>
      <c r="T95" t="str">
        <f>IFERROR(__xludf.DUMMYFUNCTION("""COMPUTED_VALUE"""),"Good")</f>
        <v>Good</v>
      </c>
      <c r="U95" t="str">
        <f>IFERROR(__xludf.DUMMYFUNCTION("""COMPUTED_VALUE"""),"Good")</f>
        <v>Good</v>
      </c>
      <c r="V95" t="str">
        <f>IFERROR(__xludf.DUMMYFUNCTION("""COMPUTED_VALUE"""),"Good")</f>
        <v>Good</v>
      </c>
      <c r="W95" t="str">
        <f>IFERROR(__xludf.DUMMYFUNCTION("""COMPUTED_VALUE"""),"Good")</f>
        <v>Good</v>
      </c>
      <c r="X95" t="str">
        <f>IFERROR(__xludf.DUMMYFUNCTION("""COMPUTED_VALUE"""),"Good")</f>
        <v>Good</v>
      </c>
      <c r="Y95" t="str">
        <f>IFERROR(__xludf.DUMMYFUNCTION("""COMPUTED_VALUE"""),"Good")</f>
        <v>Good</v>
      </c>
      <c r="Z95" t="str">
        <f>IFERROR(__xludf.DUMMYFUNCTION("""COMPUTED_VALUE"""),"Good")</f>
        <v>Good</v>
      </c>
      <c r="AA95" t="str">
        <f>IFERROR(__xludf.DUMMYFUNCTION("""COMPUTED_VALUE"""),"Good")</f>
        <v>Good</v>
      </c>
      <c r="AB95" t="str">
        <f>IFERROR(__xludf.DUMMYFUNCTION("""COMPUTED_VALUE"""),"Good")</f>
        <v>Good</v>
      </c>
      <c r="AC95" t="str">
        <f>IFERROR(__xludf.DUMMYFUNCTION("""COMPUTED_VALUE"""),"Good")</f>
        <v>Good</v>
      </c>
      <c r="AE95" s="11"/>
      <c r="AF95" t="s">
        <v>218</v>
      </c>
      <c r="AG95" s="17" t="s">
        <v>225</v>
      </c>
      <c r="AH95" s="12"/>
      <c r="AI95" s="12" t="s">
        <v>226</v>
      </c>
      <c r="AJ95" s="19" t="s">
        <v>227</v>
      </c>
      <c r="AK95" s="20" t="str">
        <f>HYPERLINK("https://docs.google.com/document/d/1XiMLRnysfffxhmnRhmieWEnwz45lXHcfCtEJfVr3uy4/edit?usp=drivesdk","Ben Mowbray - 7/1/2018 4:30 AM")</f>
        <v>Ben Mowbray - 7/1/2018 4:30 AM</v>
      </c>
      <c r="AL95" s="12" t="s">
        <v>228</v>
      </c>
    </row>
    <row r="96">
      <c r="A96" s="10">
        <f>IFERROR(__xludf.DUMMYFUNCTION("""COMPUTED_VALUE"""),43283.193795127314)</f>
        <v>43283.1938</v>
      </c>
      <c r="B96" s="11" t="str">
        <f>IFERROR(__xludf.DUMMYFUNCTION("""COMPUTED_VALUE"""),"Ben Mowbray")</f>
        <v>Ben Mowbray</v>
      </c>
      <c r="C96" t="str">
        <f>IFERROR(__xludf.DUMMYFUNCTION("""COMPUTED_VALUE"""),"ben.mowbray@dep.state.fl.us")</f>
        <v>ben.mowbray@dep.state.fl.us</v>
      </c>
      <c r="D96" t="str">
        <f>IFERROR(__xludf.DUMMYFUNCTION("""COMPUTED_VALUE"""),"Research/Nikki")</f>
        <v>Research/Nikki</v>
      </c>
      <c r="E96" t="str">
        <f>IFERROR(__xludf.DUMMYFUNCTION("""COMPUTED_VALUE"""),"Aunt Kate's")</f>
        <v>Aunt Kate's</v>
      </c>
      <c r="F96" s="13">
        <f>IFERROR(__xludf.DUMMYFUNCTION("""COMPUTED_VALUE"""),0.20833333333212067)</f>
        <v>0.2083333333</v>
      </c>
      <c r="G96" s="14">
        <f>IFERROR(__xludf.DUMMYFUNCTION("""COMPUTED_VALUE"""),43283.0)</f>
        <v>43283</v>
      </c>
      <c r="H96" t="str">
        <f>IFERROR(__xludf.DUMMYFUNCTION("""COMPUTED_VALUE"""),"Spat Tree Reefs")</f>
        <v>Spat Tree Reefs</v>
      </c>
      <c r="I96" s="15">
        <f>IFERROR(__xludf.DUMMYFUNCTION("""COMPUTED_VALUE"""),0.3541666666678793)</f>
        <v>0.3541666667</v>
      </c>
      <c r="J96" s="16">
        <f>IFERROR(__xludf.DUMMYFUNCTION("""COMPUTED_VALUE"""),43283.375)</f>
        <v>43283.375</v>
      </c>
      <c r="K96" t="str">
        <f>IFERROR(__xludf.DUMMYFUNCTION("""COMPUTED_VALUE"""),"23ft Skiff (Bertha) FL7972LJ DEP07613")</f>
        <v>23ft Skiff (Bertha) FL7972LJ DEP07613</v>
      </c>
      <c r="M96" t="str">
        <f>IFERROR(__xludf.DUMMYFUNCTION("""COMPUTED_VALUE"""),"Ford F150 2008 - DEP18041 (SWMP Thing)")</f>
        <v>Ford F150 2008 - DEP18041 (SWMP Thing)</v>
      </c>
      <c r="N96" t="str">
        <f>IFERROR(__xludf.DUMMYFUNCTION("""COMPUTED_VALUE"""),"Pam Marcum, (480) 332-5414, Ben Mowbray, (407) 962-8782")</f>
        <v>Pam Marcum, (480) 332-5414, Ben Mowbray, (407) 962-8782</v>
      </c>
      <c r="P96" t="str">
        <f>IFERROR(__xludf.DUMMYFUNCTION("""COMPUTED_VALUE"""),"Ben")</f>
        <v>Ben</v>
      </c>
      <c r="Q96" t="str">
        <f>IFERROR(__xludf.DUMMYFUNCTION("""COMPUTED_VALUE"""),"Good")</f>
        <v>Good</v>
      </c>
      <c r="R96" t="str">
        <f>IFERROR(__xludf.DUMMYFUNCTION("""COMPUTED_VALUE"""),"Good")</f>
        <v>Good</v>
      </c>
      <c r="S96" t="str">
        <f>IFERROR(__xludf.DUMMYFUNCTION("""COMPUTED_VALUE"""),"Good")</f>
        <v>Good</v>
      </c>
      <c r="T96" t="str">
        <f>IFERROR(__xludf.DUMMYFUNCTION("""COMPUTED_VALUE"""),"Good")</f>
        <v>Good</v>
      </c>
      <c r="U96" t="str">
        <f>IFERROR(__xludf.DUMMYFUNCTION("""COMPUTED_VALUE"""),"Good")</f>
        <v>Good</v>
      </c>
      <c r="V96" t="str">
        <f>IFERROR(__xludf.DUMMYFUNCTION("""COMPUTED_VALUE"""),"Good")</f>
        <v>Good</v>
      </c>
      <c r="W96" t="str">
        <f>IFERROR(__xludf.DUMMYFUNCTION("""COMPUTED_VALUE"""),"Good")</f>
        <v>Good</v>
      </c>
      <c r="X96" t="str">
        <f>IFERROR(__xludf.DUMMYFUNCTION("""COMPUTED_VALUE"""),"Good")</f>
        <v>Good</v>
      </c>
      <c r="Y96" t="str">
        <f>IFERROR(__xludf.DUMMYFUNCTION("""COMPUTED_VALUE"""),"Good")</f>
        <v>Good</v>
      </c>
      <c r="Z96" t="str">
        <f>IFERROR(__xludf.DUMMYFUNCTION("""COMPUTED_VALUE"""),"Good")</f>
        <v>Good</v>
      </c>
      <c r="AA96" t="str">
        <f>IFERROR(__xludf.DUMMYFUNCTION("""COMPUTED_VALUE"""),"Good")</f>
        <v>Good</v>
      </c>
      <c r="AB96" t="str">
        <f>IFERROR(__xludf.DUMMYFUNCTION("""COMPUTED_VALUE"""),"Good")</f>
        <v>Good</v>
      </c>
      <c r="AC96" t="str">
        <f>IFERROR(__xludf.DUMMYFUNCTION("""COMPUTED_VALUE"""),"Good")</f>
        <v>Good</v>
      </c>
      <c r="AE96" s="11"/>
      <c r="AF96" t="s">
        <v>218</v>
      </c>
      <c r="AG96" s="17" t="s">
        <v>60</v>
      </c>
      <c r="AH96" s="12"/>
      <c r="AI96" s="12" t="s">
        <v>229</v>
      </c>
      <c r="AJ96" s="19" t="s">
        <v>230</v>
      </c>
      <c r="AK96" s="20" t="str">
        <f>HYPERLINK("https://docs.google.com/document/d/1qsBp188AIvYYa7bWDNtbtdNGEWYhVYQXnzAKQ6cwFU4/edit?usp=drivesdk","Ben Mowbray - 7/2/2018 5:00 AM")</f>
        <v>Ben Mowbray - 7/2/2018 5:00 AM</v>
      </c>
      <c r="AL96" s="12" t="s">
        <v>231</v>
      </c>
    </row>
    <row r="97">
      <c r="A97" s="10">
        <f>IFERROR(__xludf.DUMMYFUNCTION("""COMPUTED_VALUE"""),43283.53355059028)</f>
        <v>43283.53355</v>
      </c>
      <c r="B97" s="11" t="str">
        <f>IFERROR(__xludf.DUMMYFUNCTION("""COMPUTED_VALUE"""),"Silas Tanner")</f>
        <v>Silas Tanner</v>
      </c>
      <c r="C97" t="str">
        <f>IFERROR(__xludf.DUMMYFUNCTION("""COMPUTED_VALUE"""),"silas.tanner@floridadep.gov")</f>
        <v>silas.tanner@floridadep.gov</v>
      </c>
      <c r="D97" t="str">
        <f>IFERROR(__xludf.DUMMYFUNCTION("""COMPUTED_VALUE"""),"Research/Nikki")</f>
        <v>Research/Nikki</v>
      </c>
      <c r="E97" t="str">
        <f>IFERROR(__xludf.DUMMYFUNCTION("""COMPUTED_VALUE"""),"Vilano county ramp")</f>
        <v>Vilano county ramp</v>
      </c>
      <c r="F97" s="13">
        <f>IFERROR(__xludf.DUMMYFUNCTION("""COMPUTED_VALUE"""),0.5)</f>
        <v>0.5</v>
      </c>
      <c r="G97" s="14">
        <f>IFERROR(__xludf.DUMMYFUNCTION("""COMPUTED_VALUE"""),43284.0)</f>
        <v>43284</v>
      </c>
      <c r="H97" t="str">
        <f>IFERROR(__xludf.DUMMYFUNCTION("""COMPUTED_VALUE"""),"ICW - SWMP sites")</f>
        <v>ICW - SWMP sites</v>
      </c>
      <c r="I97" s="15">
        <f>IFERROR(__xludf.DUMMYFUNCTION("""COMPUTED_VALUE"""),0.6875)</f>
        <v>0.6875</v>
      </c>
      <c r="J97" s="16">
        <f>IFERROR(__xludf.DUMMYFUNCTION("""COMPUTED_VALUE"""),43284.69791666667)</f>
        <v>43284.69792</v>
      </c>
      <c r="K97" t="str">
        <f>IFERROR(__xludf.DUMMYFUNCTION("""COMPUTED_VALUE"""),"23ft Skiff (Bertha) FL7972LJ DEP07613")</f>
        <v>23ft Skiff (Bertha) FL7972LJ DEP07613</v>
      </c>
      <c r="M97" t="str">
        <f>IFERROR(__xludf.DUMMYFUNCTION("""COMPUTED_VALUE"""),"Ford F250 2017 (Moby Dix) - DEP0021578")</f>
        <v>Ford F250 2017 (Moby Dix) - DEP0021578</v>
      </c>
      <c r="N97" t="str">
        <f>IFERROR(__xludf.DUMMYFUNCTION("""COMPUTED_VALUE"""),"Silas Tanner, (904) 483-8423")</f>
        <v>Silas Tanner, (904) 483-8423</v>
      </c>
      <c r="O97" t="str">
        <f>IFERROR(__xludf.DUMMYFUNCTION("""COMPUTED_VALUE"""),"Tatum Theodore, Hunter Mathews")</f>
        <v>Tatum Theodore, Hunter Mathews</v>
      </c>
      <c r="P97" t="str">
        <f>IFERROR(__xludf.DUMMYFUNCTION("""COMPUTED_VALUE"""),"Silas Tanner")</f>
        <v>Silas Tanner</v>
      </c>
      <c r="Q97" t="str">
        <f>IFERROR(__xludf.DUMMYFUNCTION("""COMPUTED_VALUE"""),"Good")</f>
        <v>Good</v>
      </c>
      <c r="R97" t="str">
        <f>IFERROR(__xludf.DUMMYFUNCTION("""COMPUTED_VALUE"""),"Good")</f>
        <v>Good</v>
      </c>
      <c r="S97" t="str">
        <f>IFERROR(__xludf.DUMMYFUNCTION("""COMPUTED_VALUE"""),"Good")</f>
        <v>Good</v>
      </c>
      <c r="T97" t="str">
        <f>IFERROR(__xludf.DUMMYFUNCTION("""COMPUTED_VALUE"""),"Good")</f>
        <v>Good</v>
      </c>
      <c r="U97" t="str">
        <f>IFERROR(__xludf.DUMMYFUNCTION("""COMPUTED_VALUE"""),"Good")</f>
        <v>Good</v>
      </c>
      <c r="V97" t="str">
        <f>IFERROR(__xludf.DUMMYFUNCTION("""COMPUTED_VALUE"""),"Good")</f>
        <v>Good</v>
      </c>
      <c r="W97" t="str">
        <f>IFERROR(__xludf.DUMMYFUNCTION("""COMPUTED_VALUE"""),"Good")</f>
        <v>Good</v>
      </c>
      <c r="X97" t="str">
        <f>IFERROR(__xludf.DUMMYFUNCTION("""COMPUTED_VALUE"""),"Good")</f>
        <v>Good</v>
      </c>
      <c r="Y97" t="str">
        <f>IFERROR(__xludf.DUMMYFUNCTION("""COMPUTED_VALUE"""),"Good")</f>
        <v>Good</v>
      </c>
      <c r="Z97" t="str">
        <f>IFERROR(__xludf.DUMMYFUNCTION("""COMPUTED_VALUE"""),"Good")</f>
        <v>Good</v>
      </c>
      <c r="AA97" t="str">
        <f>IFERROR(__xludf.DUMMYFUNCTION("""COMPUTED_VALUE"""),"Good")</f>
        <v>Good</v>
      </c>
      <c r="AB97" t="str">
        <f>IFERROR(__xludf.DUMMYFUNCTION("""COMPUTED_VALUE"""),"Good")</f>
        <v>Good</v>
      </c>
      <c r="AC97" t="str">
        <f>IFERROR(__xludf.DUMMYFUNCTION("""COMPUTED_VALUE"""),"Good")</f>
        <v>Good</v>
      </c>
      <c r="AE97" s="11"/>
      <c r="AF97" t="s">
        <v>218</v>
      </c>
      <c r="AG97" s="17" t="s">
        <v>43</v>
      </c>
      <c r="AH97" s="12"/>
      <c r="AI97" s="12" t="s">
        <v>232</v>
      </c>
      <c r="AJ97" s="19" t="s">
        <v>233</v>
      </c>
      <c r="AK97" s="20" t="str">
        <f>HYPERLINK("https://docs.google.com/document/d/1StEQUgg0DdG61MF8-4mfq09rrv9NLcT7qfqHE2eQsnQ/edit?usp=drivesdk","Silas Tanner - 7/3/2018 12:00 PM")</f>
        <v>Silas Tanner - 7/3/2018 12:00 PM</v>
      </c>
      <c r="AL97" s="12" t="s">
        <v>234</v>
      </c>
    </row>
    <row r="98">
      <c r="A98" s="10">
        <f>IFERROR(__xludf.DUMMYFUNCTION("""COMPUTED_VALUE"""),43284.19669226851)</f>
        <v>43284.19669</v>
      </c>
      <c r="B98" s="11" t="str">
        <f>IFERROR(__xludf.DUMMYFUNCTION("""COMPUTED_VALUE"""),"Pamela Marcum")</f>
        <v>Pamela Marcum</v>
      </c>
      <c r="C98" t="str">
        <f>IFERROR(__xludf.DUMMYFUNCTION("""COMPUTED_VALUE"""),"Pamela.Marcum@dep.state.fl.us")</f>
        <v>Pamela.Marcum@dep.state.fl.us</v>
      </c>
      <c r="D98" t="str">
        <f>IFERROR(__xludf.DUMMYFUNCTION("""COMPUTED_VALUE"""),"Research/Nikki")</f>
        <v>Research/Nikki</v>
      </c>
      <c r="E98" t="str">
        <f>IFERROR(__xludf.DUMMYFUNCTION("""COMPUTED_VALUE"""),"Green Rd")</f>
        <v>Green Rd</v>
      </c>
      <c r="F98" s="13">
        <f>IFERROR(__xludf.DUMMYFUNCTION("""COMPUTED_VALUE"""),0.25)</f>
        <v>0.25</v>
      </c>
      <c r="G98" s="14">
        <f>IFERROR(__xludf.DUMMYFUNCTION("""COMPUTED_VALUE"""),43283.0)</f>
        <v>43283</v>
      </c>
      <c r="H98" t="str">
        <f>IFERROR(__xludf.DUMMYFUNCTION("""COMPUTED_VALUE"""),"Matanzas River Spat Sites")</f>
        <v>Matanzas River Spat Sites</v>
      </c>
      <c r="I98" s="15">
        <f>IFERROR(__xludf.DUMMYFUNCTION("""COMPUTED_VALUE"""),0.5)</f>
        <v>0.5</v>
      </c>
      <c r="J98" s="16">
        <f>IFERROR(__xludf.DUMMYFUNCTION("""COMPUTED_VALUE"""),43283.54166666667)</f>
        <v>43283.54167</v>
      </c>
      <c r="K98" t="str">
        <f>IFERROR(__xludf.DUMMYFUNCTION("""COMPUTED_VALUE"""),"20ft Sea Ark FL5351SJ UNF 2015")</f>
        <v>20ft Sea Ark FL5351SJ UNF 2015</v>
      </c>
      <c r="M98" t="str">
        <f>IFERROR(__xludf.DUMMYFUNCTION("""COMPUTED_VALUE"""),"Ford F150 2015 (White) - DEP21448")</f>
        <v>Ford F150 2015 (White) - DEP21448</v>
      </c>
      <c r="N98" t="str">
        <f>IFERROR(__xludf.DUMMYFUNCTION("""COMPUTED_VALUE"""),"Pam Marcum, (480) 332-5414, Remo Mondazzi")</f>
        <v>Pam Marcum, (480) 332-5414, Remo Mondazzi</v>
      </c>
      <c r="O98" t="str">
        <f>IFERROR(__xludf.DUMMYFUNCTION("""COMPUTED_VALUE"""),"Adrienne Breef-Pilz, Nicole Peckham, Rodrigo Pavani")</f>
        <v>Adrienne Breef-Pilz, Nicole Peckham, Rodrigo Pavani</v>
      </c>
      <c r="P98" t="str">
        <f>IFERROR(__xludf.DUMMYFUNCTION("""COMPUTED_VALUE"""),"Pamela Marcum")</f>
        <v>Pamela Marcum</v>
      </c>
      <c r="Q98" t="str">
        <f>IFERROR(__xludf.DUMMYFUNCTION("""COMPUTED_VALUE"""),"Good")</f>
        <v>Good</v>
      </c>
      <c r="R98" t="str">
        <f>IFERROR(__xludf.DUMMYFUNCTION("""COMPUTED_VALUE"""),"Good")</f>
        <v>Good</v>
      </c>
      <c r="S98" t="str">
        <f>IFERROR(__xludf.DUMMYFUNCTION("""COMPUTED_VALUE"""),"Good")</f>
        <v>Good</v>
      </c>
      <c r="T98" t="str">
        <f>IFERROR(__xludf.DUMMYFUNCTION("""COMPUTED_VALUE"""),"Good")</f>
        <v>Good</v>
      </c>
      <c r="U98" t="str">
        <f>IFERROR(__xludf.DUMMYFUNCTION("""COMPUTED_VALUE"""),"Good")</f>
        <v>Good</v>
      </c>
      <c r="V98" t="str">
        <f>IFERROR(__xludf.DUMMYFUNCTION("""COMPUTED_VALUE"""),"Good")</f>
        <v>Good</v>
      </c>
      <c r="W98" t="str">
        <f>IFERROR(__xludf.DUMMYFUNCTION("""COMPUTED_VALUE"""),"Good")</f>
        <v>Good</v>
      </c>
      <c r="X98" t="str">
        <f>IFERROR(__xludf.DUMMYFUNCTION("""COMPUTED_VALUE"""),"Good")</f>
        <v>Good</v>
      </c>
      <c r="Y98" t="str">
        <f>IFERROR(__xludf.DUMMYFUNCTION("""COMPUTED_VALUE"""),"Good")</f>
        <v>Good</v>
      </c>
      <c r="Z98" t="str">
        <f>IFERROR(__xludf.DUMMYFUNCTION("""COMPUTED_VALUE"""),"Good")</f>
        <v>Good</v>
      </c>
      <c r="AA98" t="str">
        <f>IFERROR(__xludf.DUMMYFUNCTION("""COMPUTED_VALUE"""),"Good")</f>
        <v>Good</v>
      </c>
      <c r="AB98" t="str">
        <f>IFERROR(__xludf.DUMMYFUNCTION("""COMPUTED_VALUE"""),"Good")</f>
        <v>Good</v>
      </c>
      <c r="AC98" t="str">
        <f>IFERROR(__xludf.DUMMYFUNCTION("""COMPUTED_VALUE"""),"Good")</f>
        <v>Good</v>
      </c>
      <c r="AE98" s="11"/>
      <c r="AF98" t="s">
        <v>218</v>
      </c>
      <c r="AG98" s="17" t="s">
        <v>18</v>
      </c>
      <c r="AH98" s="12"/>
      <c r="AI98" s="12" t="s">
        <v>235</v>
      </c>
      <c r="AJ98" s="19" t="s">
        <v>236</v>
      </c>
      <c r="AK98" s="20" t="str">
        <f>HYPERLINK("https://docs.google.com/document/d/1fdR1XrqTv5cgCvbuRnVbbi9FDd6k8Mk-S0hm8LSStSE/edit?usp=drivesdk","Pamela Marcum - 7/2/2018 6:00 AM")</f>
        <v>Pamela Marcum - 7/2/2018 6:00 AM</v>
      </c>
      <c r="AL98" s="12" t="s">
        <v>237</v>
      </c>
    </row>
    <row r="99">
      <c r="A99" s="10">
        <f>IFERROR(__xludf.DUMMYFUNCTION("""COMPUTED_VALUE"""),43286.22271133102)</f>
        <v>43286.22271</v>
      </c>
      <c r="B99" s="11" t="str">
        <f>IFERROR(__xludf.DUMMYFUNCTION("""COMPUTED_VALUE"""),"Ben Mowbray")</f>
        <v>Ben Mowbray</v>
      </c>
      <c r="C99" t="str">
        <f>IFERROR(__xludf.DUMMYFUNCTION("""COMPUTED_VALUE"""),"ben.mowbray@dep.state.fl.us")</f>
        <v>ben.mowbray@dep.state.fl.us</v>
      </c>
      <c r="D99" t="str">
        <f>IFERROR(__xludf.DUMMYFUNCTION("""COMPUTED_VALUE"""),"Research/Nikki")</f>
        <v>Research/Nikki</v>
      </c>
      <c r="E99" t="str">
        <f>IFERROR(__xludf.DUMMYFUNCTION("""COMPUTED_VALUE"""),"Aunt Kate's")</f>
        <v>Aunt Kate's</v>
      </c>
      <c r="F99" s="13">
        <f>IFERROR(__xludf.DUMMYFUNCTION("""COMPUTED_VALUE"""),0.25)</f>
        <v>0.25</v>
      </c>
      <c r="G99" s="14">
        <f>IFERROR(__xludf.DUMMYFUNCTION("""COMPUTED_VALUE"""),43286.0)</f>
        <v>43286</v>
      </c>
      <c r="H99" t="str">
        <f>IFERROR(__xludf.DUMMYFUNCTION("""COMPUTED_VALUE"""),"Guana + Tolomato Reefs")</f>
        <v>Guana + Tolomato Reefs</v>
      </c>
      <c r="I99" s="15">
        <f>IFERROR(__xludf.DUMMYFUNCTION("""COMPUTED_VALUE"""),0.4166666666678793)</f>
        <v>0.4166666667</v>
      </c>
      <c r="J99" s="16">
        <f>IFERROR(__xludf.DUMMYFUNCTION("""COMPUTED_VALUE"""),43286.4375)</f>
        <v>43286.4375</v>
      </c>
      <c r="K99" t="str">
        <f>IFERROR(__xludf.DUMMYFUNCTION("""COMPUTED_VALUE"""),"23ft Skiff (Bertha) FL7972LJ DEP07613")</f>
        <v>23ft Skiff (Bertha) FL7972LJ DEP07613</v>
      </c>
      <c r="M99" t="str">
        <f>IFERROR(__xludf.DUMMYFUNCTION("""COMPUTED_VALUE"""),"Ford F150 2015 (White) - DEP21448")</f>
        <v>Ford F150 2015 (White) - DEP21448</v>
      </c>
      <c r="N99" t="str">
        <f>IFERROR(__xludf.DUMMYFUNCTION("""COMPUTED_VALUE"""),"Ben Mowbray, (407) 962-8782")</f>
        <v>Ben Mowbray, (407) 962-8782</v>
      </c>
      <c r="O99" t="str">
        <f>IFERROR(__xludf.DUMMYFUNCTION("""COMPUTED_VALUE"""),"Rodrigo and Adrienne")</f>
        <v>Rodrigo and Adrienne</v>
      </c>
      <c r="P99" t="str">
        <f>IFERROR(__xludf.DUMMYFUNCTION("""COMPUTED_VALUE"""),"Ben")</f>
        <v>Ben</v>
      </c>
      <c r="Q99" t="str">
        <f>IFERROR(__xludf.DUMMYFUNCTION("""COMPUTED_VALUE"""),"Good")</f>
        <v>Good</v>
      </c>
      <c r="R99" t="str">
        <f>IFERROR(__xludf.DUMMYFUNCTION("""COMPUTED_VALUE"""),"Good")</f>
        <v>Good</v>
      </c>
      <c r="S99" t="str">
        <f>IFERROR(__xludf.DUMMYFUNCTION("""COMPUTED_VALUE"""),"Good")</f>
        <v>Good</v>
      </c>
      <c r="T99" t="str">
        <f>IFERROR(__xludf.DUMMYFUNCTION("""COMPUTED_VALUE"""),"Good")</f>
        <v>Good</v>
      </c>
      <c r="U99" t="str">
        <f>IFERROR(__xludf.DUMMYFUNCTION("""COMPUTED_VALUE"""),"Good")</f>
        <v>Good</v>
      </c>
      <c r="V99" t="str">
        <f>IFERROR(__xludf.DUMMYFUNCTION("""COMPUTED_VALUE"""),"Good")</f>
        <v>Good</v>
      </c>
      <c r="W99" t="str">
        <f>IFERROR(__xludf.DUMMYFUNCTION("""COMPUTED_VALUE"""),"Good")</f>
        <v>Good</v>
      </c>
      <c r="X99" t="str">
        <f>IFERROR(__xludf.DUMMYFUNCTION("""COMPUTED_VALUE"""),"Good")</f>
        <v>Good</v>
      </c>
      <c r="Y99" t="str">
        <f>IFERROR(__xludf.DUMMYFUNCTION("""COMPUTED_VALUE"""),"Good")</f>
        <v>Good</v>
      </c>
      <c r="Z99" t="str">
        <f>IFERROR(__xludf.DUMMYFUNCTION("""COMPUTED_VALUE"""),"Good")</f>
        <v>Good</v>
      </c>
      <c r="AA99" t="str">
        <f>IFERROR(__xludf.DUMMYFUNCTION("""COMPUTED_VALUE"""),"Good")</f>
        <v>Good</v>
      </c>
      <c r="AB99" t="str">
        <f>IFERROR(__xludf.DUMMYFUNCTION("""COMPUTED_VALUE"""),"Good")</f>
        <v>Good</v>
      </c>
      <c r="AC99" t="str">
        <f>IFERROR(__xludf.DUMMYFUNCTION("""COMPUTED_VALUE"""),"Good")</f>
        <v>Good</v>
      </c>
      <c r="AE99" s="11"/>
      <c r="AF99" t="s">
        <v>218</v>
      </c>
      <c r="AG99" s="17" t="s">
        <v>18</v>
      </c>
      <c r="AH99" s="12"/>
      <c r="AI99" s="12" t="s">
        <v>238</v>
      </c>
      <c r="AJ99" s="19" t="s">
        <v>239</v>
      </c>
      <c r="AK99" s="20" t="str">
        <f>HYPERLINK("https://docs.google.com/document/d/1B6fzv88D5-nJ8bnEEW7BlQPXBFnv4G5EWzrYGS9Jm9w/edit?usp=drivesdk","Ben Mowbray - 7/5/2018 6:00 AM")</f>
        <v>Ben Mowbray - 7/5/2018 6:00 AM</v>
      </c>
      <c r="AL99" s="12" t="s">
        <v>240</v>
      </c>
    </row>
    <row r="100">
      <c r="A100" s="10">
        <f>IFERROR(__xludf.DUMMYFUNCTION("""COMPUTED_VALUE"""),43286.40234230324)</f>
        <v>43286.40234</v>
      </c>
      <c r="B100" s="11" t="str">
        <f>IFERROR(__xludf.DUMMYFUNCTION("""COMPUTED_VALUE"""),"Silas Tanner")</f>
        <v>Silas Tanner</v>
      </c>
      <c r="C100" t="str">
        <f>IFERROR(__xludf.DUMMYFUNCTION("""COMPUTED_VALUE"""),"silas.tanner@floridadep.gov")</f>
        <v>silas.tanner@floridadep.gov</v>
      </c>
      <c r="D100" t="str">
        <f>IFERROR(__xludf.DUMMYFUNCTION("""COMPUTED_VALUE"""),"Research/Nikki")</f>
        <v>Research/Nikki</v>
      </c>
      <c r="E100" t="str">
        <f>IFERROR(__xludf.DUMMYFUNCTION("""COMPUTED_VALUE"""),"Doug Crane Boat Ramp")</f>
        <v>Doug Crane Boat Ramp</v>
      </c>
      <c r="F100" s="13">
        <f>IFERROR(__xludf.DUMMYFUNCTION("""COMPUTED_VALUE"""),0.5)</f>
        <v>0.5</v>
      </c>
      <c r="G100" s="14">
        <f>IFERROR(__xludf.DUMMYFUNCTION("""COMPUTED_VALUE"""),43286.0)</f>
        <v>43286</v>
      </c>
      <c r="H100" t="str">
        <f>IFERROR(__xludf.DUMMYFUNCTION("""COMPUTED_VALUE"""),"ICW - near East Creek / Moultrie Creek")</f>
        <v>ICW - near East Creek / Moultrie Creek</v>
      </c>
      <c r="I100" s="15">
        <f>IFERROR(__xludf.DUMMYFUNCTION("""COMPUTED_VALUE"""),0.6666666666678793)</f>
        <v>0.6666666667</v>
      </c>
      <c r="J100" s="16">
        <f>IFERROR(__xludf.DUMMYFUNCTION("""COMPUTED_VALUE"""),43286.6875)</f>
        <v>43286.6875</v>
      </c>
      <c r="K100" t="str">
        <f>IFERROR(__xludf.DUMMYFUNCTION("""COMPUTED_VALUE"""),"20ft Sea Ark FL5351SJ UNF 2015")</f>
        <v>20ft Sea Ark FL5351SJ UNF 2015</v>
      </c>
      <c r="M100" t="str">
        <f>IFERROR(__xludf.DUMMYFUNCTION("""COMPUTED_VALUE"""),"Ford F250 2017 (Moby Dix) - DEP0021578")</f>
        <v>Ford F250 2017 (Moby Dix) - DEP0021578</v>
      </c>
      <c r="N100" t="str">
        <f>IFERROR(__xludf.DUMMYFUNCTION("""COMPUTED_VALUE"""),"Silas Tanner, (904) 483-8423, Gabriela Canas, (904) 891-9743, Remo Mondazi")</f>
        <v>Silas Tanner, (904) 483-8423, Gabriela Canas, (904) 891-9743, Remo Mondazi</v>
      </c>
      <c r="O100" t="str">
        <f>IFERROR(__xludf.DUMMYFUNCTION("""COMPUTED_VALUE"""),"Hunter Mathews, Sam Shaw")</f>
        <v>Hunter Mathews, Sam Shaw</v>
      </c>
      <c r="P100" t="str">
        <f>IFERROR(__xludf.DUMMYFUNCTION("""COMPUTED_VALUE"""),"Silas Tanner")</f>
        <v>Silas Tanner</v>
      </c>
      <c r="Q100" t="str">
        <f>IFERROR(__xludf.DUMMYFUNCTION("""COMPUTED_VALUE"""),"Good")</f>
        <v>Good</v>
      </c>
      <c r="R100" t="str">
        <f>IFERROR(__xludf.DUMMYFUNCTION("""COMPUTED_VALUE"""),"Good")</f>
        <v>Good</v>
      </c>
      <c r="S100" t="str">
        <f>IFERROR(__xludf.DUMMYFUNCTION("""COMPUTED_VALUE"""),"Good")</f>
        <v>Good</v>
      </c>
      <c r="T100" t="str">
        <f>IFERROR(__xludf.DUMMYFUNCTION("""COMPUTED_VALUE"""),"Good")</f>
        <v>Good</v>
      </c>
      <c r="U100" t="str">
        <f>IFERROR(__xludf.DUMMYFUNCTION("""COMPUTED_VALUE"""),"Good")</f>
        <v>Good</v>
      </c>
      <c r="V100" t="str">
        <f>IFERROR(__xludf.DUMMYFUNCTION("""COMPUTED_VALUE"""),"Good")</f>
        <v>Good</v>
      </c>
      <c r="W100" t="str">
        <f>IFERROR(__xludf.DUMMYFUNCTION("""COMPUTED_VALUE"""),"Good")</f>
        <v>Good</v>
      </c>
      <c r="X100" t="str">
        <f>IFERROR(__xludf.DUMMYFUNCTION("""COMPUTED_VALUE"""),"Good")</f>
        <v>Good</v>
      </c>
      <c r="Y100" t="str">
        <f>IFERROR(__xludf.DUMMYFUNCTION("""COMPUTED_VALUE"""),"Good")</f>
        <v>Good</v>
      </c>
      <c r="Z100" t="str">
        <f>IFERROR(__xludf.DUMMYFUNCTION("""COMPUTED_VALUE"""),"Good")</f>
        <v>Good</v>
      </c>
      <c r="AA100" t="str">
        <f>IFERROR(__xludf.DUMMYFUNCTION("""COMPUTED_VALUE"""),"Good")</f>
        <v>Good</v>
      </c>
      <c r="AB100" t="str">
        <f>IFERROR(__xludf.DUMMYFUNCTION("""COMPUTED_VALUE"""),"Good")</f>
        <v>Good</v>
      </c>
      <c r="AC100" t="str">
        <f>IFERROR(__xludf.DUMMYFUNCTION("""COMPUTED_VALUE"""),"Good")</f>
        <v>Good</v>
      </c>
      <c r="AE100" s="11"/>
      <c r="AF100" t="s">
        <v>218</v>
      </c>
      <c r="AG100" s="17" t="s">
        <v>18</v>
      </c>
      <c r="AH100" s="12"/>
      <c r="AI100" s="12" t="s">
        <v>241</v>
      </c>
      <c r="AJ100" s="19" t="s">
        <v>242</v>
      </c>
      <c r="AK100" s="20" t="str">
        <f>HYPERLINK("https://docs.google.com/document/d/1g5f9yPdc6uaO_l9y9K3YLZPe5ak-o0BxRUX5eZ2dmP0/edit?usp=drivesdk","Silas Tanner - 7/5/2018 12:00 PM")</f>
        <v>Silas Tanner - 7/5/2018 12:00 PM</v>
      </c>
      <c r="AL100" s="12" t="s">
        <v>243</v>
      </c>
    </row>
    <row r="101">
      <c r="A101" s="10">
        <f>IFERROR(__xludf.DUMMYFUNCTION("""COMPUTED_VALUE"""),43287.480081747686)</f>
        <v>43287.48008</v>
      </c>
      <c r="B101" s="11" t="str">
        <f>IFERROR(__xludf.DUMMYFUNCTION("""COMPUTED_VALUE"""),"Ben Mowbray")</f>
        <v>Ben Mowbray</v>
      </c>
      <c r="C101" t="str">
        <f>IFERROR(__xludf.DUMMYFUNCTION("""COMPUTED_VALUE"""),"ben.mowbray@state.dep.fl.us")</f>
        <v>ben.mowbray@state.dep.fl.us</v>
      </c>
      <c r="D101" t="str">
        <f>IFERROR(__xludf.DUMMYFUNCTION("""COMPUTED_VALUE"""),"Research/Nikki")</f>
        <v>Research/Nikki</v>
      </c>
      <c r="E101" t="str">
        <f>IFERROR(__xludf.DUMMYFUNCTION("""COMPUTED_VALUE"""),"Shore Dr. Boat Ramp")</f>
        <v>Shore Dr. Boat Ramp</v>
      </c>
      <c r="F101" s="13">
        <f>IFERROR(__xludf.DUMMYFUNCTION("""COMPUTED_VALUE"""),0.45138888889050577)</f>
        <v>0.4513888889</v>
      </c>
      <c r="G101" s="14">
        <f>IFERROR(__xludf.DUMMYFUNCTION("""COMPUTED_VALUE"""),43290.0)</f>
        <v>43290</v>
      </c>
      <c r="H101" t="str">
        <f>IFERROR(__xludf.DUMMYFUNCTION("""COMPUTED_VALUE"""),"FM and SA Reefs")</f>
        <v>FM and SA Reefs</v>
      </c>
      <c r="I101" s="15">
        <f>IFERROR(__xludf.DUMMYFUNCTION("""COMPUTED_VALUE"""),0.5625)</f>
        <v>0.5625</v>
      </c>
      <c r="J101" s="16">
        <f>IFERROR(__xludf.DUMMYFUNCTION("""COMPUTED_VALUE"""),43290.09027777778)</f>
        <v>43290.09028</v>
      </c>
      <c r="K101" t="str">
        <f>IFERROR(__xludf.DUMMYFUNCTION("""COMPUTED_VALUE"""),"23ft Skiff (Bertha) FL7972LJ DEP07613")</f>
        <v>23ft Skiff (Bertha) FL7972LJ DEP07613</v>
      </c>
      <c r="M101" t="str">
        <f>IFERROR(__xludf.DUMMYFUNCTION("""COMPUTED_VALUE"""),"will email later")</f>
        <v>will email later</v>
      </c>
      <c r="N101" t="str">
        <f>IFERROR(__xludf.DUMMYFUNCTION("""COMPUTED_VALUE"""),"Ben Mowbray, (407) 962-8782")</f>
        <v>Ben Mowbray, (407) 962-8782</v>
      </c>
      <c r="O101" t="str">
        <f>IFERROR(__xludf.DUMMYFUNCTION("""COMPUTED_VALUE"""),"Jamie L.")</f>
        <v>Jamie L.</v>
      </c>
      <c r="P101" t="str">
        <f>IFERROR(__xludf.DUMMYFUNCTION("""COMPUTED_VALUE"""),"Ben")</f>
        <v>Ben</v>
      </c>
      <c r="Q101" t="str">
        <f>IFERROR(__xludf.DUMMYFUNCTION("""COMPUTED_VALUE"""),"Good")</f>
        <v>Good</v>
      </c>
      <c r="R101" t="str">
        <f>IFERROR(__xludf.DUMMYFUNCTION("""COMPUTED_VALUE"""),"Good")</f>
        <v>Good</v>
      </c>
      <c r="S101" t="str">
        <f>IFERROR(__xludf.DUMMYFUNCTION("""COMPUTED_VALUE"""),"Good")</f>
        <v>Good</v>
      </c>
      <c r="T101" t="str">
        <f>IFERROR(__xludf.DUMMYFUNCTION("""COMPUTED_VALUE"""),"Good")</f>
        <v>Good</v>
      </c>
      <c r="U101" t="str">
        <f>IFERROR(__xludf.DUMMYFUNCTION("""COMPUTED_VALUE"""),"Good")</f>
        <v>Good</v>
      </c>
      <c r="V101" t="str">
        <f>IFERROR(__xludf.DUMMYFUNCTION("""COMPUTED_VALUE"""),"Good")</f>
        <v>Good</v>
      </c>
      <c r="W101" t="str">
        <f>IFERROR(__xludf.DUMMYFUNCTION("""COMPUTED_VALUE"""),"Good")</f>
        <v>Good</v>
      </c>
      <c r="X101" t="str">
        <f>IFERROR(__xludf.DUMMYFUNCTION("""COMPUTED_VALUE"""),"Good")</f>
        <v>Good</v>
      </c>
      <c r="Y101" t="str">
        <f>IFERROR(__xludf.DUMMYFUNCTION("""COMPUTED_VALUE"""),"Good")</f>
        <v>Good</v>
      </c>
      <c r="Z101" t="str">
        <f>IFERROR(__xludf.DUMMYFUNCTION("""COMPUTED_VALUE"""),"Good")</f>
        <v>Good</v>
      </c>
      <c r="AA101" t="str">
        <f>IFERROR(__xludf.DUMMYFUNCTION("""COMPUTED_VALUE"""),"Good")</f>
        <v>Good</v>
      </c>
      <c r="AB101" t="str">
        <f>IFERROR(__xludf.DUMMYFUNCTION("""COMPUTED_VALUE"""),"Good")</f>
        <v>Good</v>
      </c>
      <c r="AC101" t="str">
        <f>IFERROR(__xludf.DUMMYFUNCTION("""COMPUTED_VALUE"""),"Good")</f>
        <v>Good</v>
      </c>
      <c r="AE101" s="11"/>
      <c r="AF101" t="s">
        <v>218</v>
      </c>
      <c r="AG101" s="17" t="s">
        <v>18</v>
      </c>
      <c r="AH101" s="12"/>
      <c r="AI101" s="12" t="s">
        <v>244</v>
      </c>
      <c r="AJ101" s="19" t="s">
        <v>245</v>
      </c>
      <c r="AK101" s="20" t="str">
        <f>HYPERLINK("https://docs.google.com/document/d/1FGSJu50WpKVPQMMjfQsJgZFm6YVlPd9AmbZ7l5n8PbY/edit?usp=drivesdk","Ben Mowbray - 7/9/2018 10:50 AM")</f>
        <v>Ben Mowbray - 7/9/2018 10:50 AM</v>
      </c>
      <c r="AL101" s="12" t="s">
        <v>246</v>
      </c>
    </row>
    <row r="102">
      <c r="A102" s="10">
        <f>IFERROR(__xludf.DUMMYFUNCTION("""COMPUTED_VALUE"""),43291.37781991898)</f>
        <v>43291.37782</v>
      </c>
      <c r="B102" s="11" t="str">
        <f>IFERROR(__xludf.DUMMYFUNCTION("""COMPUTED_VALUE"""),"James Tomazinis")</f>
        <v>James Tomazinis</v>
      </c>
      <c r="C102" t="str">
        <f>IFERROR(__xludf.DUMMYFUNCTION("""COMPUTED_VALUE"""),"james.tomazinis@floridadep.gov")</f>
        <v>james.tomazinis@floridadep.gov</v>
      </c>
      <c r="D102" t="str">
        <f>IFERROR(__xludf.DUMMYFUNCTION("""COMPUTED_VALUE"""),"Stewardship (Aquatic)")</f>
        <v>Stewardship (Aquatic)</v>
      </c>
      <c r="E102" t="str">
        <f>IFERROR(__xludf.DUMMYFUNCTION("""COMPUTED_VALUE"""),"Aunt Kates")</f>
        <v>Aunt Kates</v>
      </c>
      <c r="F102" s="13">
        <f>IFERROR(__xludf.DUMMYFUNCTION("""COMPUTED_VALUE"""),0.3958333333321207)</f>
        <v>0.3958333333</v>
      </c>
      <c r="G102" s="14">
        <f>IFERROR(__xludf.DUMMYFUNCTION("""COMPUTED_VALUE"""),43291.0)</f>
        <v>43291</v>
      </c>
      <c r="H102" t="str">
        <f>IFERROR(__xludf.DUMMYFUNCTION("""COMPUTED_VALUE"""),"Angelini Sites")</f>
        <v>Angelini Sites</v>
      </c>
      <c r="I102" s="15">
        <f>IFERROR(__xludf.DUMMYFUNCTION("""COMPUTED_VALUE"""),0.5416666666678793)</f>
        <v>0.5416666667</v>
      </c>
      <c r="J102" s="16"/>
      <c r="K102" t="str">
        <f>IFERROR(__xludf.DUMMYFUNCTION("""COMPUTED_VALUE"""),"F 20ft Sea Ark (Easy 200) FL8534PY DEP21451")</f>
        <v>F 20ft Sea Ark (Easy 200) FL8534PY DEP21451</v>
      </c>
      <c r="M102" t="str">
        <f>IFERROR(__xludf.DUMMYFUNCTION("""COMPUTED_VALUE"""),"Ford F250 2017 (Moby Dix) - DEP0021578")</f>
        <v>Ford F250 2017 (Moby Dix) - DEP0021578</v>
      </c>
      <c r="N102" t="str">
        <f>IFERROR(__xludf.DUMMYFUNCTION("""COMPUTED_VALUE"""),"Nikki Dix, (352) 219-4079, Jimmy Tomazinis, (904) 547-0094")</f>
        <v>Nikki Dix, (352) 219-4079, Jimmy Tomazinis, (904) 547-0094</v>
      </c>
      <c r="O102" t="str">
        <f>IFERROR(__xludf.DUMMYFUNCTION("""COMPUTED_VALUE"""),"5 LMR people")</f>
        <v>5 LMR people</v>
      </c>
      <c r="P102" t="str">
        <f>IFERROR(__xludf.DUMMYFUNCTION("""COMPUTED_VALUE"""),"Jimmy")</f>
        <v>Jimmy</v>
      </c>
      <c r="Q102" t="str">
        <f>IFERROR(__xludf.DUMMYFUNCTION("""COMPUTED_VALUE"""),"Good")</f>
        <v>Good</v>
      </c>
      <c r="R102" t="str">
        <f>IFERROR(__xludf.DUMMYFUNCTION("""COMPUTED_VALUE"""),"Good")</f>
        <v>Good</v>
      </c>
      <c r="S102" t="str">
        <f>IFERROR(__xludf.DUMMYFUNCTION("""COMPUTED_VALUE"""),"Good")</f>
        <v>Good</v>
      </c>
      <c r="T102" t="str">
        <f>IFERROR(__xludf.DUMMYFUNCTION("""COMPUTED_VALUE"""),"Good")</f>
        <v>Good</v>
      </c>
      <c r="U102" t="str">
        <f>IFERROR(__xludf.DUMMYFUNCTION("""COMPUTED_VALUE"""),"Good")</f>
        <v>Good</v>
      </c>
      <c r="V102" t="str">
        <f>IFERROR(__xludf.DUMMYFUNCTION("""COMPUTED_VALUE"""),"Good")</f>
        <v>Good</v>
      </c>
      <c r="W102" t="str">
        <f>IFERROR(__xludf.DUMMYFUNCTION("""COMPUTED_VALUE"""),"Good")</f>
        <v>Good</v>
      </c>
      <c r="X102" t="str">
        <f>IFERROR(__xludf.DUMMYFUNCTION("""COMPUTED_VALUE"""),"Good")</f>
        <v>Good</v>
      </c>
      <c r="Y102" t="str">
        <f>IFERROR(__xludf.DUMMYFUNCTION("""COMPUTED_VALUE"""),"Good")</f>
        <v>Good</v>
      </c>
      <c r="Z102" t="str">
        <f>IFERROR(__xludf.DUMMYFUNCTION("""COMPUTED_VALUE"""),"Good")</f>
        <v>Good</v>
      </c>
      <c r="AA102" t="str">
        <f>IFERROR(__xludf.DUMMYFUNCTION("""COMPUTED_VALUE"""),"Good")</f>
        <v>Good</v>
      </c>
      <c r="AB102" t="str">
        <f>IFERROR(__xludf.DUMMYFUNCTION("""COMPUTED_VALUE"""),"Good")</f>
        <v>Good</v>
      </c>
      <c r="AC102" t="str">
        <f>IFERROR(__xludf.DUMMYFUNCTION("""COMPUTED_VALUE"""),"Good")</f>
        <v>Good</v>
      </c>
      <c r="AE102" s="11"/>
      <c r="AF102" t="s">
        <v>32</v>
      </c>
      <c r="AG102" s="17" t="s">
        <v>60</v>
      </c>
      <c r="AH102" s="12"/>
      <c r="AI102" s="12" t="s">
        <v>247</v>
      </c>
      <c r="AJ102" s="19" t="s">
        <v>248</v>
      </c>
      <c r="AK102" s="20" t="str">
        <f>HYPERLINK("https://docs.google.com/document/d/1acVIuNRHP6o9EhpjLyK7BPUBmQo2wAa7dSOlClJFeIA/edit?usp=drivesdk","James Tomazinis - 7/10/2018 9:30 AM")</f>
        <v>James Tomazinis - 7/10/2018 9:30 AM</v>
      </c>
      <c r="AL102" s="12" t="s">
        <v>249</v>
      </c>
    </row>
    <row r="103">
      <c r="A103" s="10">
        <f>IFERROR(__xludf.DUMMYFUNCTION("""COMPUTED_VALUE"""),43291.37799818286)</f>
        <v>43291.378</v>
      </c>
      <c r="B103" s="11" t="str">
        <f>IFERROR(__xludf.DUMMYFUNCTION("""COMPUTED_VALUE"""),"Pamela Marcum")</f>
        <v>Pamela Marcum</v>
      </c>
      <c r="C103" t="str">
        <f>IFERROR(__xludf.DUMMYFUNCTION("""COMPUTED_VALUE"""),"Pamela.Marcum@dep.state.fl.us")</f>
        <v>Pamela.Marcum@dep.state.fl.us</v>
      </c>
      <c r="D103" t="str">
        <f>IFERROR(__xludf.DUMMYFUNCTION("""COMPUTED_VALUE"""),"Research/Nikki")</f>
        <v>Research/Nikki</v>
      </c>
      <c r="E103" t="str">
        <f>IFERROR(__xludf.DUMMYFUNCTION("""COMPUTED_VALUE"""),"Aunt Kate's Usina Ramp")</f>
        <v>Aunt Kate's Usina Ramp</v>
      </c>
      <c r="F103" s="13">
        <f>IFERROR(__xludf.DUMMYFUNCTION("""COMPUTED_VALUE"""),0.375)</f>
        <v>0.375</v>
      </c>
      <c r="G103" s="14">
        <f>IFERROR(__xludf.DUMMYFUNCTION("""COMPUTED_VALUE"""),43291.0)</f>
        <v>43291</v>
      </c>
      <c r="H103" t="str">
        <f>IFERROR(__xludf.DUMMYFUNCTION("""COMPUTED_VALUE"""),"Tolomato River Pine Island")</f>
        <v>Tolomato River Pine Island</v>
      </c>
      <c r="I103" s="15">
        <f>IFERROR(__xludf.DUMMYFUNCTION("""COMPUTED_VALUE"""),0.625)</f>
        <v>0.625</v>
      </c>
      <c r="J103" s="16">
        <f>IFERROR(__xludf.DUMMYFUNCTION("""COMPUTED_VALUE"""),43291.64583333333)</f>
        <v>43291.64583</v>
      </c>
      <c r="K103" t="str">
        <f>IFERROR(__xludf.DUMMYFUNCTION("""COMPUTED_VALUE"""),"23ft Skiff (Bertha) FL7972LJ DEP07613")</f>
        <v>23ft Skiff (Bertha) FL7972LJ DEP07613</v>
      </c>
      <c r="M103" t="str">
        <f>IFERROR(__xludf.DUMMYFUNCTION("""COMPUTED_VALUE"""),"Ford F150 2015 (White) - DEP21448")</f>
        <v>Ford F150 2015 (White) - DEP21448</v>
      </c>
      <c r="N103" t="str">
        <f>IFERROR(__xludf.DUMMYFUNCTION("""COMPUTED_VALUE"""),"Pam Marcum, (480) 332-5414")</f>
        <v>Pam Marcum, (480) 332-5414</v>
      </c>
      <c r="O103" t="str">
        <f>IFERROR(__xludf.DUMMYFUNCTION("""COMPUTED_VALUE"""),"Michael Shirley, Shannon Rininger, +5 LMR Reviewers")</f>
        <v>Michael Shirley, Shannon Rininger, +5 LMR Reviewers</v>
      </c>
      <c r="P103" t="str">
        <f>IFERROR(__xludf.DUMMYFUNCTION("""COMPUTED_VALUE"""),"Pamela Marcum")</f>
        <v>Pamela Marcum</v>
      </c>
      <c r="Q103" t="str">
        <f>IFERROR(__xludf.DUMMYFUNCTION("""COMPUTED_VALUE"""),"Good")</f>
        <v>Good</v>
      </c>
      <c r="R103" t="str">
        <f>IFERROR(__xludf.DUMMYFUNCTION("""COMPUTED_VALUE"""),"Good")</f>
        <v>Good</v>
      </c>
      <c r="S103" t="str">
        <f>IFERROR(__xludf.DUMMYFUNCTION("""COMPUTED_VALUE"""),"Good")</f>
        <v>Good</v>
      </c>
      <c r="T103" t="str">
        <f>IFERROR(__xludf.DUMMYFUNCTION("""COMPUTED_VALUE"""),"Good")</f>
        <v>Good</v>
      </c>
      <c r="U103" t="str">
        <f>IFERROR(__xludf.DUMMYFUNCTION("""COMPUTED_VALUE"""),"Good")</f>
        <v>Good</v>
      </c>
      <c r="V103" t="str">
        <f>IFERROR(__xludf.DUMMYFUNCTION("""COMPUTED_VALUE"""),"Good")</f>
        <v>Good</v>
      </c>
      <c r="W103" t="str">
        <f>IFERROR(__xludf.DUMMYFUNCTION("""COMPUTED_VALUE"""),"Good")</f>
        <v>Good</v>
      </c>
      <c r="X103" t="str">
        <f>IFERROR(__xludf.DUMMYFUNCTION("""COMPUTED_VALUE"""),"Good")</f>
        <v>Good</v>
      </c>
      <c r="Y103" t="str">
        <f>IFERROR(__xludf.DUMMYFUNCTION("""COMPUTED_VALUE"""),"Good")</f>
        <v>Good</v>
      </c>
      <c r="Z103" t="str">
        <f>IFERROR(__xludf.DUMMYFUNCTION("""COMPUTED_VALUE"""),"Good")</f>
        <v>Good</v>
      </c>
      <c r="AA103" t="str">
        <f>IFERROR(__xludf.DUMMYFUNCTION("""COMPUTED_VALUE"""),"Good")</f>
        <v>Good</v>
      </c>
      <c r="AB103" t="str">
        <f>IFERROR(__xludf.DUMMYFUNCTION("""COMPUTED_VALUE"""),"Good")</f>
        <v>Good</v>
      </c>
      <c r="AC103" t="str">
        <f>IFERROR(__xludf.DUMMYFUNCTION("""COMPUTED_VALUE"""),"Good")</f>
        <v>Good</v>
      </c>
      <c r="AE103" s="11"/>
      <c r="AF103" t="s">
        <v>218</v>
      </c>
      <c r="AG103" s="17" t="s">
        <v>60</v>
      </c>
      <c r="AH103" s="12"/>
      <c r="AI103" s="12" t="s">
        <v>250</v>
      </c>
      <c r="AJ103" s="19" t="s">
        <v>251</v>
      </c>
      <c r="AK103" s="20" t="str">
        <f>HYPERLINK("https://docs.google.com/document/d/1wU-ztvrplHNJ3Wq6k-7vP1L8aMRqh_hvA2p-U5wWUF0/edit?usp=drivesdk","Pamela Marcum - 7/10/2018 9:00 AM")</f>
        <v>Pamela Marcum - 7/10/2018 9:00 AM</v>
      </c>
      <c r="AL103" s="12" t="s">
        <v>252</v>
      </c>
    </row>
    <row r="104">
      <c r="A104" s="10">
        <f>IFERROR(__xludf.DUMMYFUNCTION("""COMPUTED_VALUE"""),43291.80791991899)</f>
        <v>43291.80792</v>
      </c>
      <c r="B104" s="11" t="str">
        <f>IFERROR(__xludf.DUMMYFUNCTION("""COMPUTED_VALUE"""),"James Tomazinis")</f>
        <v>James Tomazinis</v>
      </c>
      <c r="C104" t="str">
        <f>IFERROR(__xludf.DUMMYFUNCTION("""COMPUTED_VALUE"""),"james.tomazinis@floridadep.gov")</f>
        <v>james.tomazinis@floridadep.gov</v>
      </c>
      <c r="D104" t="str">
        <f>IFERROR(__xludf.DUMMYFUNCTION("""COMPUTED_VALUE"""),"Stewardship (Aquatic)")</f>
        <v>Stewardship (Aquatic)</v>
      </c>
      <c r="E104" t="str">
        <f>IFERROR(__xludf.DUMMYFUNCTION("""COMPUTED_VALUE"""),"Dam")</f>
        <v>Dam</v>
      </c>
      <c r="F104" s="13">
        <f>IFERROR(__xludf.DUMMYFUNCTION("""COMPUTED_VALUE"""),0.34722222222262644)</f>
        <v>0.3472222222</v>
      </c>
      <c r="G104" s="14">
        <f>IFERROR(__xludf.DUMMYFUNCTION("""COMPUTED_VALUE"""),43292.0)</f>
        <v>43292</v>
      </c>
      <c r="H104" t="str">
        <f>IFERROR(__xludf.DUMMYFUNCTION("""COMPUTED_VALUE"""),"Guana River")</f>
        <v>Guana River</v>
      </c>
      <c r="I104" s="15">
        <f>IFERROR(__xludf.DUMMYFUNCTION("""COMPUTED_VALUE"""),0.4166666666678793)</f>
        <v>0.4166666667</v>
      </c>
      <c r="J104" s="16"/>
      <c r="K104" t="str">
        <f>IFERROR(__xludf.DUMMYFUNCTION("""COMPUTED_VALUE"""),"Jon Boat FL0484NP DEP06819")</f>
        <v>Jon Boat FL0484NP DEP06819</v>
      </c>
      <c r="M104" t="str">
        <f>IFERROR(__xludf.DUMMYFUNCTION("""COMPUTED_VALUE"""),"Ford F250 2017 (Moby Dix) - DEP0021578")</f>
        <v>Ford F250 2017 (Moby Dix) - DEP0021578</v>
      </c>
      <c r="N104" t="str">
        <f>IFERROR(__xludf.DUMMYFUNCTION("""COMPUTED_VALUE"""),"Nikki Dix, (352) 219-4079, Jimmy Tomazinis, (904) 547-0094")</f>
        <v>Nikki Dix, (352) 219-4079, Jimmy Tomazinis, (904) 547-0094</v>
      </c>
      <c r="O104" t="str">
        <f>IFERROR(__xludf.DUMMYFUNCTION("""COMPUTED_VALUE"""),"Hunter Mathews")</f>
        <v>Hunter Mathews</v>
      </c>
      <c r="P104" t="str">
        <f>IFERROR(__xludf.DUMMYFUNCTION("""COMPUTED_VALUE"""),"Jimmy")</f>
        <v>Jimmy</v>
      </c>
      <c r="Q104" t="str">
        <f>IFERROR(__xludf.DUMMYFUNCTION("""COMPUTED_VALUE"""),"Good")</f>
        <v>Good</v>
      </c>
      <c r="R104" t="str">
        <f>IFERROR(__xludf.DUMMYFUNCTION("""COMPUTED_VALUE"""),"Good")</f>
        <v>Good</v>
      </c>
      <c r="AE104" s="11"/>
      <c r="AF104" t="s">
        <v>32</v>
      </c>
      <c r="AG104" s="17" t="s">
        <v>18</v>
      </c>
      <c r="AH104" s="12"/>
      <c r="AI104" s="12" t="s">
        <v>253</v>
      </c>
      <c r="AJ104" s="19" t="s">
        <v>254</v>
      </c>
      <c r="AK104" s="20" t="str">
        <f>HYPERLINK("https://docs.google.com/document/d/1cWHC30uCG8clysPvFjcXE45CuDzXqmgLp_YEJ8TY14o/edit?usp=drivesdk","James Tomazinis - 7/11/2018 8:20 AM")</f>
        <v>James Tomazinis - 7/11/2018 8:20 AM</v>
      </c>
      <c r="AL104" s="12" t="s">
        <v>255</v>
      </c>
    </row>
    <row r="105">
      <c r="A105" s="10">
        <f>IFERROR(__xludf.DUMMYFUNCTION("""COMPUTED_VALUE"""),43292.611803750005)</f>
        <v>43292.6118</v>
      </c>
      <c r="B105" s="11" t="str">
        <f>IFERROR(__xludf.DUMMYFUNCTION("""COMPUTED_VALUE"""),"Kenneth Rainer")</f>
        <v>Kenneth Rainer</v>
      </c>
      <c r="C105" t="str">
        <f>IFERROR(__xludf.DUMMYFUNCTION("""COMPUTED_VALUE"""),"Kenneth.Rainer@dep.state.fl.us")</f>
        <v>Kenneth.Rainer@dep.state.fl.us</v>
      </c>
      <c r="D105" t="str">
        <f>IFERROR(__xludf.DUMMYFUNCTION("""COMPUTED_VALUE"""),"Education")</f>
        <v>Education</v>
      </c>
      <c r="E105" t="str">
        <f>IFERROR(__xludf.DUMMYFUNCTION("""COMPUTED_VALUE"""),"Usina Boat Ramp (Aunt Kates)")</f>
        <v>Usina Boat Ramp (Aunt Kates)</v>
      </c>
      <c r="F105" s="13">
        <f>IFERROR(__xludf.DUMMYFUNCTION("""COMPUTED_VALUE"""),0.3958333333321207)</f>
        <v>0.3958333333</v>
      </c>
      <c r="G105" s="14">
        <f>IFERROR(__xludf.DUMMYFUNCTION("""COMPUTED_VALUE"""),43293.0)</f>
        <v>43293</v>
      </c>
      <c r="H105" t="str">
        <f>IFERROR(__xludf.DUMMYFUNCTION("""COMPUTED_VALUE"""),"Northern component (Shell Bluff)")</f>
        <v>Northern component (Shell Bluff)</v>
      </c>
      <c r="I105" s="15">
        <f>IFERROR(__xludf.DUMMYFUNCTION("""COMPUTED_VALUE"""),0.5416666666678793)</f>
        <v>0.5416666667</v>
      </c>
      <c r="J105" s="16">
        <f>IFERROR(__xludf.DUMMYFUNCTION("""COMPUTED_VALUE"""),43293.5625)</f>
        <v>43293.5625</v>
      </c>
      <c r="K105" t="str">
        <f>IFERROR(__xludf.DUMMYFUNCTION("""COMPUTED_VALUE"""),"23ft Skiff (Bertha) FL7972LJ DEP07613")</f>
        <v>23ft Skiff (Bertha) FL7972LJ DEP07613</v>
      </c>
      <c r="M105" t="str">
        <f>IFERROR(__xludf.DUMMYFUNCTION("""COMPUTED_VALUE"""),"Ford F150 2015 (White) - DEP21448")</f>
        <v>Ford F150 2015 (White) - DEP21448</v>
      </c>
      <c r="N105" t="str">
        <f>IFERROR(__xludf.DUMMYFUNCTION("""COMPUTED_VALUE"""),"Kenneth Rainer, (936) 499-1853")</f>
        <v>Kenneth Rainer, (936) 499-1853</v>
      </c>
      <c r="O105" t="str">
        <f>IFERROR(__xludf.DUMMYFUNCTION("""COMPUTED_VALUE"""),"Summer Campers (7-9yr &amp; 10-12yr campers)")</f>
        <v>Summer Campers (7-9yr &amp; 10-12yr campers)</v>
      </c>
      <c r="P105" t="str">
        <f>IFERROR(__xludf.DUMMYFUNCTION("""COMPUTED_VALUE"""),"Kenneth Rainer")</f>
        <v>Kenneth Rainer</v>
      </c>
      <c r="Q105" t="str">
        <f>IFERROR(__xludf.DUMMYFUNCTION("""COMPUTED_VALUE"""),"Good")</f>
        <v>Good</v>
      </c>
      <c r="R105" t="str">
        <f>IFERROR(__xludf.DUMMYFUNCTION("""COMPUTED_VALUE"""),"Good")</f>
        <v>Good</v>
      </c>
      <c r="S105" t="str">
        <f>IFERROR(__xludf.DUMMYFUNCTION("""COMPUTED_VALUE"""),"Good")</f>
        <v>Good</v>
      </c>
      <c r="T105" t="str">
        <f>IFERROR(__xludf.DUMMYFUNCTION("""COMPUTED_VALUE"""),"Good")</f>
        <v>Good</v>
      </c>
      <c r="U105" t="str">
        <f>IFERROR(__xludf.DUMMYFUNCTION("""COMPUTED_VALUE"""),"Good")</f>
        <v>Good</v>
      </c>
      <c r="V105" t="str">
        <f>IFERROR(__xludf.DUMMYFUNCTION("""COMPUTED_VALUE"""),"Good")</f>
        <v>Good</v>
      </c>
      <c r="W105" t="str">
        <f>IFERROR(__xludf.DUMMYFUNCTION("""COMPUTED_VALUE"""),"Good")</f>
        <v>Good</v>
      </c>
      <c r="X105" t="str">
        <f>IFERROR(__xludf.DUMMYFUNCTION("""COMPUTED_VALUE"""),"Good")</f>
        <v>Good</v>
      </c>
      <c r="Y105" t="str">
        <f>IFERROR(__xludf.DUMMYFUNCTION("""COMPUTED_VALUE"""),"Good")</f>
        <v>Good</v>
      </c>
      <c r="Z105" t="str">
        <f>IFERROR(__xludf.DUMMYFUNCTION("""COMPUTED_VALUE"""),"Good")</f>
        <v>Good</v>
      </c>
      <c r="AA105" t="str">
        <f>IFERROR(__xludf.DUMMYFUNCTION("""COMPUTED_VALUE"""),"Good")</f>
        <v>Good</v>
      </c>
      <c r="AB105" t="str">
        <f>IFERROR(__xludf.DUMMYFUNCTION("""COMPUTED_VALUE"""),"Good")</f>
        <v>Good</v>
      </c>
      <c r="AC105" t="str">
        <f>IFERROR(__xludf.DUMMYFUNCTION("""COMPUTED_VALUE"""),"Good")</f>
        <v>Good</v>
      </c>
      <c r="AD105" t="str">
        <f>IFERROR(__xludf.DUMMYFUNCTION("""COMPUTED_VALUE"""),"Mainly sunny. A stray shower or thunderstorm is possible. High near 90F. SW winds shifting to ESE at 10 to 15 mph.")</f>
        <v>Mainly sunny. A stray shower or thunderstorm is possible. High near 90F. SW winds shifting to ESE at 10 to 15 mph.</v>
      </c>
      <c r="AE105" s="11" t="str">
        <f>IFERROR(__xludf.DUMMYFUNCTION("""COMPUTED_VALUE"""),"08:26 AM, 3.96 ft, H --- 2:24 PM, -1.12 ft, L")</f>
        <v>08:26 AM, 3.96 ft, H --- 2:24 PM, -1.12 ft, L</v>
      </c>
      <c r="AF105" t="s">
        <v>9</v>
      </c>
      <c r="AG105" s="17" t="s">
        <v>18</v>
      </c>
      <c r="AH105" s="12"/>
      <c r="AI105" s="12" t="s">
        <v>256</v>
      </c>
      <c r="AJ105" s="19" t="s">
        <v>257</v>
      </c>
      <c r="AK105" s="20" t="str">
        <f>HYPERLINK("https://docs.google.com/document/d/15JSaSCbxrJwu6kwkLTnDA9-lYy2XQUHFjS2JiRUKLGM/edit?usp=drivesdk","Kenneth Rainer - 7/12/2018 9:30 AM")</f>
        <v>Kenneth Rainer - 7/12/2018 9:30 AM</v>
      </c>
      <c r="AL105" s="12" t="s">
        <v>258</v>
      </c>
    </row>
    <row r="106">
      <c r="A106" s="10">
        <f>IFERROR(__xludf.DUMMYFUNCTION("""COMPUTED_VALUE"""),43293.3781090625)</f>
        <v>43293.37811</v>
      </c>
      <c r="B106" s="11" t="str">
        <f>IFERROR(__xludf.DUMMYFUNCTION("""COMPUTED_VALUE"""),"Shannon Dunnigan")</f>
        <v>Shannon Dunnigan</v>
      </c>
      <c r="C106" t="str">
        <f>IFERROR(__xludf.DUMMYFUNCTION("""COMPUTED_VALUE"""),"Shannon.Dunnigan@dep.state.fl.us")</f>
        <v>Shannon.Dunnigan@dep.state.fl.us</v>
      </c>
      <c r="D106" t="str">
        <f>IFERROR(__xludf.DUMMYFUNCTION("""COMPUTED_VALUE"""),"Research/Nikki")</f>
        <v>Research/Nikki</v>
      </c>
      <c r="E106" t="str">
        <f>IFERROR(__xludf.DUMMYFUNCTION("""COMPUTED_VALUE"""),"Bings Landing")</f>
        <v>Bings Landing</v>
      </c>
      <c r="F106" s="13">
        <f>IFERROR(__xludf.DUMMYFUNCTION("""COMPUTED_VALUE"""),0.4583333333321207)</f>
        <v>0.4583333333</v>
      </c>
      <c r="G106" s="14">
        <f>IFERROR(__xludf.DUMMYFUNCTION("""COMPUTED_VALUE"""),43293.0)</f>
        <v>43293</v>
      </c>
      <c r="H106" t="str">
        <f>IFERROR(__xludf.DUMMYFUNCTION("""COMPUTED_VALUE"""),"ICW around Summerhaven")</f>
        <v>ICW around Summerhaven</v>
      </c>
      <c r="I106" s="15">
        <f>IFERROR(__xludf.DUMMYFUNCTION("""COMPUTED_VALUE"""),0.5625)</f>
        <v>0.5625</v>
      </c>
      <c r="J106" s="16">
        <f>IFERROR(__xludf.DUMMYFUNCTION("""COMPUTED_VALUE"""),43293.625)</f>
        <v>43293.625</v>
      </c>
      <c r="K106" t="str">
        <f>IFERROR(__xludf.DUMMYFUNCTION("""COMPUTED_VALUE"""),"20ft Sea Ark FL5351SJ UNF 2015")</f>
        <v>20ft Sea Ark FL5351SJ UNF 2015</v>
      </c>
      <c r="M106" t="str">
        <f>IFERROR(__xludf.DUMMYFUNCTION("""COMPUTED_VALUE"""),"Ford F250 2017 (Moby Dix) - DEP0021578")</f>
        <v>Ford F250 2017 (Moby Dix) - DEP0021578</v>
      </c>
      <c r="N106" t="str">
        <f>IFERROR(__xludf.DUMMYFUNCTION("""COMPUTED_VALUE"""),"Shannon Dunnigan, (803) 727-5734, Ben Mowbray, (407) 962-8782")</f>
        <v>Shannon Dunnigan, (803) 727-5734, Ben Mowbray, (407) 962-8782</v>
      </c>
      <c r="O106" t="str">
        <f>IFERROR(__xludf.DUMMYFUNCTION("""COMPUTED_VALUE"""),"Matt Brown, Trinity Hopkins, Hunter Mathews")</f>
        <v>Matt Brown, Trinity Hopkins, Hunter Mathews</v>
      </c>
      <c r="P106" t="str">
        <f>IFERROR(__xludf.DUMMYFUNCTION("""COMPUTED_VALUE"""),"Shannon Dunnigan")</f>
        <v>Shannon Dunnigan</v>
      </c>
      <c r="Q106" t="str">
        <f>IFERROR(__xludf.DUMMYFUNCTION("""COMPUTED_VALUE"""),"Good")</f>
        <v>Good</v>
      </c>
      <c r="R106" t="str">
        <f>IFERROR(__xludf.DUMMYFUNCTION("""COMPUTED_VALUE"""),"Good")</f>
        <v>Good</v>
      </c>
      <c r="S106" t="str">
        <f>IFERROR(__xludf.DUMMYFUNCTION("""COMPUTED_VALUE"""),"Good")</f>
        <v>Good</v>
      </c>
      <c r="T106" t="str">
        <f>IFERROR(__xludf.DUMMYFUNCTION("""COMPUTED_VALUE"""),"Good")</f>
        <v>Good</v>
      </c>
      <c r="U106" t="str">
        <f>IFERROR(__xludf.DUMMYFUNCTION("""COMPUTED_VALUE"""),"Good")</f>
        <v>Good</v>
      </c>
      <c r="V106" t="str">
        <f>IFERROR(__xludf.DUMMYFUNCTION("""COMPUTED_VALUE"""),"Good")</f>
        <v>Good</v>
      </c>
      <c r="W106" t="str">
        <f>IFERROR(__xludf.DUMMYFUNCTION("""COMPUTED_VALUE"""),"Good")</f>
        <v>Good</v>
      </c>
      <c r="X106" t="str">
        <f>IFERROR(__xludf.DUMMYFUNCTION("""COMPUTED_VALUE"""),"Good")</f>
        <v>Good</v>
      </c>
      <c r="Y106" t="str">
        <f>IFERROR(__xludf.DUMMYFUNCTION("""COMPUTED_VALUE"""),"Good")</f>
        <v>Good</v>
      </c>
      <c r="Z106" t="str">
        <f>IFERROR(__xludf.DUMMYFUNCTION("""COMPUTED_VALUE"""),"Good")</f>
        <v>Good</v>
      </c>
      <c r="AA106" t="str">
        <f>IFERROR(__xludf.DUMMYFUNCTION("""COMPUTED_VALUE"""),"Good")</f>
        <v>Good</v>
      </c>
      <c r="AB106" t="str">
        <f>IFERROR(__xludf.DUMMYFUNCTION("""COMPUTED_VALUE"""),"Good")</f>
        <v>Good</v>
      </c>
      <c r="AC106" t="str">
        <f>IFERROR(__xludf.DUMMYFUNCTION("""COMPUTED_VALUE"""),"Good")</f>
        <v>Good</v>
      </c>
      <c r="AE106" s="11"/>
      <c r="AF106" t="s">
        <v>218</v>
      </c>
      <c r="AG106" s="17" t="s">
        <v>43</v>
      </c>
      <c r="AH106" s="12"/>
      <c r="AI106" s="12" t="s">
        <v>259</v>
      </c>
      <c r="AJ106" s="19" t="s">
        <v>260</v>
      </c>
      <c r="AK106" s="20" t="str">
        <f>HYPERLINK("https://docs.google.com/document/d/1Gyx9ROaTKWuy-76rkui4kE2dTnRUDtMTJAqKpXUVmj4/edit?usp=drivesdk","Shannon Dunnigan - 7/12/2018 11:00 AM")</f>
        <v>Shannon Dunnigan - 7/12/2018 11:00 AM</v>
      </c>
      <c r="AL106" s="12" t="s">
        <v>261</v>
      </c>
    </row>
    <row r="107">
      <c r="A107" s="10">
        <f>IFERROR(__xludf.DUMMYFUNCTION("""COMPUTED_VALUE"""),43298.60367862268)</f>
        <v>43298.60368</v>
      </c>
      <c r="B107" s="11" t="str">
        <f>IFERROR(__xludf.DUMMYFUNCTION("""COMPUTED_VALUE"""),"Ben Mowbray")</f>
        <v>Ben Mowbray</v>
      </c>
      <c r="C107" t="str">
        <f>IFERROR(__xludf.DUMMYFUNCTION("""COMPUTED_VALUE"""),"ben.mowbray@dep.state.fl.us")</f>
        <v>ben.mowbray@dep.state.fl.us</v>
      </c>
      <c r="D107" t="str">
        <f>IFERROR(__xludf.DUMMYFUNCTION("""COMPUTED_VALUE"""),"Research/Pam")</f>
        <v>Research/Pam</v>
      </c>
      <c r="E107" t="str">
        <f>IFERROR(__xludf.DUMMYFUNCTION("""COMPUTED_VALUE"""),"Aunt Kate's")</f>
        <v>Aunt Kate's</v>
      </c>
      <c r="F107" s="13">
        <f>IFERROR(__xludf.DUMMYFUNCTION("""COMPUTED_VALUE"""),0.2604166666678793)</f>
        <v>0.2604166667</v>
      </c>
      <c r="G107" s="14">
        <f>IFERROR(__xludf.DUMMYFUNCTION("""COMPUTED_VALUE"""),43299.0)</f>
        <v>43299</v>
      </c>
      <c r="H107" t="str">
        <f>IFERROR(__xludf.DUMMYFUNCTION("""COMPUTED_VALUE"""),"GR and TR Reefs")</f>
        <v>GR and TR Reefs</v>
      </c>
      <c r="I107" s="15">
        <f>IFERROR(__xludf.DUMMYFUNCTION("""COMPUTED_VALUE"""),0.4791666666678793)</f>
        <v>0.4791666667</v>
      </c>
      <c r="J107" s="16">
        <f>IFERROR(__xludf.DUMMYFUNCTION("""COMPUTED_VALUE"""),43299.5)</f>
        <v>43299.5</v>
      </c>
      <c r="K107" t="str">
        <f>IFERROR(__xludf.DUMMYFUNCTION("""COMPUTED_VALUE"""),"23ft Skiff (Bertha) FL7972LJ DEP07613")</f>
        <v>23ft Skiff (Bertha) FL7972LJ DEP07613</v>
      </c>
      <c r="M107" t="str">
        <f>IFERROR(__xludf.DUMMYFUNCTION("""COMPUTED_VALUE"""),"Ford F250 2017 (Moby Dix) - DEP0021578")</f>
        <v>Ford F250 2017 (Moby Dix) - DEP0021578</v>
      </c>
      <c r="N107" t="str">
        <f>IFERROR(__xludf.DUMMYFUNCTION("""COMPUTED_VALUE"""),"Ben Mowbray, (407) 962-8782")</f>
        <v>Ben Mowbray, (407) 962-8782</v>
      </c>
      <c r="O107" t="str">
        <f>IFERROR(__xludf.DUMMYFUNCTION("""COMPUTED_VALUE"""),"Nicole, Rodrigo, Adrienne, David")</f>
        <v>Nicole, Rodrigo, Adrienne, David</v>
      </c>
      <c r="P107" t="str">
        <f>IFERROR(__xludf.DUMMYFUNCTION("""COMPUTED_VALUE"""),"Ben")</f>
        <v>Ben</v>
      </c>
      <c r="Q107" t="str">
        <f>IFERROR(__xludf.DUMMYFUNCTION("""COMPUTED_VALUE"""),"Good")</f>
        <v>Good</v>
      </c>
      <c r="R107" t="str">
        <f>IFERROR(__xludf.DUMMYFUNCTION("""COMPUTED_VALUE"""),"Good")</f>
        <v>Good</v>
      </c>
      <c r="S107" t="str">
        <f>IFERROR(__xludf.DUMMYFUNCTION("""COMPUTED_VALUE"""),"Good")</f>
        <v>Good</v>
      </c>
      <c r="T107" t="str">
        <f>IFERROR(__xludf.DUMMYFUNCTION("""COMPUTED_VALUE"""),"Good")</f>
        <v>Good</v>
      </c>
      <c r="U107" t="str">
        <f>IFERROR(__xludf.DUMMYFUNCTION("""COMPUTED_VALUE"""),"Good")</f>
        <v>Good</v>
      </c>
      <c r="V107" t="str">
        <f>IFERROR(__xludf.DUMMYFUNCTION("""COMPUTED_VALUE"""),"Good")</f>
        <v>Good</v>
      </c>
      <c r="W107" t="str">
        <f>IFERROR(__xludf.DUMMYFUNCTION("""COMPUTED_VALUE"""),"Good")</f>
        <v>Good</v>
      </c>
      <c r="X107" t="str">
        <f>IFERROR(__xludf.DUMMYFUNCTION("""COMPUTED_VALUE"""),"Good")</f>
        <v>Good</v>
      </c>
      <c r="Y107" t="str">
        <f>IFERROR(__xludf.DUMMYFUNCTION("""COMPUTED_VALUE"""),"Good")</f>
        <v>Good</v>
      </c>
      <c r="Z107" t="str">
        <f>IFERROR(__xludf.DUMMYFUNCTION("""COMPUTED_VALUE"""),"Good")</f>
        <v>Good</v>
      </c>
      <c r="AA107" t="str">
        <f>IFERROR(__xludf.DUMMYFUNCTION("""COMPUTED_VALUE"""),"Good")</f>
        <v>Good</v>
      </c>
      <c r="AB107" t="str">
        <f>IFERROR(__xludf.DUMMYFUNCTION("""COMPUTED_VALUE"""),"Good")</f>
        <v>Good</v>
      </c>
      <c r="AC107" t="str">
        <f>IFERROR(__xludf.DUMMYFUNCTION("""COMPUTED_VALUE"""),"Good")</f>
        <v>Good</v>
      </c>
      <c r="AE107" s="11"/>
      <c r="AF107" t="s">
        <v>262</v>
      </c>
      <c r="AG107" s="17" t="s">
        <v>18</v>
      </c>
      <c r="AH107" s="23">
        <v>0.4895833333333333</v>
      </c>
      <c r="AI107" s="12" t="s">
        <v>263</v>
      </c>
      <c r="AJ107" s="19" t="s">
        <v>264</v>
      </c>
      <c r="AK107" s="20" t="str">
        <f>HYPERLINK("https://docs.google.com/document/d/1B2B_zzU6VYd5JQ-56maF2bnECN2oN8ZVlQhWEyzl5pg/edit?usp=drivesdk","Ben Mowbray - 7/18/2018 6:15 AM")</f>
        <v>Ben Mowbray - 7/18/2018 6:15 AM</v>
      </c>
      <c r="AL107" s="12" t="s">
        <v>265</v>
      </c>
    </row>
    <row r="108">
      <c r="A108" s="10">
        <f>IFERROR(__xludf.DUMMYFUNCTION("""COMPUTED_VALUE"""),43300.22954489584)</f>
        <v>43300.22954</v>
      </c>
      <c r="B108" s="11" t="str">
        <f>IFERROR(__xludf.DUMMYFUNCTION("""COMPUTED_VALUE"""),"Ben Mowbray")</f>
        <v>Ben Mowbray</v>
      </c>
      <c r="C108" t="str">
        <f>IFERROR(__xludf.DUMMYFUNCTION("""COMPUTED_VALUE"""),"ben.mowbray@dep.state.fl.us")</f>
        <v>ben.mowbray@dep.state.fl.us</v>
      </c>
      <c r="D108" t="str">
        <f>IFERROR(__xludf.DUMMYFUNCTION("""COMPUTED_VALUE"""),"Research/Nikki")</f>
        <v>Research/Nikki</v>
      </c>
      <c r="E108" t="str">
        <f>IFERROR(__xludf.DUMMYFUNCTION("""COMPUTED_VALUE"""),"Aunt Kate's")</f>
        <v>Aunt Kate's</v>
      </c>
      <c r="F108" s="13">
        <f>IFERROR(__xludf.DUMMYFUNCTION("""COMPUTED_VALUE"""),0.25)</f>
        <v>0.25</v>
      </c>
      <c r="G108" s="14">
        <f>IFERROR(__xludf.DUMMYFUNCTION("""COMPUTED_VALUE"""),43300.0)</f>
        <v>43300</v>
      </c>
      <c r="H108" t="str">
        <f>IFERROR(__xludf.DUMMYFUNCTION("""COMPUTED_VALUE"""),"TR SA and Butler Reefs")</f>
        <v>TR SA and Butler Reefs</v>
      </c>
      <c r="I108" s="15">
        <f>IFERROR(__xludf.DUMMYFUNCTION("""COMPUTED_VALUE"""),0.5)</f>
        <v>0.5</v>
      </c>
      <c r="J108" s="16">
        <f>IFERROR(__xludf.DUMMYFUNCTION("""COMPUTED_VALUE"""),43300.524305555555)</f>
        <v>43300.52431</v>
      </c>
      <c r="K108" t="str">
        <f>IFERROR(__xludf.DUMMYFUNCTION("""COMPUTED_VALUE"""),"23ft Skiff (Bertha) FL7972LJ DEP07613")</f>
        <v>23ft Skiff (Bertha) FL7972LJ DEP07613</v>
      </c>
      <c r="M108" t="str">
        <f>IFERROR(__xludf.DUMMYFUNCTION("""COMPUTED_VALUE"""),"Ford F250 2017 (Moby Dix) - DEP0021578")</f>
        <v>Ford F250 2017 (Moby Dix) - DEP0021578</v>
      </c>
      <c r="N108" t="str">
        <f>IFERROR(__xludf.DUMMYFUNCTION("""COMPUTED_VALUE"""),"Ben Mowbray, (407) 962-8782")</f>
        <v>Ben Mowbray, (407) 962-8782</v>
      </c>
      <c r="O108" t="str">
        <f>IFERROR(__xludf.DUMMYFUNCTION("""COMPUTED_VALUE"""),"Nicole, Rodrigo, David, Adrienne")</f>
        <v>Nicole, Rodrigo, David, Adrienne</v>
      </c>
      <c r="P108" t="str">
        <f>IFERROR(__xludf.DUMMYFUNCTION("""COMPUTED_VALUE"""),"Ben")</f>
        <v>Ben</v>
      </c>
      <c r="Q108" t="str">
        <f>IFERROR(__xludf.DUMMYFUNCTION("""COMPUTED_VALUE"""),"Good")</f>
        <v>Good</v>
      </c>
      <c r="R108" t="str">
        <f>IFERROR(__xludf.DUMMYFUNCTION("""COMPUTED_VALUE"""),"Good")</f>
        <v>Good</v>
      </c>
      <c r="S108" t="str">
        <f>IFERROR(__xludf.DUMMYFUNCTION("""COMPUTED_VALUE"""),"Good")</f>
        <v>Good</v>
      </c>
      <c r="T108" t="str">
        <f>IFERROR(__xludf.DUMMYFUNCTION("""COMPUTED_VALUE"""),"Good")</f>
        <v>Good</v>
      </c>
      <c r="U108" t="str">
        <f>IFERROR(__xludf.DUMMYFUNCTION("""COMPUTED_VALUE"""),"Good")</f>
        <v>Good</v>
      </c>
      <c r="V108" t="str">
        <f>IFERROR(__xludf.DUMMYFUNCTION("""COMPUTED_VALUE"""),"Good")</f>
        <v>Good</v>
      </c>
      <c r="W108" t="str">
        <f>IFERROR(__xludf.DUMMYFUNCTION("""COMPUTED_VALUE"""),"Good")</f>
        <v>Good</v>
      </c>
      <c r="X108" t="str">
        <f>IFERROR(__xludf.DUMMYFUNCTION("""COMPUTED_VALUE"""),"Good")</f>
        <v>Good</v>
      </c>
      <c r="Y108" t="str">
        <f>IFERROR(__xludf.DUMMYFUNCTION("""COMPUTED_VALUE"""),"Good")</f>
        <v>Good</v>
      </c>
      <c r="Z108" t="str">
        <f>IFERROR(__xludf.DUMMYFUNCTION("""COMPUTED_VALUE"""),"Good")</f>
        <v>Good</v>
      </c>
      <c r="AA108" t="str">
        <f>IFERROR(__xludf.DUMMYFUNCTION("""COMPUTED_VALUE"""),"Good")</f>
        <v>Good</v>
      </c>
      <c r="AB108" t="str">
        <f>IFERROR(__xludf.DUMMYFUNCTION("""COMPUTED_VALUE"""),"Good")</f>
        <v>Good</v>
      </c>
      <c r="AC108" t="str">
        <f>IFERROR(__xludf.DUMMYFUNCTION("""COMPUTED_VALUE"""),"Good")</f>
        <v>Good</v>
      </c>
      <c r="AE108" s="11"/>
      <c r="AF108" t="s">
        <v>218</v>
      </c>
      <c r="AG108" s="17" t="s">
        <v>60</v>
      </c>
      <c r="AI108" s="12" t="s">
        <v>266</v>
      </c>
      <c r="AJ108" s="19" t="s">
        <v>267</v>
      </c>
      <c r="AK108" s="20" t="str">
        <f>HYPERLINK("https://docs.google.com/document/d/1_Jz1cLc_0eyZ6COebIUYyR_BuSj6Ej0LPmwxx-PUG2s/edit?usp=drivesdk","Ben Mowbray - 7/19/2018 6:00 AM")</f>
        <v>Ben Mowbray - 7/19/2018 6:00 AM</v>
      </c>
      <c r="AL108" s="12" t="s">
        <v>268</v>
      </c>
    </row>
    <row r="109">
      <c r="A109" s="10">
        <f>IFERROR(__xludf.DUMMYFUNCTION("""COMPUTED_VALUE"""),43305.34114435185)</f>
        <v>43305.34114</v>
      </c>
      <c r="B109" s="11" t="str">
        <f>IFERROR(__xludf.DUMMYFUNCTION("""COMPUTED_VALUE"""),"Silas Tanner")</f>
        <v>Silas Tanner</v>
      </c>
      <c r="C109" t="str">
        <f>IFERROR(__xludf.DUMMYFUNCTION("""COMPUTED_VALUE"""),"silas.tanner@floridadep.gov")</f>
        <v>silas.tanner@floridadep.gov</v>
      </c>
      <c r="D109" t="str">
        <f>IFERROR(__xludf.DUMMYFUNCTION("""COMPUTED_VALUE"""),"Research/Shannon")</f>
        <v>Research/Shannon</v>
      </c>
      <c r="E109" t="str">
        <f>IFERROR(__xludf.DUMMYFUNCTION("""COMPUTED_VALUE"""),"Vilano County ramp")</f>
        <v>Vilano County ramp</v>
      </c>
      <c r="F109" s="13">
        <f>IFERROR(__xludf.DUMMYFUNCTION("""COMPUTED_VALUE"""),0.3541666666678793)</f>
        <v>0.3541666667</v>
      </c>
      <c r="G109" s="14">
        <f>IFERROR(__xludf.DUMMYFUNCTION("""COMPUTED_VALUE"""),43305.0)</f>
        <v>43305</v>
      </c>
      <c r="H109" t="str">
        <f>IFERROR(__xludf.DUMMYFUNCTION("""COMPUTED_VALUE"""),"ICW SWMP sites")</f>
        <v>ICW SWMP sites</v>
      </c>
      <c r="I109" s="15">
        <f>IFERROR(__xludf.DUMMYFUNCTION("""COMPUTED_VALUE"""),0.5833333333321207)</f>
        <v>0.5833333333</v>
      </c>
      <c r="J109" s="16">
        <f>IFERROR(__xludf.DUMMYFUNCTION("""COMPUTED_VALUE"""),43305.60416666667)</f>
        <v>43305.60417</v>
      </c>
      <c r="K109" t="str">
        <f>IFERROR(__xludf.DUMMYFUNCTION("""COMPUTED_VALUE"""),"23ft Skiff (Bertha) FL7972LJ DEP07613")</f>
        <v>23ft Skiff (Bertha) FL7972LJ DEP07613</v>
      </c>
      <c r="M109" t="str">
        <f>IFERROR(__xludf.DUMMYFUNCTION("""COMPUTED_VALUE"""),"Ford F250 2017 (Moby Dix) - DEP0021578")</f>
        <v>Ford F250 2017 (Moby Dix) - DEP0021578</v>
      </c>
      <c r="N109" t="str">
        <f>IFERROR(__xludf.DUMMYFUNCTION("""COMPUTED_VALUE"""),"Silas Tanner, (904) 483-8423, Jimmy Tomazinis, (904) 547-0094, Remo Mondazi")</f>
        <v>Silas Tanner, (904) 483-8423, Jimmy Tomazinis, (904) 547-0094, Remo Mondazi</v>
      </c>
      <c r="O109" t="str">
        <f>IFERROR(__xludf.DUMMYFUNCTION("""COMPUTED_VALUE"""),"Jessica Lee, Suzi Porterfield")</f>
        <v>Jessica Lee, Suzi Porterfield</v>
      </c>
      <c r="P109" t="str">
        <f>IFERROR(__xludf.DUMMYFUNCTION("""COMPUTED_VALUE"""),"Silas Tanner")</f>
        <v>Silas Tanner</v>
      </c>
      <c r="Q109" t="str">
        <f>IFERROR(__xludf.DUMMYFUNCTION("""COMPUTED_VALUE"""),"Good")</f>
        <v>Good</v>
      </c>
      <c r="R109" t="str">
        <f>IFERROR(__xludf.DUMMYFUNCTION("""COMPUTED_VALUE"""),"Good")</f>
        <v>Good</v>
      </c>
      <c r="S109" t="str">
        <f>IFERROR(__xludf.DUMMYFUNCTION("""COMPUTED_VALUE"""),"Good")</f>
        <v>Good</v>
      </c>
      <c r="T109" t="str">
        <f>IFERROR(__xludf.DUMMYFUNCTION("""COMPUTED_VALUE"""),"Good")</f>
        <v>Good</v>
      </c>
      <c r="U109" t="str">
        <f>IFERROR(__xludf.DUMMYFUNCTION("""COMPUTED_VALUE"""),"Good")</f>
        <v>Good</v>
      </c>
      <c r="V109" t="str">
        <f>IFERROR(__xludf.DUMMYFUNCTION("""COMPUTED_VALUE"""),"Good")</f>
        <v>Good</v>
      </c>
      <c r="W109" t="str">
        <f>IFERROR(__xludf.DUMMYFUNCTION("""COMPUTED_VALUE"""),"Good")</f>
        <v>Good</v>
      </c>
      <c r="X109" t="str">
        <f>IFERROR(__xludf.DUMMYFUNCTION("""COMPUTED_VALUE"""),"Good")</f>
        <v>Good</v>
      </c>
      <c r="Y109" t="str">
        <f>IFERROR(__xludf.DUMMYFUNCTION("""COMPUTED_VALUE"""),"Good")</f>
        <v>Good</v>
      </c>
      <c r="Z109" t="str">
        <f>IFERROR(__xludf.DUMMYFUNCTION("""COMPUTED_VALUE"""),"Good")</f>
        <v>Good</v>
      </c>
      <c r="AA109" t="str">
        <f>IFERROR(__xludf.DUMMYFUNCTION("""COMPUTED_VALUE"""),"Good")</f>
        <v>Good</v>
      </c>
      <c r="AB109" t="str">
        <f>IFERROR(__xludf.DUMMYFUNCTION("""COMPUTED_VALUE"""),"Good")</f>
        <v>Good</v>
      </c>
      <c r="AC109" t="str">
        <f>IFERROR(__xludf.DUMMYFUNCTION("""COMPUTED_VALUE"""),"Good")</f>
        <v>Good</v>
      </c>
      <c r="AE109" s="11"/>
      <c r="AF109" t="s">
        <v>269</v>
      </c>
      <c r="AG109" s="17" t="s">
        <v>18</v>
      </c>
      <c r="AH109" s="23">
        <v>0.55</v>
      </c>
      <c r="AI109" s="12" t="s">
        <v>270</v>
      </c>
      <c r="AJ109" s="19" t="s">
        <v>271</v>
      </c>
      <c r="AK109" s="20" t="str">
        <f>HYPERLINK("https://docs.google.com/document/d/1hYRN2pBVHw4Yusqyy9lepzKzhEppwr8z0-qaMhE2DYQ/edit?usp=drivesdk","Silas Tanner - 7/24/2018 8:30 AM")</f>
        <v>Silas Tanner - 7/24/2018 8:30 AM</v>
      </c>
      <c r="AL109" s="12" t="s">
        <v>272</v>
      </c>
    </row>
    <row r="110">
      <c r="A110" s="10">
        <f>IFERROR(__xludf.DUMMYFUNCTION("""COMPUTED_VALUE"""),43306.43940065972)</f>
        <v>43306.4394</v>
      </c>
      <c r="B110" s="11" t="str">
        <f>IFERROR(__xludf.DUMMYFUNCTION("""COMPUTED_VALUE"""),"Pamela Marcum")</f>
        <v>Pamela Marcum</v>
      </c>
      <c r="C110" t="str">
        <f>IFERROR(__xludf.DUMMYFUNCTION("""COMPUTED_VALUE"""),"Pamela.Marcum@dep.state.fl.us")</f>
        <v>Pamela.Marcum@dep.state.fl.us</v>
      </c>
      <c r="D110" t="str">
        <f>IFERROR(__xludf.DUMMYFUNCTION("""COMPUTED_VALUE"""),"Research/Nikki")</f>
        <v>Research/Nikki</v>
      </c>
      <c r="E110" t="str">
        <f>IFERROR(__xludf.DUMMYFUNCTION("""COMPUTED_VALUE"""),"Palm Valley")</f>
        <v>Palm Valley</v>
      </c>
      <c r="F110" s="13">
        <f>IFERROR(__xludf.DUMMYFUNCTION("""COMPUTED_VALUE"""),0.4583333333321207)</f>
        <v>0.4583333333</v>
      </c>
      <c r="G110" s="14">
        <f>IFERROR(__xludf.DUMMYFUNCTION("""COMPUTED_VALUE"""),43306.0)</f>
        <v>43306</v>
      </c>
      <c r="H110" t="str">
        <f>IFERROR(__xludf.DUMMYFUNCTION("""COMPUTED_VALUE"""),"Pine Island Marsh Site")</f>
        <v>Pine Island Marsh Site</v>
      </c>
      <c r="I110" s="15">
        <f>IFERROR(__xludf.DUMMYFUNCTION("""COMPUTED_VALUE"""),0.5416666666678793)</f>
        <v>0.5416666667</v>
      </c>
      <c r="J110" s="16">
        <f>IFERROR(__xludf.DUMMYFUNCTION("""COMPUTED_VALUE"""),43306.5625)</f>
        <v>43306.5625</v>
      </c>
      <c r="K110" t="str">
        <f>IFERROR(__xludf.DUMMYFUNCTION("""COMPUTED_VALUE"""),"20ft Sea Ark FL5351SJ UNF 2015")</f>
        <v>20ft Sea Ark FL5351SJ UNF 2015</v>
      </c>
      <c r="M110" t="str">
        <f>IFERROR(__xludf.DUMMYFUNCTION("""COMPUTED_VALUE"""),"Ford F150 2015 (White) - DEP21448")</f>
        <v>Ford F150 2015 (White) - DEP21448</v>
      </c>
      <c r="N110" t="str">
        <f>IFERROR(__xludf.DUMMYFUNCTION("""COMPUTED_VALUE"""),"Pam Marcum, (480) 332-5414, Ben Mowbray, (407) 962-8782")</f>
        <v>Pam Marcum, (480) 332-5414, Ben Mowbray, (407) 962-8782</v>
      </c>
      <c r="P110" t="str">
        <f>IFERROR(__xludf.DUMMYFUNCTION("""COMPUTED_VALUE"""),"Pamela Marcum")</f>
        <v>Pamela Marcum</v>
      </c>
      <c r="Q110" t="str">
        <f>IFERROR(__xludf.DUMMYFUNCTION("""COMPUTED_VALUE"""),"Good")</f>
        <v>Good</v>
      </c>
      <c r="R110" t="str">
        <f>IFERROR(__xludf.DUMMYFUNCTION("""COMPUTED_VALUE"""),"Good")</f>
        <v>Good</v>
      </c>
      <c r="S110" t="str">
        <f>IFERROR(__xludf.DUMMYFUNCTION("""COMPUTED_VALUE"""),"Good")</f>
        <v>Good</v>
      </c>
      <c r="T110" t="str">
        <f>IFERROR(__xludf.DUMMYFUNCTION("""COMPUTED_VALUE"""),"Good")</f>
        <v>Good</v>
      </c>
      <c r="U110" t="str">
        <f>IFERROR(__xludf.DUMMYFUNCTION("""COMPUTED_VALUE"""),"Good")</f>
        <v>Good</v>
      </c>
      <c r="V110" t="str">
        <f>IFERROR(__xludf.DUMMYFUNCTION("""COMPUTED_VALUE"""),"Good")</f>
        <v>Good</v>
      </c>
      <c r="W110" t="str">
        <f>IFERROR(__xludf.DUMMYFUNCTION("""COMPUTED_VALUE"""),"Good")</f>
        <v>Good</v>
      </c>
      <c r="X110" t="str">
        <f>IFERROR(__xludf.DUMMYFUNCTION("""COMPUTED_VALUE"""),"Good")</f>
        <v>Good</v>
      </c>
      <c r="Y110" t="str">
        <f>IFERROR(__xludf.DUMMYFUNCTION("""COMPUTED_VALUE"""),"Good")</f>
        <v>Good</v>
      </c>
      <c r="Z110" t="str">
        <f>IFERROR(__xludf.DUMMYFUNCTION("""COMPUTED_VALUE"""),"Good")</f>
        <v>Good</v>
      </c>
      <c r="AA110" t="str">
        <f>IFERROR(__xludf.DUMMYFUNCTION("""COMPUTED_VALUE"""),"Good")</f>
        <v>Good</v>
      </c>
      <c r="AB110" t="str">
        <f>IFERROR(__xludf.DUMMYFUNCTION("""COMPUTED_VALUE"""),"Good")</f>
        <v>Good</v>
      </c>
      <c r="AC110" t="str">
        <f>IFERROR(__xludf.DUMMYFUNCTION("""COMPUTED_VALUE"""),"Good")</f>
        <v>Good</v>
      </c>
      <c r="AE110" s="11"/>
      <c r="AF110" t="s">
        <v>218</v>
      </c>
      <c r="AG110" s="17" t="s">
        <v>18</v>
      </c>
      <c r="AH110" s="23">
        <v>0.5423611111111111</v>
      </c>
      <c r="AI110" s="12" t="s">
        <v>273</v>
      </c>
      <c r="AJ110" s="19" t="s">
        <v>274</v>
      </c>
      <c r="AK110" s="20" t="str">
        <f>HYPERLINK("https://docs.google.com/document/d/1Yf58Vo3igrV_L3FTGJfaglDeuNiDkG2mScsf6Af2oGg/edit?usp=drivesdk","Pamela Marcum - 7/25/2018 11:00 AM")</f>
        <v>Pamela Marcum - 7/25/2018 11:00 AM</v>
      </c>
      <c r="AL110" s="12" t="s">
        <v>275</v>
      </c>
    </row>
    <row r="111">
      <c r="A111" s="10">
        <f>IFERROR(__xludf.DUMMYFUNCTION("""COMPUTED_VALUE"""),43306.58174553241)</f>
        <v>43306.58175</v>
      </c>
      <c r="B111" s="11" t="str">
        <f>IFERROR(__xludf.DUMMYFUNCTION("""COMPUTED_VALUE"""),"Silas Tanner")</f>
        <v>Silas Tanner</v>
      </c>
      <c r="C111" t="str">
        <f>IFERROR(__xludf.DUMMYFUNCTION("""COMPUTED_VALUE"""),"silas.tanner@floridadep.gov")</f>
        <v>silas.tanner@floridadep.gov</v>
      </c>
      <c r="D111" t="str">
        <f>IFERROR(__xludf.DUMMYFUNCTION("""COMPUTED_VALUE"""),"Research/Shannon")</f>
        <v>Research/Shannon</v>
      </c>
      <c r="E111" t="str">
        <f>IFERROR(__xludf.DUMMYFUNCTION("""COMPUTED_VALUE"""),"Bing's")</f>
        <v>Bing's</v>
      </c>
      <c r="F111" s="13">
        <f>IFERROR(__xludf.DUMMYFUNCTION("""COMPUTED_VALUE"""),0.4791666666678793)</f>
        <v>0.4791666667</v>
      </c>
      <c r="G111" s="14">
        <f>IFERROR(__xludf.DUMMYFUNCTION("""COMPUTED_VALUE"""),43308.0)</f>
        <v>43308</v>
      </c>
      <c r="H111" t="str">
        <f>IFERROR(__xludf.DUMMYFUNCTION("""COMPUTED_VALUE"""),"ICW - Rattlesnake Island to Bing's")</f>
        <v>ICW - Rattlesnake Island to Bing's</v>
      </c>
      <c r="I111" s="15">
        <f>IFERROR(__xludf.DUMMYFUNCTION("""COMPUTED_VALUE"""),0.6458333333321207)</f>
        <v>0.6458333333</v>
      </c>
      <c r="J111" s="16">
        <f>IFERROR(__xludf.DUMMYFUNCTION("""COMPUTED_VALUE"""),43308.6875)</f>
        <v>43308.6875</v>
      </c>
      <c r="K111" t="str">
        <f>IFERROR(__xludf.DUMMYFUNCTION("""COMPUTED_VALUE"""),"23ft Skiff (Bertha) FL7972LJ DEP07613")</f>
        <v>23ft Skiff (Bertha) FL7972LJ DEP07613</v>
      </c>
      <c r="M111" t="str">
        <f>IFERROR(__xludf.DUMMYFUNCTION("""COMPUTED_VALUE"""),"Ford F250 2017 (Moby Dix) - DEP0021578")</f>
        <v>Ford F250 2017 (Moby Dix) - DEP0021578</v>
      </c>
      <c r="N111" t="str">
        <f>IFERROR(__xludf.DUMMYFUNCTION("""COMPUTED_VALUE"""),"Shannon Dunnigan, (803) 727-5734, Silas Tanner, (904) 483-8423")</f>
        <v>Shannon Dunnigan, (803) 727-5734, Silas Tanner, (904) 483-8423</v>
      </c>
      <c r="O111" t="str">
        <f>IFERROR(__xludf.DUMMYFUNCTION("""COMPUTED_VALUE"""),"Matt Brown, Megan Wright, Taryn Chaya, Savannah Fann")</f>
        <v>Matt Brown, Megan Wright, Taryn Chaya, Savannah Fann</v>
      </c>
      <c r="P111" t="str">
        <f>IFERROR(__xludf.DUMMYFUNCTION("""COMPUTED_VALUE"""),"Silas Tanner")</f>
        <v>Silas Tanner</v>
      </c>
      <c r="Q111" t="str">
        <f>IFERROR(__xludf.DUMMYFUNCTION("""COMPUTED_VALUE"""),"Good")</f>
        <v>Good</v>
      </c>
      <c r="R111" t="str">
        <f>IFERROR(__xludf.DUMMYFUNCTION("""COMPUTED_VALUE"""),"Good")</f>
        <v>Good</v>
      </c>
      <c r="S111" t="str">
        <f>IFERROR(__xludf.DUMMYFUNCTION("""COMPUTED_VALUE"""),"Good")</f>
        <v>Good</v>
      </c>
      <c r="T111" t="str">
        <f>IFERROR(__xludf.DUMMYFUNCTION("""COMPUTED_VALUE"""),"Good")</f>
        <v>Good</v>
      </c>
      <c r="U111" t="str">
        <f>IFERROR(__xludf.DUMMYFUNCTION("""COMPUTED_VALUE"""),"Good")</f>
        <v>Good</v>
      </c>
      <c r="V111" t="str">
        <f>IFERROR(__xludf.DUMMYFUNCTION("""COMPUTED_VALUE"""),"Good")</f>
        <v>Good</v>
      </c>
      <c r="W111" t="str">
        <f>IFERROR(__xludf.DUMMYFUNCTION("""COMPUTED_VALUE"""),"Good")</f>
        <v>Good</v>
      </c>
      <c r="X111" t="str">
        <f>IFERROR(__xludf.DUMMYFUNCTION("""COMPUTED_VALUE"""),"Good")</f>
        <v>Good</v>
      </c>
      <c r="Y111" t="str">
        <f>IFERROR(__xludf.DUMMYFUNCTION("""COMPUTED_VALUE"""),"Good")</f>
        <v>Good</v>
      </c>
      <c r="Z111" t="str">
        <f>IFERROR(__xludf.DUMMYFUNCTION("""COMPUTED_VALUE"""),"Good")</f>
        <v>Good</v>
      </c>
      <c r="AA111" t="str">
        <f>IFERROR(__xludf.DUMMYFUNCTION("""COMPUTED_VALUE"""),"Good")</f>
        <v>Good</v>
      </c>
      <c r="AB111" t="str">
        <f>IFERROR(__xludf.DUMMYFUNCTION("""COMPUTED_VALUE"""),"Good")</f>
        <v>Good</v>
      </c>
      <c r="AC111" t="str">
        <f>IFERROR(__xludf.DUMMYFUNCTION("""COMPUTED_VALUE"""),"Good")</f>
        <v>Good</v>
      </c>
      <c r="AE111" s="11"/>
      <c r="AF111" t="s">
        <v>269</v>
      </c>
      <c r="AG111" s="17" t="s">
        <v>18</v>
      </c>
      <c r="AH111" s="23">
        <v>0.5916666666666667</v>
      </c>
      <c r="AI111" s="12" t="s">
        <v>276</v>
      </c>
      <c r="AJ111" s="19" t="s">
        <v>277</v>
      </c>
      <c r="AK111" s="20" t="str">
        <f>HYPERLINK("https://docs.google.com/document/d/1BaYGUmqVMqP7K6yogEN7JA9Puier9G8taRo2F6LjQ64/edit?usp=drivesdk","Silas Tanner - 7/27/2018 11:30 AM")</f>
        <v>Silas Tanner - 7/27/2018 11:30 AM</v>
      </c>
      <c r="AL111" s="12" t="s">
        <v>278</v>
      </c>
    </row>
    <row r="112">
      <c r="A112" s="10">
        <f>IFERROR(__xludf.DUMMYFUNCTION("""COMPUTED_VALUE"""),43307.376990648154)</f>
        <v>43307.37699</v>
      </c>
      <c r="B112" s="11" t="str">
        <f>IFERROR(__xludf.DUMMYFUNCTION("""COMPUTED_VALUE"""),"Pamela Marcum")</f>
        <v>Pamela Marcum</v>
      </c>
      <c r="C112" t="str">
        <f>IFERROR(__xludf.DUMMYFUNCTION("""COMPUTED_VALUE"""),"Pamela.Marcum@dep.state.fl.us")</f>
        <v>Pamela.Marcum@dep.state.fl.us</v>
      </c>
      <c r="D112" t="str">
        <f>IFERROR(__xludf.DUMMYFUNCTION("""COMPUTED_VALUE"""),"Research/Nikki")</f>
        <v>Research/Nikki</v>
      </c>
      <c r="E112" t="str">
        <f>IFERROR(__xludf.DUMMYFUNCTION("""COMPUTED_VALUE"""),"Aunt Kate's")</f>
        <v>Aunt Kate's</v>
      </c>
      <c r="F112" s="13">
        <f>IFERROR(__xludf.DUMMYFUNCTION("""COMPUTED_VALUE"""),0.3958333333321207)</f>
        <v>0.3958333333</v>
      </c>
      <c r="G112" s="14">
        <f>IFERROR(__xludf.DUMMYFUNCTION("""COMPUTED_VALUE"""),43307.0)</f>
        <v>43307</v>
      </c>
      <c r="H112" t="str">
        <f>IFERROR(__xludf.DUMMYFUNCTION("""COMPUTED_VALUE"""),"Hat Island marsh site")</f>
        <v>Hat Island marsh site</v>
      </c>
      <c r="I112" s="15">
        <f>IFERROR(__xludf.DUMMYFUNCTION("""COMPUTED_VALUE"""),0.5)</f>
        <v>0.5</v>
      </c>
      <c r="J112" s="16">
        <f>IFERROR(__xludf.DUMMYFUNCTION("""COMPUTED_VALUE"""),43307.52083333333)</f>
        <v>43307.52083</v>
      </c>
      <c r="K112" t="str">
        <f>IFERROR(__xludf.DUMMYFUNCTION("""COMPUTED_VALUE"""),"20ft Sea Ark FL5351SJ UNF 2015")</f>
        <v>20ft Sea Ark FL5351SJ UNF 2015</v>
      </c>
      <c r="M112" t="str">
        <f>IFERROR(__xludf.DUMMYFUNCTION("""COMPUTED_VALUE"""),"Ford F150 2015 (White) - DEP21448")</f>
        <v>Ford F150 2015 (White) - DEP21448</v>
      </c>
      <c r="N112" t="str">
        <f>IFERROR(__xludf.DUMMYFUNCTION("""COMPUTED_VALUE"""),"Pam Marcum, (480) 332-5414")</f>
        <v>Pam Marcum, (480) 332-5414</v>
      </c>
      <c r="O112" t="str">
        <f>IFERROR(__xludf.DUMMYFUNCTION("""COMPUTED_VALUE"""),"Sam Shaw")</f>
        <v>Sam Shaw</v>
      </c>
      <c r="P112" t="str">
        <f>IFERROR(__xludf.DUMMYFUNCTION("""COMPUTED_VALUE"""),"Pamela Marcum")</f>
        <v>Pamela Marcum</v>
      </c>
      <c r="Q112" t="str">
        <f>IFERROR(__xludf.DUMMYFUNCTION("""COMPUTED_VALUE"""),"Good")</f>
        <v>Good</v>
      </c>
      <c r="R112" t="str">
        <f>IFERROR(__xludf.DUMMYFUNCTION("""COMPUTED_VALUE"""),"Good")</f>
        <v>Good</v>
      </c>
      <c r="S112" t="str">
        <f>IFERROR(__xludf.DUMMYFUNCTION("""COMPUTED_VALUE"""),"Good")</f>
        <v>Good</v>
      </c>
      <c r="T112" t="str">
        <f>IFERROR(__xludf.DUMMYFUNCTION("""COMPUTED_VALUE"""),"Good")</f>
        <v>Good</v>
      </c>
      <c r="U112" t="str">
        <f>IFERROR(__xludf.DUMMYFUNCTION("""COMPUTED_VALUE"""),"Good")</f>
        <v>Good</v>
      </c>
      <c r="V112" t="str">
        <f>IFERROR(__xludf.DUMMYFUNCTION("""COMPUTED_VALUE"""),"Good")</f>
        <v>Good</v>
      </c>
      <c r="W112" t="str">
        <f>IFERROR(__xludf.DUMMYFUNCTION("""COMPUTED_VALUE"""),"Good")</f>
        <v>Good</v>
      </c>
      <c r="X112" t="str">
        <f>IFERROR(__xludf.DUMMYFUNCTION("""COMPUTED_VALUE"""),"Good")</f>
        <v>Good</v>
      </c>
      <c r="Y112" t="str">
        <f>IFERROR(__xludf.DUMMYFUNCTION("""COMPUTED_VALUE"""),"Good")</f>
        <v>Good</v>
      </c>
      <c r="Z112" t="str">
        <f>IFERROR(__xludf.DUMMYFUNCTION("""COMPUTED_VALUE"""),"Good")</f>
        <v>Good</v>
      </c>
      <c r="AA112" t="str">
        <f>IFERROR(__xludf.DUMMYFUNCTION("""COMPUTED_VALUE"""),"Good")</f>
        <v>Good</v>
      </c>
      <c r="AB112" t="str">
        <f>IFERROR(__xludf.DUMMYFUNCTION("""COMPUTED_VALUE"""),"Good")</f>
        <v>Good</v>
      </c>
      <c r="AC112" t="str">
        <f>IFERROR(__xludf.DUMMYFUNCTION("""COMPUTED_VALUE"""),"Good")</f>
        <v>Good</v>
      </c>
      <c r="AE112" s="11"/>
      <c r="AF112" t="s">
        <v>218</v>
      </c>
      <c r="AG112" s="17" t="s">
        <v>18</v>
      </c>
      <c r="AH112" s="23">
        <v>0.45</v>
      </c>
      <c r="AI112" s="12" t="s">
        <v>279</v>
      </c>
      <c r="AJ112" s="19" t="s">
        <v>280</v>
      </c>
      <c r="AK112" s="20" t="str">
        <f>HYPERLINK("https://docs.google.com/document/d/1tlC1SwEUPLpFXpij-oCM2rMilZlFExtd_0xZd7qUeZM/edit?usp=drivesdk","Pamela Marcum - 7/26/2018 9:30 AM")</f>
        <v>Pamela Marcum - 7/26/2018 9:30 AM</v>
      </c>
      <c r="AL112" s="12" t="s">
        <v>281</v>
      </c>
    </row>
    <row r="113">
      <c r="A113" s="10">
        <f>IFERROR(__xludf.DUMMYFUNCTION("""COMPUTED_VALUE"""),43307.49824854166)</f>
        <v>43307.49825</v>
      </c>
      <c r="B113" s="11" t="str">
        <f>IFERROR(__xludf.DUMMYFUNCTION("""COMPUTED_VALUE"""),"Pamela Marcum")</f>
        <v>Pamela Marcum</v>
      </c>
      <c r="C113" t="str">
        <f>IFERROR(__xludf.DUMMYFUNCTION("""COMPUTED_VALUE"""),"Pamela.Marcum@Dep.state.fl.us")</f>
        <v>Pamela.Marcum@Dep.state.fl.us</v>
      </c>
      <c r="D113" t="str">
        <f>IFERROR(__xludf.DUMMYFUNCTION("""COMPUTED_VALUE"""),"Research/Nikki")</f>
        <v>Research/Nikki</v>
      </c>
      <c r="E113" t="str">
        <f>IFERROR(__xludf.DUMMYFUNCTION("""COMPUTED_VALUE"""),"Shore Drive")</f>
        <v>Shore Drive</v>
      </c>
      <c r="F113" s="13">
        <f>IFERROR(__xludf.DUMMYFUNCTION("""COMPUTED_VALUE"""),0.5416666666678793)</f>
        <v>0.5416666667</v>
      </c>
      <c r="G113" s="14">
        <f>IFERROR(__xludf.DUMMYFUNCTION("""COMPUTED_VALUE"""),43306.0)</f>
        <v>43306</v>
      </c>
      <c r="H113" t="str">
        <f>IFERROR(__xludf.DUMMYFUNCTION("""COMPUTED_VALUE"""),"Marsh Site 22/Jason's Creek")</f>
        <v>Marsh Site 22/Jason's Creek</v>
      </c>
      <c r="I113" s="15">
        <f>IFERROR(__xludf.DUMMYFUNCTION("""COMPUTED_VALUE"""),0.625)</f>
        <v>0.625</v>
      </c>
      <c r="J113" s="16">
        <f>IFERROR(__xludf.DUMMYFUNCTION("""COMPUTED_VALUE"""),43306.75)</f>
        <v>43306.75</v>
      </c>
      <c r="K113" t="str">
        <f>IFERROR(__xludf.DUMMYFUNCTION("""COMPUTED_VALUE"""),"20ft Sea Ark FL5351SJ UNF 2015")</f>
        <v>20ft Sea Ark FL5351SJ UNF 2015</v>
      </c>
      <c r="M113" t="str">
        <f>IFERROR(__xludf.DUMMYFUNCTION("""COMPUTED_VALUE"""),"Ford F150 2015 (White) - DEP21448")</f>
        <v>Ford F150 2015 (White) - DEP21448</v>
      </c>
      <c r="N113" t="str">
        <f>IFERROR(__xludf.DUMMYFUNCTION("""COMPUTED_VALUE"""),"Pam Marcum, (480) 332-5414, Ben Mowbray, (407) 962-8782")</f>
        <v>Pam Marcum, (480) 332-5414, Ben Mowbray, (407) 962-8782</v>
      </c>
      <c r="P113" t="str">
        <f>IFERROR(__xludf.DUMMYFUNCTION("""COMPUTED_VALUE"""),"Pamela Marcum")</f>
        <v>Pamela Marcum</v>
      </c>
      <c r="Q113" t="str">
        <f>IFERROR(__xludf.DUMMYFUNCTION("""COMPUTED_VALUE"""),"Good")</f>
        <v>Good</v>
      </c>
      <c r="R113" t="str">
        <f>IFERROR(__xludf.DUMMYFUNCTION("""COMPUTED_VALUE"""),"Good")</f>
        <v>Good</v>
      </c>
      <c r="S113" t="str">
        <f>IFERROR(__xludf.DUMMYFUNCTION("""COMPUTED_VALUE"""),"Good")</f>
        <v>Good</v>
      </c>
      <c r="T113" t="str">
        <f>IFERROR(__xludf.DUMMYFUNCTION("""COMPUTED_VALUE"""),"Good")</f>
        <v>Good</v>
      </c>
      <c r="U113" t="str">
        <f>IFERROR(__xludf.DUMMYFUNCTION("""COMPUTED_VALUE"""),"Good")</f>
        <v>Good</v>
      </c>
      <c r="V113" t="str">
        <f>IFERROR(__xludf.DUMMYFUNCTION("""COMPUTED_VALUE"""),"Good")</f>
        <v>Good</v>
      </c>
      <c r="W113" t="str">
        <f>IFERROR(__xludf.DUMMYFUNCTION("""COMPUTED_VALUE"""),"Good")</f>
        <v>Good</v>
      </c>
      <c r="X113" t="str">
        <f>IFERROR(__xludf.DUMMYFUNCTION("""COMPUTED_VALUE"""),"Good")</f>
        <v>Good</v>
      </c>
      <c r="Y113" t="str">
        <f>IFERROR(__xludf.DUMMYFUNCTION("""COMPUTED_VALUE"""),"Good")</f>
        <v>Good</v>
      </c>
      <c r="Z113" t="str">
        <f>IFERROR(__xludf.DUMMYFUNCTION("""COMPUTED_VALUE"""),"Good")</f>
        <v>Good</v>
      </c>
      <c r="AA113" t="str">
        <f>IFERROR(__xludf.DUMMYFUNCTION("""COMPUTED_VALUE"""),"Good")</f>
        <v>Good</v>
      </c>
      <c r="AB113" t="str">
        <f>IFERROR(__xludf.DUMMYFUNCTION("""COMPUTED_VALUE"""),"Good")</f>
        <v>Good</v>
      </c>
      <c r="AC113" t="str">
        <f>IFERROR(__xludf.DUMMYFUNCTION("""COMPUTED_VALUE"""),"Good")</f>
        <v>Good</v>
      </c>
      <c r="AE113" s="11"/>
      <c r="AF113" t="s">
        <v>218</v>
      </c>
      <c r="AG113" s="17" t="s">
        <v>56</v>
      </c>
      <c r="AH113" s="12" t="s">
        <v>282</v>
      </c>
      <c r="AI113" s="12" t="s">
        <v>283</v>
      </c>
      <c r="AJ113" s="19" t="s">
        <v>284</v>
      </c>
      <c r="AK113" s="20" t="str">
        <f>HYPERLINK("https://docs.google.com/document/d/1cg_61x0Prb1H5bL7SShihaJ8nyb-k-Re1xSmZMw8yHQ/edit?usp=drivesdk","Pamela Marcum - 7/25/2018 1:00 PM")</f>
        <v>Pamela Marcum - 7/25/2018 1:00 PM</v>
      </c>
      <c r="AL113" s="12" t="s">
        <v>285</v>
      </c>
    </row>
    <row r="114">
      <c r="A114" s="10">
        <f>IFERROR(__xludf.DUMMYFUNCTION("""COMPUTED_VALUE"""),43312.30120947917)</f>
        <v>43312.30121</v>
      </c>
      <c r="B114" s="11" t="str">
        <f>IFERROR(__xludf.DUMMYFUNCTION("""COMPUTED_VALUE"""),"Pamela Marcum")</f>
        <v>Pamela Marcum</v>
      </c>
      <c r="C114" t="str">
        <f>IFERROR(__xludf.DUMMYFUNCTION("""COMPUTED_VALUE"""),"pamela.marcum@dep.state.fl.us")</f>
        <v>pamela.marcum@dep.state.fl.us</v>
      </c>
      <c r="D114" t="str">
        <f>IFERROR(__xludf.DUMMYFUNCTION("""COMPUTED_VALUE"""),"Research/Nikki")</f>
        <v>Research/Nikki</v>
      </c>
      <c r="E114" t="str">
        <f>IFERROR(__xludf.DUMMYFUNCTION("""COMPUTED_VALUE"""),"Shore Drive")</f>
        <v>Shore Drive</v>
      </c>
      <c r="F114" s="13">
        <f>IFERROR(__xludf.DUMMYFUNCTION("""COMPUTED_VALUE"""),0.3020833333321207)</f>
        <v>0.3020833333</v>
      </c>
      <c r="G114" s="14">
        <f>IFERROR(__xludf.DUMMYFUNCTION("""COMPUTED_VALUE"""),43312.0)</f>
        <v>43312</v>
      </c>
      <c r="H114" t="str">
        <f>IFERROR(__xludf.DUMMYFUNCTION("""COMPUTED_VALUE"""),"Gabbys Creek")</f>
        <v>Gabbys Creek</v>
      </c>
      <c r="I114" s="15">
        <f>IFERROR(__xludf.DUMMYFUNCTION("""COMPUTED_VALUE"""),0.625)</f>
        <v>0.625</v>
      </c>
      <c r="J114" s="16">
        <f>IFERROR(__xludf.DUMMYFUNCTION("""COMPUTED_VALUE"""),43312.66666666667)</f>
        <v>43312.66667</v>
      </c>
      <c r="K114" t="str">
        <f>IFERROR(__xludf.DUMMYFUNCTION("""COMPUTED_VALUE"""),"20ft Sea Ark FL5351SJ UNF 2015")</f>
        <v>20ft Sea Ark FL5351SJ UNF 2015</v>
      </c>
      <c r="M114" t="str">
        <f>IFERROR(__xludf.DUMMYFUNCTION("""COMPUTED_VALUE"""),"Ford F250 2017 (Moby Dix) - DEP0021578")</f>
        <v>Ford F250 2017 (Moby Dix) - DEP0021578</v>
      </c>
      <c r="N114" t="str">
        <f>IFERROR(__xludf.DUMMYFUNCTION("""COMPUTED_VALUE"""),"Pam Marcum, (480) 332-5414, Ben Mowbray, (407) 962-8782")</f>
        <v>Pam Marcum, (480) 332-5414, Ben Mowbray, (407) 962-8782</v>
      </c>
      <c r="O114" t="str">
        <f>IFERROR(__xludf.DUMMYFUNCTION("""COMPUTED_VALUE"""),"Mark Hester, harris stephens, ches vervaeke")</f>
        <v>Mark Hester, harris stephens, ches vervaeke</v>
      </c>
      <c r="P114" t="str">
        <f>IFERROR(__xludf.DUMMYFUNCTION("""COMPUTED_VALUE"""),"Pamela Marcum")</f>
        <v>Pamela Marcum</v>
      </c>
      <c r="Q114" t="str">
        <f>IFERROR(__xludf.DUMMYFUNCTION("""COMPUTED_VALUE"""),"Good")</f>
        <v>Good</v>
      </c>
      <c r="R114" t="str">
        <f>IFERROR(__xludf.DUMMYFUNCTION("""COMPUTED_VALUE"""),"Good")</f>
        <v>Good</v>
      </c>
      <c r="S114" t="str">
        <f>IFERROR(__xludf.DUMMYFUNCTION("""COMPUTED_VALUE"""),"Good")</f>
        <v>Good</v>
      </c>
      <c r="T114" t="str">
        <f>IFERROR(__xludf.DUMMYFUNCTION("""COMPUTED_VALUE"""),"Good")</f>
        <v>Good</v>
      </c>
      <c r="U114" t="str">
        <f>IFERROR(__xludf.DUMMYFUNCTION("""COMPUTED_VALUE"""),"Good")</f>
        <v>Good</v>
      </c>
      <c r="V114" t="str">
        <f>IFERROR(__xludf.DUMMYFUNCTION("""COMPUTED_VALUE"""),"Good")</f>
        <v>Good</v>
      </c>
      <c r="W114" t="str">
        <f>IFERROR(__xludf.DUMMYFUNCTION("""COMPUTED_VALUE"""),"Good")</f>
        <v>Good</v>
      </c>
      <c r="X114" t="str">
        <f>IFERROR(__xludf.DUMMYFUNCTION("""COMPUTED_VALUE"""),"Good")</f>
        <v>Good</v>
      </c>
      <c r="Y114" t="str">
        <f>IFERROR(__xludf.DUMMYFUNCTION("""COMPUTED_VALUE"""),"Good")</f>
        <v>Good</v>
      </c>
      <c r="Z114" t="str">
        <f>IFERROR(__xludf.DUMMYFUNCTION("""COMPUTED_VALUE"""),"Good")</f>
        <v>Good</v>
      </c>
      <c r="AA114" t="str">
        <f>IFERROR(__xludf.DUMMYFUNCTION("""COMPUTED_VALUE"""),"Good")</f>
        <v>Good</v>
      </c>
      <c r="AB114" t="str">
        <f>IFERROR(__xludf.DUMMYFUNCTION("""COMPUTED_VALUE"""),"Good")</f>
        <v>Good</v>
      </c>
      <c r="AC114" t="str">
        <f>IFERROR(__xludf.DUMMYFUNCTION("""COMPUTED_VALUE"""),"Good")</f>
        <v>Good</v>
      </c>
      <c r="AE114" s="11"/>
      <c r="AF114" t="s">
        <v>218</v>
      </c>
      <c r="AG114" s="17" t="s">
        <v>128</v>
      </c>
      <c r="AH114" s="23">
        <v>0.6145833333333334</v>
      </c>
      <c r="AI114" s="12" t="s">
        <v>286</v>
      </c>
      <c r="AJ114" s="19" t="s">
        <v>287</v>
      </c>
      <c r="AK114" s="20" t="str">
        <f>HYPERLINK("https://docs.google.com/document/d/1g6-SDWzTDxEaT_6esAFl7Ag0FmdmW2RSeVn4yz_-SWI/edit?usp=drivesdk","&lt;&lt;Your First and Last Name&gt;&gt; - 7/31/2018 7:15 AM")</f>
        <v>&lt;&lt;Your First and Last Name&gt;&gt; - 7/31/2018 7:15 AM</v>
      </c>
      <c r="AL114" s="12" t="s">
        <v>288</v>
      </c>
    </row>
    <row r="115">
      <c r="A115" s="10">
        <f>IFERROR(__xludf.DUMMYFUNCTION("""COMPUTED_VALUE"""),43312.537395520834)</f>
        <v>43312.5374</v>
      </c>
      <c r="B115" s="11" t="str">
        <f>IFERROR(__xludf.DUMMYFUNCTION("""COMPUTED_VALUE"""),"Kenneth Rainer")</f>
        <v>Kenneth Rainer</v>
      </c>
      <c r="C115" t="str">
        <f>IFERROR(__xludf.DUMMYFUNCTION("""COMPUTED_VALUE"""),"Kenneth.Rainer@floridadep.gov")</f>
        <v>Kenneth.Rainer@floridadep.gov</v>
      </c>
      <c r="D115" t="str">
        <f>IFERROR(__xludf.DUMMYFUNCTION("""COMPUTED_VALUE"""),"Education")</f>
        <v>Education</v>
      </c>
      <c r="E115" t="str">
        <f>IFERROR(__xludf.DUMMYFUNCTION("""COMPUTED_VALUE"""),"Usina Boat Ramp")</f>
        <v>Usina Boat Ramp</v>
      </c>
      <c r="F115" s="13">
        <f>IFERROR(__xludf.DUMMYFUNCTION("""COMPUTED_VALUE"""),0.3333333333321207)</f>
        <v>0.3333333333</v>
      </c>
      <c r="G115" s="14">
        <f>IFERROR(__xludf.DUMMYFUNCTION("""COMPUTED_VALUE"""),43313.0)</f>
        <v>43313</v>
      </c>
      <c r="H115" t="str">
        <f>IFERROR(__xludf.DUMMYFUNCTION("""COMPUTED_VALUE"""),"Northern Component")</f>
        <v>Northern Component</v>
      </c>
      <c r="I115" s="15">
        <f>IFERROR(__xludf.DUMMYFUNCTION("""COMPUTED_VALUE"""),0.5416666666678793)</f>
        <v>0.5416666667</v>
      </c>
      <c r="J115" s="16">
        <f>IFERROR(__xludf.DUMMYFUNCTION("""COMPUTED_VALUE"""),43313.66666666667)</f>
        <v>43313.66667</v>
      </c>
      <c r="K115" t="str">
        <f>IFERROR(__xludf.DUMMYFUNCTION("""COMPUTED_VALUE"""),"F 20ft Sea Ark (Easy 200) FL8534PY DEP21451, 23ft Skiff (Bertha) FL7972LJ DEP07613")</f>
        <v>F 20ft Sea Ark (Easy 200) FL8534PY DEP21451, 23ft Skiff (Bertha) FL7972LJ DEP07613</v>
      </c>
      <c r="M115" t="str">
        <f>IFERROR(__xludf.DUMMYFUNCTION("""COMPUTED_VALUE"""),"Ford F150 2015 (White) - DEP21448")</f>
        <v>Ford F150 2015 (White) - DEP21448</v>
      </c>
      <c r="N115" t="str">
        <f>IFERROR(__xludf.DUMMYFUNCTION("""COMPUTED_VALUE"""),"Kenneth Rainer, (936) 499-1853, Shannon Dunnigan, (803) 727-5734")</f>
        <v>Kenneth Rainer, (936) 499-1853, Shannon Dunnigan, (803) 727-5734</v>
      </c>
      <c r="O115" t="str">
        <f>IFERROR(__xludf.DUMMYFUNCTION("""COMPUTED_VALUE"""),"Gabriela Canas, (904) 891-9743, Emma Hanson, Josie Spearman, (386) 627-0816, Summer Camp Inters (5); TOTE Facilitators (3); NERR Employees (4)")</f>
        <v>Gabriela Canas, (904) 891-9743, Emma Hanson, Josie Spearman, (386) 627-0816, Summer Camp Inters (5); TOTE Facilitators (3); NERR Employees (4)</v>
      </c>
      <c r="P115" t="str">
        <f>IFERROR(__xludf.DUMMYFUNCTION("""COMPUTED_VALUE"""),"Kenneth Rainer; Shannon Dunnigan")</f>
        <v>Kenneth Rainer; Shannon Dunnigan</v>
      </c>
      <c r="Q115" t="str">
        <f>IFERROR(__xludf.DUMMYFUNCTION("""COMPUTED_VALUE"""),"Good")</f>
        <v>Good</v>
      </c>
      <c r="R115" t="str">
        <f>IFERROR(__xludf.DUMMYFUNCTION("""COMPUTED_VALUE"""),"Good")</f>
        <v>Good</v>
      </c>
      <c r="S115" t="str">
        <f>IFERROR(__xludf.DUMMYFUNCTION("""COMPUTED_VALUE"""),"Good")</f>
        <v>Good</v>
      </c>
      <c r="T115" t="str">
        <f>IFERROR(__xludf.DUMMYFUNCTION("""COMPUTED_VALUE"""),"Good")</f>
        <v>Good</v>
      </c>
      <c r="U115" t="str">
        <f>IFERROR(__xludf.DUMMYFUNCTION("""COMPUTED_VALUE"""),"Good")</f>
        <v>Good</v>
      </c>
      <c r="V115" t="str">
        <f>IFERROR(__xludf.DUMMYFUNCTION("""COMPUTED_VALUE"""),"Good")</f>
        <v>Good</v>
      </c>
      <c r="W115" t="str">
        <f>IFERROR(__xludf.DUMMYFUNCTION("""COMPUTED_VALUE"""),"Good")</f>
        <v>Good</v>
      </c>
      <c r="X115" t="str">
        <f>IFERROR(__xludf.DUMMYFUNCTION("""COMPUTED_VALUE"""),"Good")</f>
        <v>Good</v>
      </c>
      <c r="Y115" t="str">
        <f>IFERROR(__xludf.DUMMYFUNCTION("""COMPUTED_VALUE"""),"Good")</f>
        <v>Good</v>
      </c>
      <c r="Z115" t="str">
        <f>IFERROR(__xludf.DUMMYFUNCTION("""COMPUTED_VALUE"""),"Good")</f>
        <v>Good</v>
      </c>
      <c r="AA115" t="str">
        <f>IFERROR(__xludf.DUMMYFUNCTION("""COMPUTED_VALUE"""),"Good")</f>
        <v>Good</v>
      </c>
      <c r="AB115" t="str">
        <f>IFERROR(__xludf.DUMMYFUNCTION("""COMPUTED_VALUE"""),"Good")</f>
        <v>Good</v>
      </c>
      <c r="AC115" t="str">
        <f>IFERROR(__xludf.DUMMYFUNCTION("""COMPUTED_VALUE"""),"Good")</f>
        <v>Good</v>
      </c>
      <c r="AD115" t="str">
        <f>IFERROR(__xludf.DUMMYFUNCTION("""COMPUTED_VALUE"""),"Thunderstorms with locally heavy downpours. High 87F. Winds S at 10 to 15 mph. Chance of rain 90%. Rainfall possibly over one inch.")</f>
        <v>Thunderstorms with locally heavy downpours. High 87F. Winds S at 10 to 15 mph. Chance of rain 90%. Rainfall possibly over one inch.</v>
      </c>
      <c r="AE115" s="11" t="str">
        <f>IFERROR(__xludf.DUMMYFUNCTION("""COMPUTED_VALUE""")," 12:25 PM 4.03ft H")</f>
        <v> 12:25 PM 4.03ft H</v>
      </c>
      <c r="AF115" t="s">
        <v>9</v>
      </c>
      <c r="AG115" s="17" t="s">
        <v>18</v>
      </c>
      <c r="AH115" s="23">
        <v>0.5069444444444444</v>
      </c>
      <c r="AI115" s="12" t="s">
        <v>289</v>
      </c>
      <c r="AJ115" s="19" t="s">
        <v>290</v>
      </c>
      <c r="AK115" s="20" t="str">
        <f>HYPERLINK("https://docs.google.com/document/d/1DymsQ1HeGPgIcWUJTZNcP4_6Zo3y4_qnZSDka3MTvQk/edit?usp=drivesdk","Kenneth Rainer - 8/1/2018 8:00 AM")</f>
        <v>Kenneth Rainer - 8/1/2018 8:00 AM</v>
      </c>
      <c r="AL115" s="12" t="s">
        <v>291</v>
      </c>
    </row>
    <row r="116">
      <c r="A116" s="10">
        <f>IFERROR(__xludf.DUMMYFUNCTION("""COMPUTED_VALUE"""),43313.3998444213)</f>
        <v>43313.39984</v>
      </c>
      <c r="B116" s="11" t="str">
        <f>IFERROR(__xludf.DUMMYFUNCTION("""COMPUTED_VALUE"""),"Pamela Marcum")</f>
        <v>Pamela Marcum</v>
      </c>
      <c r="C116" t="str">
        <f>IFERROR(__xludf.DUMMYFUNCTION("""COMPUTED_VALUE"""),"Pamela.Marcum@dep.state.fl.us")</f>
        <v>Pamela.Marcum@dep.state.fl.us</v>
      </c>
      <c r="D116" t="str">
        <f>IFERROR(__xludf.DUMMYFUNCTION("""COMPUTED_VALUE"""),"Research/Nikki")</f>
        <v>Research/Nikki</v>
      </c>
      <c r="E116" t="str">
        <f>IFERROR(__xludf.DUMMYFUNCTION("""COMPUTED_VALUE"""),"Shore Drive")</f>
        <v>Shore Drive</v>
      </c>
      <c r="F116" s="13">
        <f>IFERROR(__xludf.DUMMYFUNCTION("""COMPUTED_VALUE"""),0.3020833333321207)</f>
        <v>0.3020833333</v>
      </c>
      <c r="G116" s="14">
        <f>IFERROR(__xludf.DUMMYFUNCTION("""COMPUTED_VALUE"""),43312.0)</f>
        <v>43312</v>
      </c>
      <c r="H116" t="str">
        <f>IFERROR(__xludf.DUMMYFUNCTION("""COMPUTED_VALUE"""),"Gabby's Creek")</f>
        <v>Gabby's Creek</v>
      </c>
      <c r="I116" s="15">
        <f>IFERROR(__xludf.DUMMYFUNCTION("""COMPUTED_VALUE"""),0.625)</f>
        <v>0.625</v>
      </c>
      <c r="J116" s="16">
        <f>IFERROR(__xludf.DUMMYFUNCTION("""COMPUTED_VALUE"""),43312.66666666667)</f>
        <v>43312.66667</v>
      </c>
      <c r="K116" t="str">
        <f>IFERROR(__xludf.DUMMYFUNCTION("""COMPUTED_VALUE"""),"20ft Sea Ark FL5351SJ UNF 2015")</f>
        <v>20ft Sea Ark FL5351SJ UNF 2015</v>
      </c>
      <c r="M116" t="str">
        <f>IFERROR(__xludf.DUMMYFUNCTION("""COMPUTED_VALUE"""),"Ford F250 2017 (Moby Dix) - DEP0021578")</f>
        <v>Ford F250 2017 (Moby Dix) - DEP0021578</v>
      </c>
      <c r="N116" t="str">
        <f>IFERROR(__xludf.DUMMYFUNCTION("""COMPUTED_VALUE"""),"Pam Marcum, (480) 332-5414, Ben Mowbray, (407) 962-8782")</f>
        <v>Pam Marcum, (480) 332-5414, Ben Mowbray, (407) 962-8782</v>
      </c>
      <c r="O116" t="str">
        <f>IFERROR(__xludf.DUMMYFUNCTION("""COMPUTED_VALUE"""),"Remo Mondazzi, Chuck, Emily, Matt Hayes, Ches Vervaeke, Mark Hester, Harris Stevens")</f>
        <v>Remo Mondazzi, Chuck, Emily, Matt Hayes, Ches Vervaeke, Mark Hester, Harris Stevens</v>
      </c>
      <c r="P116" t="str">
        <f>IFERROR(__xludf.DUMMYFUNCTION("""COMPUTED_VALUE"""),"Pamela Marcum")</f>
        <v>Pamela Marcum</v>
      </c>
      <c r="Q116" t="str">
        <f>IFERROR(__xludf.DUMMYFUNCTION("""COMPUTED_VALUE"""),"Good")</f>
        <v>Good</v>
      </c>
      <c r="R116" t="str">
        <f>IFERROR(__xludf.DUMMYFUNCTION("""COMPUTED_VALUE"""),"Good")</f>
        <v>Good</v>
      </c>
      <c r="S116" t="str">
        <f>IFERROR(__xludf.DUMMYFUNCTION("""COMPUTED_VALUE"""),"Good")</f>
        <v>Good</v>
      </c>
      <c r="T116" t="str">
        <f>IFERROR(__xludf.DUMMYFUNCTION("""COMPUTED_VALUE"""),"Good")</f>
        <v>Good</v>
      </c>
      <c r="U116" t="str">
        <f>IFERROR(__xludf.DUMMYFUNCTION("""COMPUTED_VALUE"""),"Good")</f>
        <v>Good</v>
      </c>
      <c r="V116" t="str">
        <f>IFERROR(__xludf.DUMMYFUNCTION("""COMPUTED_VALUE"""),"Good")</f>
        <v>Good</v>
      </c>
      <c r="W116" t="str">
        <f>IFERROR(__xludf.DUMMYFUNCTION("""COMPUTED_VALUE"""),"Good")</f>
        <v>Good</v>
      </c>
      <c r="X116" t="str">
        <f>IFERROR(__xludf.DUMMYFUNCTION("""COMPUTED_VALUE"""),"Good")</f>
        <v>Good</v>
      </c>
      <c r="Y116" t="str">
        <f>IFERROR(__xludf.DUMMYFUNCTION("""COMPUTED_VALUE"""),"Good")</f>
        <v>Good</v>
      </c>
      <c r="Z116" t="str">
        <f>IFERROR(__xludf.DUMMYFUNCTION("""COMPUTED_VALUE"""),"Good")</f>
        <v>Good</v>
      </c>
      <c r="AA116" t="str">
        <f>IFERROR(__xludf.DUMMYFUNCTION("""COMPUTED_VALUE"""),"Good")</f>
        <v>Good</v>
      </c>
      <c r="AB116" t="str">
        <f>IFERROR(__xludf.DUMMYFUNCTION("""COMPUTED_VALUE"""),"Good")</f>
        <v>Good</v>
      </c>
      <c r="AC116" t="str">
        <f>IFERROR(__xludf.DUMMYFUNCTION("""COMPUTED_VALUE"""),"Good")</f>
        <v>Good</v>
      </c>
      <c r="AE116" s="11"/>
      <c r="AF116" t="s">
        <v>218</v>
      </c>
      <c r="AG116" s="17" t="s">
        <v>60</v>
      </c>
      <c r="AH116" s="12">
        <v>1445.0</v>
      </c>
      <c r="AI116" s="12" t="s">
        <v>292</v>
      </c>
      <c r="AJ116" s="19" t="s">
        <v>293</v>
      </c>
      <c r="AK116" s="20" t="str">
        <f>HYPERLINK("https://docs.google.com/document/d/1M1nSKDRh8KbBXalT-n5-pUJ-LMgc4RpRlvCNRApVBRo/edit?usp=drivesdk","Pamela Marcum - 7/31/2018 7:15 AM")</f>
        <v>Pamela Marcum - 7/31/2018 7:15 AM</v>
      </c>
      <c r="AL116" s="12" t="s">
        <v>294</v>
      </c>
    </row>
    <row r="117">
      <c r="A117" s="10">
        <f>IFERROR(__xludf.DUMMYFUNCTION("""COMPUTED_VALUE"""),43314.22709332176)</f>
        <v>43314.22709</v>
      </c>
      <c r="B117" s="11" t="str">
        <f>IFERROR(__xludf.DUMMYFUNCTION("""COMPUTED_VALUE"""),"Ben Mowbray")</f>
        <v>Ben Mowbray</v>
      </c>
      <c r="C117" t="str">
        <f>IFERROR(__xludf.DUMMYFUNCTION("""COMPUTED_VALUE"""),"ben.mowbray@dep.state.fl.us")</f>
        <v>ben.mowbray@dep.state.fl.us</v>
      </c>
      <c r="D117" t="str">
        <f>IFERROR(__xludf.DUMMYFUNCTION("""COMPUTED_VALUE"""),"Research/Pam")</f>
        <v>Research/Pam</v>
      </c>
      <c r="E117" t="str">
        <f>IFERROR(__xludf.DUMMYFUNCTION("""COMPUTED_VALUE"""),"Aunt Kate's")</f>
        <v>Aunt Kate's</v>
      </c>
      <c r="F117" s="13">
        <f>IFERROR(__xludf.DUMMYFUNCTION("""COMPUTED_VALUE"""),0.23958333333212067)</f>
        <v>0.2395833333</v>
      </c>
      <c r="G117" s="14">
        <f>IFERROR(__xludf.DUMMYFUNCTION("""COMPUTED_VALUE"""),43314.0)</f>
        <v>43314</v>
      </c>
      <c r="H117" t="str">
        <f>IFERROR(__xludf.DUMMYFUNCTION("""COMPUTED_VALUE"""),"GR TR reefs")</f>
        <v>GR TR reefs</v>
      </c>
      <c r="I117" s="15">
        <f>IFERROR(__xludf.DUMMYFUNCTION("""COMPUTED_VALUE"""),0.5416666666678793)</f>
        <v>0.5416666667</v>
      </c>
      <c r="J117" s="16">
        <f>IFERROR(__xludf.DUMMYFUNCTION("""COMPUTED_VALUE"""),43314.055555555555)</f>
        <v>43314.05556</v>
      </c>
      <c r="K117" t="str">
        <f>IFERROR(__xludf.DUMMYFUNCTION("""COMPUTED_VALUE"""),"F 20ft Sea Ark (Easy 200) FL8534PY DEP21451")</f>
        <v>F 20ft Sea Ark (Easy 200) FL8534PY DEP21451</v>
      </c>
      <c r="M117" t="str">
        <f>IFERROR(__xludf.DUMMYFUNCTION("""COMPUTED_VALUE"""),"Ford F250 2017 (Moby Dix) - DEP0021578")</f>
        <v>Ford F250 2017 (Moby Dix) - DEP0021578</v>
      </c>
      <c r="N117" t="str">
        <f>IFERROR(__xludf.DUMMYFUNCTION("""COMPUTED_VALUE"""),"Ben Mowbray, (407) 962-8782")</f>
        <v>Ben Mowbray, (407) 962-8782</v>
      </c>
      <c r="O117" t="str">
        <f>IFERROR(__xludf.DUMMYFUNCTION("""COMPUTED_VALUE"""),"Nicole, Rodrigo, Adrienne, David")</f>
        <v>Nicole, Rodrigo, Adrienne, David</v>
      </c>
      <c r="P117" t="str">
        <f>IFERROR(__xludf.DUMMYFUNCTION("""COMPUTED_VALUE"""),"Ben")</f>
        <v>Ben</v>
      </c>
      <c r="Q117" t="str">
        <f>IFERROR(__xludf.DUMMYFUNCTION("""COMPUTED_VALUE"""),"Good")</f>
        <v>Good</v>
      </c>
      <c r="R117" t="str">
        <f>IFERROR(__xludf.DUMMYFUNCTION("""COMPUTED_VALUE"""),"Good")</f>
        <v>Good</v>
      </c>
      <c r="S117" t="str">
        <f>IFERROR(__xludf.DUMMYFUNCTION("""COMPUTED_VALUE"""),"Good")</f>
        <v>Good</v>
      </c>
      <c r="T117" t="str">
        <f>IFERROR(__xludf.DUMMYFUNCTION("""COMPUTED_VALUE"""),"Good")</f>
        <v>Good</v>
      </c>
      <c r="U117" t="str">
        <f>IFERROR(__xludf.DUMMYFUNCTION("""COMPUTED_VALUE"""),"Good")</f>
        <v>Good</v>
      </c>
      <c r="V117" t="str">
        <f>IFERROR(__xludf.DUMMYFUNCTION("""COMPUTED_VALUE"""),"Good")</f>
        <v>Good</v>
      </c>
      <c r="W117" t="str">
        <f>IFERROR(__xludf.DUMMYFUNCTION("""COMPUTED_VALUE"""),"Good")</f>
        <v>Good</v>
      </c>
      <c r="X117" t="str">
        <f>IFERROR(__xludf.DUMMYFUNCTION("""COMPUTED_VALUE"""),"Good")</f>
        <v>Good</v>
      </c>
      <c r="Y117" t="str">
        <f>IFERROR(__xludf.DUMMYFUNCTION("""COMPUTED_VALUE"""),"Good")</f>
        <v>Good</v>
      </c>
      <c r="Z117" t="str">
        <f>IFERROR(__xludf.DUMMYFUNCTION("""COMPUTED_VALUE"""),"Good")</f>
        <v>Good</v>
      </c>
      <c r="AA117" t="str">
        <f>IFERROR(__xludf.DUMMYFUNCTION("""COMPUTED_VALUE"""),"Good")</f>
        <v>Good</v>
      </c>
      <c r="AB117" t="str">
        <f>IFERROR(__xludf.DUMMYFUNCTION("""COMPUTED_VALUE"""),"Good")</f>
        <v>Good</v>
      </c>
      <c r="AC117" t="str">
        <f>IFERROR(__xludf.DUMMYFUNCTION("""COMPUTED_VALUE"""),"Good")</f>
        <v>Good</v>
      </c>
      <c r="AE117" s="11"/>
      <c r="AF117" t="s">
        <v>262</v>
      </c>
      <c r="AG117" s="17" t="s">
        <v>18</v>
      </c>
      <c r="AH117" s="23">
        <v>0.4895833333333333</v>
      </c>
      <c r="AI117" s="12" t="s">
        <v>295</v>
      </c>
      <c r="AJ117" s="19" t="s">
        <v>296</v>
      </c>
      <c r="AK117" s="20" t="str">
        <f>HYPERLINK("https://docs.google.com/document/d/18ANL2EAsbj-9X5mz0tRj4YzFgnSMdKPwDfVJotzLaHQ/edit?usp=drivesdk","Ben Mowbray - 8/2/2018 5:45 AM")</f>
        <v>Ben Mowbray - 8/2/2018 5:45 AM</v>
      </c>
      <c r="AL117" s="12" t="s">
        <v>297</v>
      </c>
    </row>
    <row r="118">
      <c r="A118" s="10">
        <f>IFERROR(__xludf.DUMMYFUNCTION("""COMPUTED_VALUE"""),43314.35755489583)</f>
        <v>43314.35755</v>
      </c>
      <c r="B118" s="11" t="str">
        <f>IFERROR(__xludf.DUMMYFUNCTION("""COMPUTED_VALUE"""),"Pamela Marcum")</f>
        <v>Pamela Marcum</v>
      </c>
      <c r="C118" t="str">
        <f>IFERROR(__xludf.DUMMYFUNCTION("""COMPUTED_VALUE"""),"Pamela.Marcum@dep.state.fl.us")</f>
        <v>Pamela.Marcum@dep.state.fl.us</v>
      </c>
      <c r="D118" t="str">
        <f>IFERROR(__xludf.DUMMYFUNCTION("""COMPUTED_VALUE"""),"Research/Nikki")</f>
        <v>Research/Nikki</v>
      </c>
      <c r="E118" t="str">
        <f>IFERROR(__xludf.DUMMYFUNCTION("""COMPUTED_VALUE"""),"Shore Drive")</f>
        <v>Shore Drive</v>
      </c>
      <c r="F118" s="13">
        <f>IFERROR(__xludf.DUMMYFUNCTION("""COMPUTED_VALUE"""),0.3958333333321207)</f>
        <v>0.3958333333</v>
      </c>
      <c r="G118" s="14">
        <f>IFERROR(__xludf.DUMMYFUNCTION("""COMPUTED_VALUE"""),43314.0)</f>
        <v>43314</v>
      </c>
      <c r="H118" t="str">
        <f>IFERROR(__xludf.DUMMYFUNCTION("""COMPUTED_VALUE"""),"Gabby's Creek")</f>
        <v>Gabby's Creek</v>
      </c>
      <c r="I118" s="15">
        <f>IFERROR(__xludf.DUMMYFUNCTION("""COMPUTED_VALUE"""),0.625)</f>
        <v>0.625</v>
      </c>
      <c r="J118" s="16">
        <f>IFERROR(__xludf.DUMMYFUNCTION("""COMPUTED_VALUE"""),43314.66666666667)</f>
        <v>43314.66667</v>
      </c>
      <c r="K118" t="str">
        <f>IFERROR(__xludf.DUMMYFUNCTION("""COMPUTED_VALUE"""),"23ft Skiff (Bertha) FL7972LJ DEP07613")</f>
        <v>23ft Skiff (Bertha) FL7972LJ DEP07613</v>
      </c>
      <c r="M118" t="str">
        <f>IFERROR(__xludf.DUMMYFUNCTION("""COMPUTED_VALUE"""),"Ford F150 2015 (White) - DEP21448")</f>
        <v>Ford F150 2015 (White) - DEP21448</v>
      </c>
      <c r="N118" t="str">
        <f>IFERROR(__xludf.DUMMYFUNCTION("""COMPUTED_VALUE"""),"Pam Marcum, (480) 332-5414")</f>
        <v>Pam Marcum, (480) 332-5414</v>
      </c>
      <c r="O118" t="str">
        <f>IFERROR(__xludf.DUMMYFUNCTION("""COMPUTED_VALUE"""),"Gabby Canas, Matt Hayes, Emily, Chuck")</f>
        <v>Gabby Canas, Matt Hayes, Emily, Chuck</v>
      </c>
      <c r="P118" t="str">
        <f>IFERROR(__xludf.DUMMYFUNCTION("""COMPUTED_VALUE"""),"Pamela Marcum")</f>
        <v>Pamela Marcum</v>
      </c>
      <c r="Q118" t="str">
        <f>IFERROR(__xludf.DUMMYFUNCTION("""COMPUTED_VALUE"""),"Good")</f>
        <v>Good</v>
      </c>
      <c r="R118" t="str">
        <f>IFERROR(__xludf.DUMMYFUNCTION("""COMPUTED_VALUE"""),"Good")</f>
        <v>Good</v>
      </c>
      <c r="S118" t="str">
        <f>IFERROR(__xludf.DUMMYFUNCTION("""COMPUTED_VALUE"""),"Good")</f>
        <v>Good</v>
      </c>
      <c r="T118" t="str">
        <f>IFERROR(__xludf.DUMMYFUNCTION("""COMPUTED_VALUE"""),"Good")</f>
        <v>Good</v>
      </c>
      <c r="U118" t="str">
        <f>IFERROR(__xludf.DUMMYFUNCTION("""COMPUTED_VALUE"""),"Good")</f>
        <v>Good</v>
      </c>
      <c r="V118" t="str">
        <f>IFERROR(__xludf.DUMMYFUNCTION("""COMPUTED_VALUE"""),"Good")</f>
        <v>Good</v>
      </c>
      <c r="W118" t="str">
        <f>IFERROR(__xludf.DUMMYFUNCTION("""COMPUTED_VALUE"""),"Good")</f>
        <v>Good</v>
      </c>
      <c r="X118" t="str">
        <f>IFERROR(__xludf.DUMMYFUNCTION("""COMPUTED_VALUE"""),"Good")</f>
        <v>Good</v>
      </c>
      <c r="Y118" t="str">
        <f>IFERROR(__xludf.DUMMYFUNCTION("""COMPUTED_VALUE"""),"Good")</f>
        <v>Good</v>
      </c>
      <c r="Z118" t="str">
        <f>IFERROR(__xludf.DUMMYFUNCTION("""COMPUTED_VALUE"""),"Good")</f>
        <v>Good</v>
      </c>
      <c r="AA118" t="str">
        <f>IFERROR(__xludf.DUMMYFUNCTION("""COMPUTED_VALUE"""),"Good")</f>
        <v>Good</v>
      </c>
      <c r="AB118" t="str">
        <f>IFERROR(__xludf.DUMMYFUNCTION("""COMPUTED_VALUE"""),"Good")</f>
        <v>Good</v>
      </c>
      <c r="AC118" t="str">
        <f>IFERROR(__xludf.DUMMYFUNCTION("""COMPUTED_VALUE"""),"Good")</f>
        <v>Good</v>
      </c>
      <c r="AE118" s="11"/>
      <c r="AF118" t="s">
        <v>218</v>
      </c>
      <c r="AG118" s="17" t="s">
        <v>18</v>
      </c>
      <c r="AH118" s="23">
        <v>0.5618055555555556</v>
      </c>
      <c r="AI118" s="12" t="s">
        <v>298</v>
      </c>
      <c r="AJ118" s="19" t="s">
        <v>299</v>
      </c>
      <c r="AK118" s="20" t="str">
        <f>HYPERLINK("https://docs.google.com/document/d/1_xpbSdAQxiV952g8DEviihzsJ9JvdoIja7XikkzE2jM/edit?usp=drivesdk","Pamela Marcum - 8/2/2018 9:30 AM")</f>
        <v>Pamela Marcum - 8/2/2018 9:30 AM</v>
      </c>
      <c r="AL118" s="12" t="s">
        <v>300</v>
      </c>
    </row>
    <row r="119">
      <c r="A119" s="10">
        <f>IFERROR(__xludf.DUMMYFUNCTION("""COMPUTED_VALUE"""),43314.6034672338)</f>
        <v>43314.60347</v>
      </c>
      <c r="B119" s="11" t="str">
        <f>IFERROR(__xludf.DUMMYFUNCTION("""COMPUTED_VALUE"""),"Ben Mowbray")</f>
        <v>Ben Mowbray</v>
      </c>
      <c r="C119" t="str">
        <f>IFERROR(__xludf.DUMMYFUNCTION("""COMPUTED_VALUE"""),"Ben.mowbray@dep.state.fl.us")</f>
        <v>Ben.mowbray@dep.state.fl.us</v>
      </c>
      <c r="D119" t="str">
        <f>IFERROR(__xludf.DUMMYFUNCTION("""COMPUTED_VALUE"""),"Research/Pam")</f>
        <v>Research/Pam</v>
      </c>
      <c r="E119" t="str">
        <f>IFERROR(__xludf.DUMMYFUNCTION("""COMPUTED_VALUE"""),"Aunt Kate's")</f>
        <v>Aunt Kate's</v>
      </c>
      <c r="F119" s="13">
        <f>IFERROR(__xludf.DUMMYFUNCTION("""COMPUTED_VALUE"""),0.28125)</f>
        <v>0.28125</v>
      </c>
      <c r="G119" s="14">
        <f>IFERROR(__xludf.DUMMYFUNCTION("""COMPUTED_VALUE"""),43315.0)</f>
        <v>43315</v>
      </c>
      <c r="H119" t="str">
        <f>IFERROR(__xludf.DUMMYFUNCTION("""COMPUTED_VALUE"""),"TR reefs")</f>
        <v>TR reefs</v>
      </c>
      <c r="I119" s="15">
        <f>IFERROR(__xludf.DUMMYFUNCTION("""COMPUTED_VALUE"""),0.5)</f>
        <v>0.5</v>
      </c>
      <c r="J119" s="16">
        <f>IFERROR(__xludf.DUMMYFUNCTION("""COMPUTED_VALUE"""),43315.51388888889)</f>
        <v>43315.51389</v>
      </c>
      <c r="K119" t="str">
        <f>IFERROR(__xludf.DUMMYFUNCTION("""COMPUTED_VALUE"""),"20ft Sea Ark FL5351SJ UNF 2015")</f>
        <v>20ft Sea Ark FL5351SJ UNF 2015</v>
      </c>
      <c r="M119" t="str">
        <f>IFERROR(__xludf.DUMMYFUNCTION("""COMPUTED_VALUE"""),"Ford F250 2017 (Moby Dix) - DEP0021578")</f>
        <v>Ford F250 2017 (Moby Dix) - DEP0021578</v>
      </c>
      <c r="N119" t="str">
        <f>IFERROR(__xludf.DUMMYFUNCTION("""COMPUTED_VALUE"""),"Ben Mowbray, (407) 962-8782")</f>
        <v>Ben Mowbray, (407) 962-8782</v>
      </c>
      <c r="O119" t="str">
        <f>IFERROR(__xludf.DUMMYFUNCTION("""COMPUTED_VALUE"""),"Nicole, Rodrigo, Adrienne")</f>
        <v>Nicole, Rodrigo, Adrienne</v>
      </c>
      <c r="P119" t="str">
        <f>IFERROR(__xludf.DUMMYFUNCTION("""COMPUTED_VALUE"""),"Ben")</f>
        <v>Ben</v>
      </c>
      <c r="Q119" t="str">
        <f>IFERROR(__xludf.DUMMYFUNCTION("""COMPUTED_VALUE"""),"Good")</f>
        <v>Good</v>
      </c>
      <c r="R119" t="str">
        <f>IFERROR(__xludf.DUMMYFUNCTION("""COMPUTED_VALUE"""),"Good")</f>
        <v>Good</v>
      </c>
      <c r="S119" t="str">
        <f>IFERROR(__xludf.DUMMYFUNCTION("""COMPUTED_VALUE"""),"Good")</f>
        <v>Good</v>
      </c>
      <c r="T119" t="str">
        <f>IFERROR(__xludf.DUMMYFUNCTION("""COMPUTED_VALUE"""),"Good")</f>
        <v>Good</v>
      </c>
      <c r="U119" t="str">
        <f>IFERROR(__xludf.DUMMYFUNCTION("""COMPUTED_VALUE"""),"Good")</f>
        <v>Good</v>
      </c>
      <c r="V119" t="str">
        <f>IFERROR(__xludf.DUMMYFUNCTION("""COMPUTED_VALUE"""),"Good")</f>
        <v>Good</v>
      </c>
      <c r="W119" t="str">
        <f>IFERROR(__xludf.DUMMYFUNCTION("""COMPUTED_VALUE"""),"Good")</f>
        <v>Good</v>
      </c>
      <c r="X119" t="str">
        <f>IFERROR(__xludf.DUMMYFUNCTION("""COMPUTED_VALUE"""),"Good")</f>
        <v>Good</v>
      </c>
      <c r="Y119" t="str">
        <f>IFERROR(__xludf.DUMMYFUNCTION("""COMPUTED_VALUE"""),"Good")</f>
        <v>Good</v>
      </c>
      <c r="Z119" t="str">
        <f>IFERROR(__xludf.DUMMYFUNCTION("""COMPUTED_VALUE"""),"Good")</f>
        <v>Good</v>
      </c>
      <c r="AA119" t="str">
        <f>IFERROR(__xludf.DUMMYFUNCTION("""COMPUTED_VALUE"""),"Good")</f>
        <v>Good</v>
      </c>
      <c r="AB119" t="str">
        <f>IFERROR(__xludf.DUMMYFUNCTION("""COMPUTED_VALUE"""),"Good")</f>
        <v>Good</v>
      </c>
      <c r="AC119" t="str">
        <f>IFERROR(__xludf.DUMMYFUNCTION("""COMPUTED_VALUE"""),"Good")</f>
        <v>Good</v>
      </c>
      <c r="AE119" s="11"/>
      <c r="AF119" t="s">
        <v>262</v>
      </c>
      <c r="AG119" s="17" t="s">
        <v>18</v>
      </c>
      <c r="AH119" s="12">
        <v>1123.0</v>
      </c>
      <c r="AI119" s="12" t="s">
        <v>301</v>
      </c>
      <c r="AJ119" s="19" t="s">
        <v>302</v>
      </c>
      <c r="AK119" s="20" t="str">
        <f>HYPERLINK("https://docs.google.com/document/d/1CEf7cA2GIPp1xy65JDmnWfxQvW39taVTsOsaX1Ue6ho/edit?usp=drivesdk","Ben Mowbray - 8/3/2018 6:45 AM")</f>
        <v>Ben Mowbray - 8/3/2018 6:45 AM</v>
      </c>
      <c r="AL119" s="12" t="s">
        <v>303</v>
      </c>
    </row>
    <row r="120">
      <c r="A120" s="10">
        <f>IFERROR(__xludf.DUMMYFUNCTION("""COMPUTED_VALUE"""),43315.280441574076)</f>
        <v>43315.28044</v>
      </c>
      <c r="B120" s="11" t="str">
        <f>IFERROR(__xludf.DUMMYFUNCTION("""COMPUTED_VALUE"""),"Pamela Marcum")</f>
        <v>Pamela Marcum</v>
      </c>
      <c r="C120" t="str">
        <f>IFERROR(__xludf.DUMMYFUNCTION("""COMPUTED_VALUE"""),"Pamela.Marcum@dep.state.fl.us")</f>
        <v>Pamela.Marcum@dep.state.fl.us</v>
      </c>
      <c r="D120" t="str">
        <f>IFERROR(__xludf.DUMMYFUNCTION("""COMPUTED_VALUE"""),"Research/Nikki")</f>
        <v>Research/Nikki</v>
      </c>
      <c r="E120" t="str">
        <f>IFERROR(__xludf.DUMMYFUNCTION("""COMPUTED_VALUE"""),"Aunt Kates")</f>
        <v>Aunt Kates</v>
      </c>
      <c r="F120" s="13">
        <f>IFERROR(__xludf.DUMMYFUNCTION("""COMPUTED_VALUE"""),0.3125)</f>
        <v>0.3125</v>
      </c>
      <c r="G120" s="14">
        <f>IFERROR(__xludf.DUMMYFUNCTION("""COMPUTED_VALUE"""),43315.0)</f>
        <v>43315</v>
      </c>
      <c r="H120" t="str">
        <f>IFERROR(__xludf.DUMMYFUNCTION("""COMPUTED_VALUE"""),"Spat Run")</f>
        <v>Spat Run</v>
      </c>
      <c r="I120" s="15">
        <f>IFERROR(__xludf.DUMMYFUNCTION("""COMPUTED_VALUE"""),0.5)</f>
        <v>0.5</v>
      </c>
      <c r="J120" s="16">
        <f>IFERROR(__xludf.DUMMYFUNCTION("""COMPUTED_VALUE"""),43315.52083333333)</f>
        <v>43315.52083</v>
      </c>
      <c r="K120" t="str">
        <f>IFERROR(__xludf.DUMMYFUNCTION("""COMPUTED_VALUE"""),"23ft Skiff (Bertha) FL7972LJ DEP07613")</f>
        <v>23ft Skiff (Bertha) FL7972LJ DEP07613</v>
      </c>
      <c r="M120" t="str">
        <f>IFERROR(__xludf.DUMMYFUNCTION("""COMPUTED_VALUE"""),"Ford F150 2015 (White) - DEP21448")</f>
        <v>Ford F150 2015 (White) - DEP21448</v>
      </c>
      <c r="N120" t="str">
        <f>IFERROR(__xludf.DUMMYFUNCTION("""COMPUTED_VALUE"""),"Pam Marcum, (480) 332-5414")</f>
        <v>Pam Marcum, (480) 332-5414</v>
      </c>
      <c r="O120" t="str">
        <f>IFERROR(__xludf.DUMMYFUNCTION("""COMPUTED_VALUE"""),"Kendall Doody, Chris Kurtz")</f>
        <v>Kendall Doody, Chris Kurtz</v>
      </c>
      <c r="P120" t="str">
        <f>IFERROR(__xludf.DUMMYFUNCTION("""COMPUTED_VALUE"""),"Pamela Marcum")</f>
        <v>Pamela Marcum</v>
      </c>
      <c r="Q120" t="str">
        <f>IFERROR(__xludf.DUMMYFUNCTION("""COMPUTED_VALUE"""),"Good")</f>
        <v>Good</v>
      </c>
      <c r="R120" t="str">
        <f>IFERROR(__xludf.DUMMYFUNCTION("""COMPUTED_VALUE"""),"Good")</f>
        <v>Good</v>
      </c>
      <c r="S120" t="str">
        <f>IFERROR(__xludf.DUMMYFUNCTION("""COMPUTED_VALUE"""),"Good")</f>
        <v>Good</v>
      </c>
      <c r="T120" t="str">
        <f>IFERROR(__xludf.DUMMYFUNCTION("""COMPUTED_VALUE"""),"Good")</f>
        <v>Good</v>
      </c>
      <c r="U120" t="str">
        <f>IFERROR(__xludf.DUMMYFUNCTION("""COMPUTED_VALUE"""),"Good")</f>
        <v>Good</v>
      </c>
      <c r="V120" t="str">
        <f>IFERROR(__xludf.DUMMYFUNCTION("""COMPUTED_VALUE"""),"Good")</f>
        <v>Good</v>
      </c>
      <c r="W120" t="str">
        <f>IFERROR(__xludf.DUMMYFUNCTION("""COMPUTED_VALUE"""),"Good")</f>
        <v>Good</v>
      </c>
      <c r="X120" t="str">
        <f>IFERROR(__xludf.DUMMYFUNCTION("""COMPUTED_VALUE"""),"Good")</f>
        <v>Good</v>
      </c>
      <c r="Y120" t="str">
        <f>IFERROR(__xludf.DUMMYFUNCTION("""COMPUTED_VALUE"""),"Good")</f>
        <v>Good</v>
      </c>
      <c r="Z120" t="str">
        <f>IFERROR(__xludf.DUMMYFUNCTION("""COMPUTED_VALUE"""),"Good")</f>
        <v>Good</v>
      </c>
      <c r="AA120" t="str">
        <f>IFERROR(__xludf.DUMMYFUNCTION("""COMPUTED_VALUE"""),"Good")</f>
        <v>Good</v>
      </c>
      <c r="AB120" t="str">
        <f>IFERROR(__xludf.DUMMYFUNCTION("""COMPUTED_VALUE"""),"Good")</f>
        <v>Good</v>
      </c>
      <c r="AC120" t="str">
        <f>IFERROR(__xludf.DUMMYFUNCTION("""COMPUTED_VALUE"""),"Good")</f>
        <v>Good</v>
      </c>
      <c r="AE120" s="11"/>
      <c r="AF120" t="s">
        <v>218</v>
      </c>
      <c r="AG120" s="17" t="s">
        <v>18</v>
      </c>
      <c r="AH120" s="12">
        <v>1055.0</v>
      </c>
      <c r="AI120" s="12" t="s">
        <v>304</v>
      </c>
      <c r="AJ120" s="19" t="s">
        <v>305</v>
      </c>
      <c r="AK120" s="20" t="str">
        <f>HYPERLINK("https://docs.google.com/document/d/1_f4X9tN9ILtz5QvdB_rIlrFD1AFhQW601asBRe7AfEg/edit?usp=drivesdk","Pamela Marcum - 8/3/2018 7:30 AM")</f>
        <v>Pamela Marcum - 8/3/2018 7:30 AM</v>
      </c>
      <c r="AL120" s="12" t="s">
        <v>306</v>
      </c>
    </row>
    <row r="121">
      <c r="A121" s="10">
        <f>IFERROR(__xludf.DUMMYFUNCTION("""COMPUTED_VALUE"""),43319.243383553236)</f>
        <v>43319.24338</v>
      </c>
      <c r="B121" s="11" t="str">
        <f>IFERROR(__xludf.DUMMYFUNCTION("""COMPUTED_VALUE"""),"Silas Tanner")</f>
        <v>Silas Tanner</v>
      </c>
      <c r="C121" t="str">
        <f>IFERROR(__xludf.DUMMYFUNCTION("""COMPUTED_VALUE"""),"Silas.Tanner@floridadep.gov")</f>
        <v>Silas.Tanner@floridadep.gov</v>
      </c>
      <c r="D121" t="str">
        <f>IFERROR(__xludf.DUMMYFUNCTION("""COMPUTED_VALUE"""),"Research/Nikki")</f>
        <v>Research/Nikki</v>
      </c>
      <c r="E121" t="str">
        <f>IFERROR(__xludf.DUMMYFUNCTION("""COMPUTED_VALUE"""),"Vilano county ramp")</f>
        <v>Vilano county ramp</v>
      </c>
      <c r="F121" s="13">
        <f>IFERROR(__xludf.DUMMYFUNCTION("""COMPUTED_VALUE"""),0.2708333333321207)</f>
        <v>0.2708333333</v>
      </c>
      <c r="G121" s="14">
        <f>IFERROR(__xludf.DUMMYFUNCTION("""COMPUTED_VALUE"""),43319.0)</f>
        <v>43319</v>
      </c>
      <c r="H121" t="str">
        <f>IFERROR(__xludf.DUMMYFUNCTION("""COMPUTED_VALUE"""),"ICW SWMP sites")</f>
        <v>ICW SWMP sites</v>
      </c>
      <c r="I121" s="15">
        <f>IFERROR(__xludf.DUMMYFUNCTION("""COMPUTED_VALUE"""),0.5208333333321207)</f>
        <v>0.5208333333</v>
      </c>
      <c r="J121" s="16">
        <f>IFERROR(__xludf.DUMMYFUNCTION("""COMPUTED_VALUE"""),43319.04166666667)</f>
        <v>43319.04167</v>
      </c>
      <c r="K121" t="str">
        <f>IFERROR(__xludf.DUMMYFUNCTION("""COMPUTED_VALUE"""),"23ft Skiff (Bertha) FL7972LJ DEP07613")</f>
        <v>23ft Skiff (Bertha) FL7972LJ DEP07613</v>
      </c>
      <c r="M121" t="str">
        <f>IFERROR(__xludf.DUMMYFUNCTION("""COMPUTED_VALUE"""),"Ford F250 2017 (Moby Dix) - DEP0021578")</f>
        <v>Ford F250 2017 (Moby Dix) - DEP0021578</v>
      </c>
      <c r="N121" t="str">
        <f>IFERROR(__xludf.DUMMYFUNCTION("""COMPUTED_VALUE"""),"Silas Tanner, (904) 483-8423, Jimmy Tomazinis, (904) 547-0094")</f>
        <v>Silas Tanner, (904) 483-8423, Jimmy Tomazinis, (904) 547-0094</v>
      </c>
      <c r="O121" t="str">
        <f>IFERROR(__xludf.DUMMYFUNCTION("""COMPUTED_VALUE"""),"Emma Hanson, Jessica Lee")</f>
        <v>Emma Hanson, Jessica Lee</v>
      </c>
      <c r="P121" t="str">
        <f>IFERROR(__xludf.DUMMYFUNCTION("""COMPUTED_VALUE"""),"Tomazinis")</f>
        <v>Tomazinis</v>
      </c>
      <c r="Q121" t="str">
        <f>IFERROR(__xludf.DUMMYFUNCTION("""COMPUTED_VALUE"""),"Good")</f>
        <v>Good</v>
      </c>
      <c r="R121" t="str">
        <f>IFERROR(__xludf.DUMMYFUNCTION("""COMPUTED_VALUE"""),"Good")</f>
        <v>Good</v>
      </c>
      <c r="S121" t="str">
        <f>IFERROR(__xludf.DUMMYFUNCTION("""COMPUTED_VALUE"""),"Good")</f>
        <v>Good</v>
      </c>
      <c r="T121" t="str">
        <f>IFERROR(__xludf.DUMMYFUNCTION("""COMPUTED_VALUE"""),"Good")</f>
        <v>Good</v>
      </c>
      <c r="U121" t="str">
        <f>IFERROR(__xludf.DUMMYFUNCTION("""COMPUTED_VALUE"""),"Good")</f>
        <v>Good</v>
      </c>
      <c r="V121" t="str">
        <f>IFERROR(__xludf.DUMMYFUNCTION("""COMPUTED_VALUE"""),"Good")</f>
        <v>Good</v>
      </c>
      <c r="W121" t="str">
        <f>IFERROR(__xludf.DUMMYFUNCTION("""COMPUTED_VALUE"""),"Good")</f>
        <v>Good</v>
      </c>
      <c r="X121" t="str">
        <f>IFERROR(__xludf.DUMMYFUNCTION("""COMPUTED_VALUE"""),"Good")</f>
        <v>Good</v>
      </c>
      <c r="Y121" t="str">
        <f>IFERROR(__xludf.DUMMYFUNCTION("""COMPUTED_VALUE"""),"Good")</f>
        <v>Good</v>
      </c>
      <c r="Z121" t="str">
        <f>IFERROR(__xludf.DUMMYFUNCTION("""COMPUTED_VALUE"""),"Good")</f>
        <v>Good</v>
      </c>
      <c r="AA121" t="str">
        <f>IFERROR(__xludf.DUMMYFUNCTION("""COMPUTED_VALUE"""),"Good")</f>
        <v>Good</v>
      </c>
      <c r="AB121" t="str">
        <f>IFERROR(__xludf.DUMMYFUNCTION("""COMPUTED_VALUE"""),"Good")</f>
        <v>Good</v>
      </c>
      <c r="AC121" t="str">
        <f>IFERROR(__xludf.DUMMYFUNCTION("""COMPUTED_VALUE"""),"Good")</f>
        <v>Good</v>
      </c>
      <c r="AE121" s="11"/>
      <c r="AF121" t="s">
        <v>218</v>
      </c>
      <c r="AG121" s="17" t="s">
        <v>18</v>
      </c>
      <c r="AH121" s="12">
        <v>1132.0</v>
      </c>
      <c r="AI121" s="12" t="s">
        <v>307</v>
      </c>
      <c r="AJ121" s="19" t="s">
        <v>308</v>
      </c>
      <c r="AK121" s="20" t="str">
        <f>HYPERLINK("https://docs.google.com/document/d/1gFmRMe2zpH3j4wfW__4Oo9qMajLX3jmZ0kcbMSYh65A/edit?usp=drivesdk","Silas Tanner - 8/7/2018 6:30 AM")</f>
        <v>Silas Tanner - 8/7/2018 6:30 AM</v>
      </c>
      <c r="AL121" s="12" t="s">
        <v>309</v>
      </c>
    </row>
    <row r="122">
      <c r="A122" s="10">
        <f>IFERROR(__xludf.DUMMYFUNCTION("""COMPUTED_VALUE"""),43319.73661347222)</f>
        <v>43319.73661</v>
      </c>
      <c r="B122" s="11" t="str">
        <f>IFERROR(__xludf.DUMMYFUNCTION("""COMPUTED_VALUE"""),"James Tomazinis")</f>
        <v>James Tomazinis</v>
      </c>
      <c r="C122" t="str">
        <f>IFERROR(__xludf.DUMMYFUNCTION("""COMPUTED_VALUE"""),"james.tomazinis@floridadep.gov")</f>
        <v>james.tomazinis@floridadep.gov</v>
      </c>
      <c r="D122" t="str">
        <f>IFERROR(__xludf.DUMMYFUNCTION("""COMPUTED_VALUE"""),"Stewardship (Aquatic)")</f>
        <v>Stewardship (Aquatic)</v>
      </c>
      <c r="E122" t="str">
        <f>IFERROR(__xludf.DUMMYFUNCTION("""COMPUTED_VALUE"""),"Guana Dam")</f>
        <v>Guana Dam</v>
      </c>
      <c r="F122" s="13">
        <f>IFERROR(__xludf.DUMMYFUNCTION("""COMPUTED_VALUE"""),0.3020833333321207)</f>
        <v>0.3020833333</v>
      </c>
      <c r="G122" s="14">
        <f>IFERROR(__xludf.DUMMYFUNCTION("""COMPUTED_VALUE"""),43320.0)</f>
        <v>43320</v>
      </c>
      <c r="H122" t="str">
        <f>IFERROR(__xludf.DUMMYFUNCTION("""COMPUTED_VALUE"""),"Guana River WQ sites")</f>
        <v>Guana River WQ sites</v>
      </c>
      <c r="I122" s="15">
        <f>IFERROR(__xludf.DUMMYFUNCTION("""COMPUTED_VALUE"""),0.375)</f>
        <v>0.375</v>
      </c>
      <c r="J122" s="16"/>
      <c r="K122" t="str">
        <f>IFERROR(__xludf.DUMMYFUNCTION("""COMPUTED_VALUE"""),"Jon Boat FL0484NP DEP06819")</f>
        <v>Jon Boat FL0484NP DEP06819</v>
      </c>
      <c r="M122" t="str">
        <f>IFERROR(__xludf.DUMMYFUNCTION("""COMPUTED_VALUE"""),"Ford F150 2015 (White) - DEP21448")</f>
        <v>Ford F150 2015 (White) - DEP21448</v>
      </c>
      <c r="N122" t="str">
        <f>IFERROR(__xludf.DUMMYFUNCTION("""COMPUTED_VALUE"""),"Jimmy Tomazinis, (904) 547-0094")</f>
        <v>Jimmy Tomazinis, (904) 547-0094</v>
      </c>
      <c r="O122" t="str">
        <f>IFERROR(__xludf.DUMMYFUNCTION("""COMPUTED_VALUE"""),"Silas Tanner, (904) 483-8423, Scott Eastman, (904) 501-9267")</f>
        <v>Silas Tanner, (904) 483-8423, Scott Eastman, (904) 501-9267</v>
      </c>
      <c r="P122" t="str">
        <f>IFERROR(__xludf.DUMMYFUNCTION("""COMPUTED_VALUE"""),"Jimmy")</f>
        <v>Jimmy</v>
      </c>
      <c r="Q122" t="str">
        <f>IFERROR(__xludf.DUMMYFUNCTION("""COMPUTED_VALUE"""),"Good")</f>
        <v>Good</v>
      </c>
      <c r="R122" t="str">
        <f>IFERROR(__xludf.DUMMYFUNCTION("""COMPUTED_VALUE"""),"Good")</f>
        <v>Good</v>
      </c>
      <c r="S122" t="str">
        <f>IFERROR(__xludf.DUMMYFUNCTION("""COMPUTED_VALUE"""),"Good")</f>
        <v>Good</v>
      </c>
      <c r="T122" t="str">
        <f>IFERROR(__xludf.DUMMYFUNCTION("""COMPUTED_VALUE"""),"Good")</f>
        <v>Good</v>
      </c>
      <c r="U122" t="str">
        <f>IFERROR(__xludf.DUMMYFUNCTION("""COMPUTED_VALUE"""),"Good")</f>
        <v>Good</v>
      </c>
      <c r="V122" t="str">
        <f>IFERROR(__xludf.DUMMYFUNCTION("""COMPUTED_VALUE"""),"Good")</f>
        <v>Good</v>
      </c>
      <c r="W122" t="str">
        <f>IFERROR(__xludf.DUMMYFUNCTION("""COMPUTED_VALUE"""),"Good")</f>
        <v>Good</v>
      </c>
      <c r="X122" t="str">
        <f>IFERROR(__xludf.DUMMYFUNCTION("""COMPUTED_VALUE"""),"Good")</f>
        <v>Good</v>
      </c>
      <c r="Y122" t="str">
        <f>IFERROR(__xludf.DUMMYFUNCTION("""COMPUTED_VALUE"""),"Good")</f>
        <v>Good</v>
      </c>
      <c r="Z122" t="str">
        <f>IFERROR(__xludf.DUMMYFUNCTION("""COMPUTED_VALUE"""),"Good")</f>
        <v>Good</v>
      </c>
      <c r="AA122" t="str">
        <f>IFERROR(__xludf.DUMMYFUNCTION("""COMPUTED_VALUE"""),"Good")</f>
        <v>Good</v>
      </c>
      <c r="AB122" t="str">
        <f>IFERROR(__xludf.DUMMYFUNCTION("""COMPUTED_VALUE"""),"Good")</f>
        <v>Good</v>
      </c>
      <c r="AC122" t="str">
        <f>IFERROR(__xludf.DUMMYFUNCTION("""COMPUTED_VALUE"""),"Good")</f>
        <v>Good</v>
      </c>
      <c r="AE122" s="11"/>
      <c r="AF122" t="s">
        <v>32</v>
      </c>
      <c r="AG122" s="17" t="s">
        <v>18</v>
      </c>
      <c r="AH122" s="12">
        <v>830.0</v>
      </c>
      <c r="AI122" s="12" t="s">
        <v>310</v>
      </c>
      <c r="AJ122" s="19" t="s">
        <v>311</v>
      </c>
      <c r="AK122" s="20" t="str">
        <f>HYPERLINK("https://docs.google.com/document/d/1WiDFrx4D7wDtTG7xhG56FExYdRv-4DwwdP-wvUsnRMc/edit?usp=drivesdk","James Tomazinis - 8/8/2018 7:15 AM")</f>
        <v>James Tomazinis - 8/8/2018 7:15 AM</v>
      </c>
      <c r="AL122" s="12" t="s">
        <v>312</v>
      </c>
    </row>
    <row r="123">
      <c r="A123" s="10">
        <f>IFERROR(__xludf.DUMMYFUNCTION("""COMPUTED_VALUE"""),43320.354894675926)</f>
        <v>43320.35489</v>
      </c>
      <c r="B123" s="11" t="str">
        <f>IFERROR(__xludf.DUMMYFUNCTION("""COMPUTED_VALUE"""),"Pamela Marcum")</f>
        <v>Pamela Marcum</v>
      </c>
      <c r="C123" t="str">
        <f>IFERROR(__xludf.DUMMYFUNCTION("""COMPUTED_VALUE"""),"Pamela.Marcum@dep.state.fl.us")</f>
        <v>Pamela.Marcum@dep.state.fl.us</v>
      </c>
      <c r="D123" t="str">
        <f>IFERROR(__xludf.DUMMYFUNCTION("""COMPUTED_VALUE"""),"Research/Nikki")</f>
        <v>Research/Nikki</v>
      </c>
      <c r="E123" t="str">
        <f>IFERROR(__xludf.DUMMYFUNCTION("""COMPUTED_VALUE"""),"Shore Drive")</f>
        <v>Shore Drive</v>
      </c>
      <c r="F123" s="13">
        <f>IFERROR(__xludf.DUMMYFUNCTION("""COMPUTED_VALUE"""),0.375)</f>
        <v>0.375</v>
      </c>
      <c r="G123" s="14">
        <f>IFERROR(__xludf.DUMMYFUNCTION("""COMPUTED_VALUE"""),43320.0)</f>
        <v>43320</v>
      </c>
      <c r="H123" t="str">
        <f>IFERROR(__xludf.DUMMYFUNCTION("""COMPUTED_VALUE"""),"Gabby's Creek")</f>
        <v>Gabby's Creek</v>
      </c>
      <c r="I123" s="15">
        <f>IFERROR(__xludf.DUMMYFUNCTION("""COMPUTED_VALUE"""),0.625)</f>
        <v>0.625</v>
      </c>
      <c r="J123" s="16">
        <f>IFERROR(__xludf.DUMMYFUNCTION("""COMPUTED_VALUE"""),43321.66666666667)</f>
        <v>43321.66667</v>
      </c>
      <c r="K123" t="str">
        <f>IFERROR(__xludf.DUMMYFUNCTION("""COMPUTED_VALUE"""),"23ft Skiff (Bertha) FL7972LJ DEP07613")</f>
        <v>23ft Skiff (Bertha) FL7972LJ DEP07613</v>
      </c>
      <c r="M123" t="str">
        <f>IFERROR(__xludf.DUMMYFUNCTION("""COMPUTED_VALUE"""),"Ford F250 2017 (Moby Dix) - DEP0021578")</f>
        <v>Ford F250 2017 (Moby Dix) - DEP0021578</v>
      </c>
      <c r="N123" t="str">
        <f>IFERROR(__xludf.DUMMYFUNCTION("""COMPUTED_VALUE"""),"Pam Marcum, (480) 332-5414")</f>
        <v>Pam Marcum, (480) 332-5414</v>
      </c>
      <c r="O123" t="str">
        <f>IFERROR(__xludf.DUMMYFUNCTION("""COMPUTED_VALUE"""),"Gabriela Canas, (904) 891-9743, Matt Hayes, Lorae, Emily, Adam, Sam Chapman")</f>
        <v>Gabriela Canas, (904) 891-9743, Matt Hayes, Lorae, Emily, Adam, Sam Chapman</v>
      </c>
      <c r="P123" t="str">
        <f>IFERROR(__xludf.DUMMYFUNCTION("""COMPUTED_VALUE"""),"Pamela Marcum")</f>
        <v>Pamela Marcum</v>
      </c>
      <c r="Q123" t="str">
        <f>IFERROR(__xludf.DUMMYFUNCTION("""COMPUTED_VALUE"""),"Good")</f>
        <v>Good</v>
      </c>
      <c r="R123" t="str">
        <f>IFERROR(__xludf.DUMMYFUNCTION("""COMPUTED_VALUE"""),"Good")</f>
        <v>Good</v>
      </c>
      <c r="S123" t="str">
        <f>IFERROR(__xludf.DUMMYFUNCTION("""COMPUTED_VALUE"""),"Good")</f>
        <v>Good</v>
      </c>
      <c r="T123" t="str">
        <f>IFERROR(__xludf.DUMMYFUNCTION("""COMPUTED_VALUE"""),"Good")</f>
        <v>Good</v>
      </c>
      <c r="U123" t="str">
        <f>IFERROR(__xludf.DUMMYFUNCTION("""COMPUTED_VALUE"""),"Good")</f>
        <v>Good</v>
      </c>
      <c r="V123" t="str">
        <f>IFERROR(__xludf.DUMMYFUNCTION("""COMPUTED_VALUE"""),"Good")</f>
        <v>Good</v>
      </c>
      <c r="W123" t="str">
        <f>IFERROR(__xludf.DUMMYFUNCTION("""COMPUTED_VALUE"""),"Good")</f>
        <v>Good</v>
      </c>
      <c r="X123" t="str">
        <f>IFERROR(__xludf.DUMMYFUNCTION("""COMPUTED_VALUE"""),"Good")</f>
        <v>Good</v>
      </c>
      <c r="Y123" t="str">
        <f>IFERROR(__xludf.DUMMYFUNCTION("""COMPUTED_VALUE"""),"Good")</f>
        <v>Good</v>
      </c>
      <c r="Z123" t="str">
        <f>IFERROR(__xludf.DUMMYFUNCTION("""COMPUTED_VALUE"""),"Good")</f>
        <v>Good</v>
      </c>
      <c r="AA123" t="str">
        <f>IFERROR(__xludf.DUMMYFUNCTION("""COMPUTED_VALUE"""),"Good")</f>
        <v>Good</v>
      </c>
      <c r="AB123" t="str">
        <f>IFERROR(__xludf.DUMMYFUNCTION("""COMPUTED_VALUE"""),"Good")</f>
        <v>Good</v>
      </c>
      <c r="AC123" t="str">
        <f>IFERROR(__xludf.DUMMYFUNCTION("""COMPUTED_VALUE"""),"Good")</f>
        <v>Good</v>
      </c>
      <c r="AE123" s="11"/>
      <c r="AF123" t="s">
        <v>218</v>
      </c>
      <c r="AG123" s="17" t="s">
        <v>18</v>
      </c>
      <c r="AH123" s="12">
        <v>1449.0</v>
      </c>
      <c r="AI123" s="12" t="s">
        <v>313</v>
      </c>
      <c r="AJ123" s="19" t="s">
        <v>314</v>
      </c>
      <c r="AK123" s="20" t="str">
        <f>HYPERLINK("https://docs.google.com/document/d/1c5DkI6jJ5VBQm3EWgcA563cNGIBizGgTtaIKGIJ2dE8/edit?usp=drivesdk","Pamela Marcum - 8/8/2018 9:00 AM")</f>
        <v>Pamela Marcum - 8/8/2018 9:00 AM</v>
      </c>
      <c r="AL123" s="12" t="s">
        <v>315</v>
      </c>
    </row>
    <row r="124">
      <c r="A124" s="10">
        <f>IFERROR(__xludf.DUMMYFUNCTION("""COMPUTED_VALUE"""),43322.35431465278)</f>
        <v>43322.35431</v>
      </c>
      <c r="B124" s="11" t="str">
        <f>IFERROR(__xludf.DUMMYFUNCTION("""COMPUTED_VALUE"""),"Silas Tanner")</f>
        <v>Silas Tanner</v>
      </c>
      <c r="C124" t="str">
        <f>IFERROR(__xludf.DUMMYFUNCTION("""COMPUTED_VALUE"""),"Silas.tanner@floridadep.gov")</f>
        <v>Silas.tanner@floridadep.gov</v>
      </c>
      <c r="D124" t="str">
        <f>IFERROR(__xludf.DUMMYFUNCTION("""COMPUTED_VALUE"""),"Research/Nikki")</f>
        <v>Research/Nikki</v>
      </c>
      <c r="E124" t="str">
        <f>IFERROR(__xludf.DUMMYFUNCTION("""COMPUTED_VALUE"""),"Bing's")</f>
        <v>Bing's</v>
      </c>
      <c r="F124" s="13">
        <f>IFERROR(__xludf.DUMMYFUNCTION("""COMPUTED_VALUE"""),0.4375)</f>
        <v>0.4375</v>
      </c>
      <c r="G124" s="14">
        <f>IFERROR(__xludf.DUMMYFUNCTION("""COMPUTED_VALUE"""),43322.0)</f>
        <v>43322</v>
      </c>
      <c r="H124" t="str">
        <f>IFERROR(__xludf.DUMMYFUNCTION("""COMPUTED_VALUE"""),"ICW - Rattlesnake Is. to Bing's")</f>
        <v>ICW - Rattlesnake Is. to Bing's</v>
      </c>
      <c r="I124" s="15">
        <f>IFERROR(__xludf.DUMMYFUNCTION("""COMPUTED_VALUE"""),0.5416666666678793)</f>
        <v>0.5416666667</v>
      </c>
      <c r="J124" s="16">
        <f>IFERROR(__xludf.DUMMYFUNCTION("""COMPUTED_VALUE"""),43322.625)</f>
        <v>43322.625</v>
      </c>
      <c r="K124" t="str">
        <f>IFERROR(__xludf.DUMMYFUNCTION("""COMPUTED_VALUE"""),"23ft Skiff (Bertha) FL7972LJ DEP07613")</f>
        <v>23ft Skiff (Bertha) FL7972LJ DEP07613</v>
      </c>
      <c r="M124" t="str">
        <f>IFERROR(__xludf.DUMMYFUNCTION("""COMPUTED_VALUE"""),"Ford F250 2017 (Moby Dix) - DEP0021578")</f>
        <v>Ford F250 2017 (Moby Dix) - DEP0021578</v>
      </c>
      <c r="N124" t="str">
        <f>IFERROR(__xludf.DUMMYFUNCTION("""COMPUTED_VALUE"""),"Shannon Dunnigan, (803) 727-5734, Silas Tanner, (904) 483-8423")</f>
        <v>Shannon Dunnigan, (803) 727-5734, Silas Tanner, (904) 483-8423</v>
      </c>
      <c r="O124" t="str">
        <f>IFERROR(__xludf.DUMMYFUNCTION("""COMPUTED_VALUE"""),"Suzi Porterfield, Matt Brown, Westly Woodward")</f>
        <v>Suzi Porterfield, Matt Brown, Westly Woodward</v>
      </c>
      <c r="P124" t="str">
        <f>IFERROR(__xludf.DUMMYFUNCTION("""COMPUTED_VALUE"""),"Shannon Dunnigan")</f>
        <v>Shannon Dunnigan</v>
      </c>
      <c r="Q124" t="str">
        <f>IFERROR(__xludf.DUMMYFUNCTION("""COMPUTED_VALUE"""),"Good")</f>
        <v>Good</v>
      </c>
      <c r="R124" t="str">
        <f>IFERROR(__xludf.DUMMYFUNCTION("""COMPUTED_VALUE"""),"Good")</f>
        <v>Good</v>
      </c>
      <c r="S124" t="str">
        <f>IFERROR(__xludf.DUMMYFUNCTION("""COMPUTED_VALUE"""),"Good")</f>
        <v>Good</v>
      </c>
      <c r="T124" t="str">
        <f>IFERROR(__xludf.DUMMYFUNCTION("""COMPUTED_VALUE"""),"Good")</f>
        <v>Good</v>
      </c>
      <c r="U124" t="str">
        <f>IFERROR(__xludf.DUMMYFUNCTION("""COMPUTED_VALUE"""),"Good")</f>
        <v>Good</v>
      </c>
      <c r="V124" t="str">
        <f>IFERROR(__xludf.DUMMYFUNCTION("""COMPUTED_VALUE"""),"Good")</f>
        <v>Good</v>
      </c>
      <c r="W124" t="str">
        <f>IFERROR(__xludf.DUMMYFUNCTION("""COMPUTED_VALUE"""),"Good")</f>
        <v>Good</v>
      </c>
      <c r="X124" t="str">
        <f>IFERROR(__xludf.DUMMYFUNCTION("""COMPUTED_VALUE"""),"Good")</f>
        <v>Good</v>
      </c>
      <c r="Y124" t="str">
        <f>IFERROR(__xludf.DUMMYFUNCTION("""COMPUTED_VALUE"""),"Good")</f>
        <v>Good</v>
      </c>
      <c r="Z124" t="str">
        <f>IFERROR(__xludf.DUMMYFUNCTION("""COMPUTED_VALUE"""),"Good")</f>
        <v>Good</v>
      </c>
      <c r="AA124" t="str">
        <f>IFERROR(__xludf.DUMMYFUNCTION("""COMPUTED_VALUE"""),"Good")</f>
        <v>Good</v>
      </c>
      <c r="AB124" t="str">
        <f>IFERROR(__xludf.DUMMYFUNCTION("""COMPUTED_VALUE"""),"Good")</f>
        <v>Good</v>
      </c>
      <c r="AC124" t="str">
        <f>IFERROR(__xludf.DUMMYFUNCTION("""COMPUTED_VALUE"""),"Good")</f>
        <v>Good</v>
      </c>
      <c r="AE124" s="11"/>
      <c r="AF124" t="s">
        <v>218</v>
      </c>
      <c r="AG124" s="17" t="s">
        <v>43</v>
      </c>
      <c r="AH124" s="12">
        <v>1250.0</v>
      </c>
      <c r="AI124" s="12" t="s">
        <v>316</v>
      </c>
      <c r="AJ124" s="19" t="s">
        <v>317</v>
      </c>
      <c r="AK124" s="20" t="str">
        <f>HYPERLINK("https://docs.google.com/document/d/17sdCynz09IpAwVH5o8CprezXdWWPeoNhVJw4691Iw8A/edit?usp=drivesdk","Silas Tanner - 8/10/2018 10:30 AM")</f>
        <v>Silas Tanner - 8/10/2018 10:30 AM</v>
      </c>
      <c r="AL124" s="12" t="s">
        <v>318</v>
      </c>
    </row>
    <row r="125">
      <c r="A125" s="10">
        <f>IFERROR(__xludf.DUMMYFUNCTION("""COMPUTED_VALUE"""),43323.54032908564)</f>
        <v>43323.54033</v>
      </c>
      <c r="B125" s="11" t="str">
        <f>IFERROR(__xludf.DUMMYFUNCTION("""COMPUTED_VALUE"""),"James Tomazinis ")</f>
        <v>James Tomazinis </v>
      </c>
      <c r="C125" t="str">
        <f>IFERROR(__xludf.DUMMYFUNCTION("""COMPUTED_VALUE"""),"james.tomazinis@floridadep.gov")</f>
        <v>james.tomazinis@floridadep.gov</v>
      </c>
      <c r="D125" t="str">
        <f>IFERROR(__xludf.DUMMYFUNCTION("""COMPUTED_VALUE"""),"Stewardship (Aquatic)")</f>
        <v>Stewardship (Aquatic)</v>
      </c>
      <c r="E125" t="str">
        <f>IFERROR(__xludf.DUMMYFUNCTION("""COMPUTED_VALUE"""),"Palatka City Ramp")</f>
        <v>Palatka City Ramp</v>
      </c>
      <c r="F125" s="13">
        <f>IFERROR(__xludf.DUMMYFUNCTION("""COMPUTED_VALUE"""),0.5416666666678793)</f>
        <v>0.5416666667</v>
      </c>
      <c r="G125" s="14">
        <f>IFERROR(__xludf.DUMMYFUNCTION("""COMPUTED_VALUE"""),43323.0)</f>
        <v>43323</v>
      </c>
      <c r="H125" t="str">
        <f>IFERROR(__xludf.DUMMYFUNCTION("""COMPUTED_VALUE"""),"St. John's River near Palatka")</f>
        <v>St. John's River near Palatka</v>
      </c>
      <c r="I125" s="15">
        <f>IFERROR(__xludf.DUMMYFUNCTION("""COMPUTED_VALUE"""),0.7083333333321207)</f>
        <v>0.7083333333</v>
      </c>
      <c r="J125" s="16"/>
      <c r="K125" t="str">
        <f>IFERROR(__xludf.DUMMYFUNCTION("""COMPUTED_VALUE"""),"17ft Skill FL0642GW DEP07239")</f>
        <v>17ft Skill FL0642GW DEP07239</v>
      </c>
      <c r="M125" t="str">
        <f>IFERROR(__xludf.DUMMYFUNCTION("""COMPUTED_VALUE"""),"Ford F150 2015 (White) - DEP21448")</f>
        <v>Ford F150 2015 (White) - DEP21448</v>
      </c>
      <c r="N125" t="str">
        <f>IFERROR(__xludf.DUMMYFUNCTION("""COMPUTED_VALUE"""),"Jimmy Tomazinis, (904) 547-0094")</f>
        <v>Jimmy Tomazinis, (904) 547-0094</v>
      </c>
      <c r="P125" t="str">
        <f>IFERROR(__xludf.DUMMYFUNCTION("""COMPUTED_VALUE"""),"Jimmy")</f>
        <v>Jimmy</v>
      </c>
      <c r="Q125" t="str">
        <f>IFERROR(__xludf.DUMMYFUNCTION("""COMPUTED_VALUE"""),"Good")</f>
        <v>Good</v>
      </c>
      <c r="R125" t="str">
        <f>IFERROR(__xludf.DUMMYFUNCTION("""COMPUTED_VALUE"""),"Good")</f>
        <v>Good</v>
      </c>
      <c r="S125" t="str">
        <f>IFERROR(__xludf.DUMMYFUNCTION("""COMPUTED_VALUE"""),"Good")</f>
        <v>Good</v>
      </c>
      <c r="T125" t="str">
        <f>IFERROR(__xludf.DUMMYFUNCTION("""COMPUTED_VALUE"""),"Good")</f>
        <v>Good</v>
      </c>
      <c r="U125" t="str">
        <f>IFERROR(__xludf.DUMMYFUNCTION("""COMPUTED_VALUE"""),"Good")</f>
        <v>Good</v>
      </c>
      <c r="V125" t="str">
        <f>IFERROR(__xludf.DUMMYFUNCTION("""COMPUTED_VALUE"""),"Good")</f>
        <v>Good</v>
      </c>
      <c r="W125" t="str">
        <f>IFERROR(__xludf.DUMMYFUNCTION("""COMPUTED_VALUE"""),"Good")</f>
        <v>Good</v>
      </c>
      <c r="X125" t="str">
        <f>IFERROR(__xludf.DUMMYFUNCTION("""COMPUTED_VALUE"""),"Good")</f>
        <v>Good</v>
      </c>
      <c r="Y125" t="str">
        <f>IFERROR(__xludf.DUMMYFUNCTION("""COMPUTED_VALUE"""),"Good")</f>
        <v>Good</v>
      </c>
      <c r="Z125" t="str">
        <f>IFERROR(__xludf.DUMMYFUNCTION("""COMPUTED_VALUE"""),"Good")</f>
        <v>Good</v>
      </c>
      <c r="AA125" t="str">
        <f>IFERROR(__xludf.DUMMYFUNCTION("""COMPUTED_VALUE"""),"Good")</f>
        <v>Good</v>
      </c>
      <c r="AB125" t="str">
        <f>IFERROR(__xludf.DUMMYFUNCTION("""COMPUTED_VALUE"""),"Good")</f>
        <v>Good</v>
      </c>
      <c r="AC125" t="str">
        <f>IFERROR(__xludf.DUMMYFUNCTION("""COMPUTED_VALUE"""),"Good")</f>
        <v>Good</v>
      </c>
      <c r="AE125" s="11"/>
      <c r="AF125" t="s">
        <v>32</v>
      </c>
      <c r="AG125" s="17" t="s">
        <v>22</v>
      </c>
      <c r="AH125" s="12">
        <v>1531.0</v>
      </c>
      <c r="AI125" s="12" t="s">
        <v>319</v>
      </c>
      <c r="AJ125" s="19" t="s">
        <v>320</v>
      </c>
      <c r="AK125" s="20" t="str">
        <f>HYPERLINK("https://docs.google.com/document/d/1ewslJEYMYiLWpQVfKwKUIdB5aER5uzJ2SHLwyC5bnho/edit?usp=drivesdk","James Tomazinis  - 8/11/2018 1:00 PM")</f>
        <v>James Tomazinis  - 8/11/2018 1:00 PM</v>
      </c>
      <c r="AL125" s="12" t="s">
        <v>321</v>
      </c>
    </row>
    <row r="126">
      <c r="A126" s="10">
        <f>IFERROR(__xludf.DUMMYFUNCTION("""COMPUTED_VALUE"""),43326.45093533564)</f>
        <v>43326.45094</v>
      </c>
      <c r="B126" s="11" t="str">
        <f>IFERROR(__xludf.DUMMYFUNCTION("""COMPUTED_VALUE"""),"Kenneth Rainer")</f>
        <v>Kenneth Rainer</v>
      </c>
      <c r="C126" t="str">
        <f>IFERROR(__xludf.DUMMYFUNCTION("""COMPUTED_VALUE"""),"Kenneth.Rainer@dep.state.fl.us")</f>
        <v>Kenneth.Rainer@dep.state.fl.us</v>
      </c>
      <c r="D126" t="str">
        <f>IFERROR(__xludf.DUMMYFUNCTION("""COMPUTED_VALUE"""),"Education")</f>
        <v>Education</v>
      </c>
      <c r="E126" t="str">
        <f>IFERROR(__xludf.DUMMYFUNCTION("""COMPUTED_VALUE"""),"Usina Boat Ramp")</f>
        <v>Usina Boat Ramp</v>
      </c>
      <c r="F126" s="13">
        <f>IFERROR(__xludf.DUMMYFUNCTION("""COMPUTED_VALUE"""),0.5416666666678793)</f>
        <v>0.5416666667</v>
      </c>
      <c r="G126" s="14">
        <f>IFERROR(__xludf.DUMMYFUNCTION("""COMPUTED_VALUE"""),43326.0)</f>
        <v>43326</v>
      </c>
      <c r="H126" t="str">
        <f>IFERROR(__xludf.DUMMYFUNCTION("""COMPUTED_VALUE"""),"Northern Component")</f>
        <v>Northern Component</v>
      </c>
      <c r="I126" s="15">
        <f>IFERROR(__xludf.DUMMYFUNCTION("""COMPUTED_VALUE"""),0.6666666666678793)</f>
        <v>0.6666666667</v>
      </c>
      <c r="J126" s="16">
        <f>IFERROR(__xludf.DUMMYFUNCTION("""COMPUTED_VALUE"""),43326.6875)</f>
        <v>43326.6875</v>
      </c>
      <c r="K126" t="str">
        <f>IFERROR(__xludf.DUMMYFUNCTION("""COMPUTED_VALUE"""),"23ft Skiff (Bertha) FL7972LJ DEP07613")</f>
        <v>23ft Skiff (Bertha) FL7972LJ DEP07613</v>
      </c>
      <c r="M126" t="str">
        <f>IFERROR(__xludf.DUMMYFUNCTION("""COMPUTED_VALUE"""),"Ford F250 2017 (Moby Dix) - DEP0021578")</f>
        <v>Ford F250 2017 (Moby Dix) - DEP0021578</v>
      </c>
      <c r="N126" t="str">
        <f>IFERROR(__xludf.DUMMYFUNCTION("""COMPUTED_VALUE"""),"Kenneth Rainer, (936) 499-1853")</f>
        <v>Kenneth Rainer, (936) 499-1853</v>
      </c>
      <c r="O126" t="str">
        <f>IFERROR(__xludf.DUMMYFUNCTION("""COMPUTED_VALUE"""),"Master Naturalist Coastal Restoration Class")</f>
        <v>Master Naturalist Coastal Restoration Class</v>
      </c>
      <c r="P126" t="str">
        <f>IFERROR(__xludf.DUMMYFUNCTION("""COMPUTED_VALUE"""),"Kenneth Rainer")</f>
        <v>Kenneth Rainer</v>
      </c>
      <c r="Q126" t="str">
        <f>IFERROR(__xludf.DUMMYFUNCTION("""COMPUTED_VALUE"""),"Good")</f>
        <v>Good</v>
      </c>
      <c r="R126" t="str">
        <f>IFERROR(__xludf.DUMMYFUNCTION("""COMPUTED_VALUE"""),"Good")</f>
        <v>Good</v>
      </c>
      <c r="S126" t="str">
        <f>IFERROR(__xludf.DUMMYFUNCTION("""COMPUTED_VALUE"""),"Good")</f>
        <v>Good</v>
      </c>
      <c r="T126" t="str">
        <f>IFERROR(__xludf.DUMMYFUNCTION("""COMPUTED_VALUE"""),"Good")</f>
        <v>Good</v>
      </c>
      <c r="U126" t="str">
        <f>IFERROR(__xludf.DUMMYFUNCTION("""COMPUTED_VALUE"""),"Good")</f>
        <v>Good</v>
      </c>
      <c r="V126" t="str">
        <f>IFERROR(__xludf.DUMMYFUNCTION("""COMPUTED_VALUE"""),"Good")</f>
        <v>Good</v>
      </c>
      <c r="W126" t="str">
        <f>IFERROR(__xludf.DUMMYFUNCTION("""COMPUTED_VALUE"""),"Good")</f>
        <v>Good</v>
      </c>
      <c r="X126" t="str">
        <f>IFERROR(__xludf.DUMMYFUNCTION("""COMPUTED_VALUE"""),"Good")</f>
        <v>Good</v>
      </c>
      <c r="Y126" t="str">
        <f>IFERROR(__xludf.DUMMYFUNCTION("""COMPUTED_VALUE"""),"Good")</f>
        <v>Good</v>
      </c>
      <c r="Z126" t="str">
        <f>IFERROR(__xludf.DUMMYFUNCTION("""COMPUTED_VALUE"""),"Good")</f>
        <v>Good</v>
      </c>
      <c r="AA126" t="str">
        <f>IFERROR(__xludf.DUMMYFUNCTION("""COMPUTED_VALUE"""),"Good")</f>
        <v>Good</v>
      </c>
      <c r="AB126" t="str">
        <f>IFERROR(__xludf.DUMMYFUNCTION("""COMPUTED_VALUE"""),"Good")</f>
        <v>Good</v>
      </c>
      <c r="AC126" t="str">
        <f>IFERROR(__xludf.DUMMYFUNCTION("""COMPUTED_VALUE"""),"Good")</f>
        <v>Good</v>
      </c>
      <c r="AD126" t="str">
        <f>IFERROR(__xludf.DUMMYFUNCTION("""COMPUTED_VALUE"""),"Partly cloudy with afternoon showers or thunderstorms. High 87F. Winds SSE at 10 to 15 mph. Chance of rain 40%.")</f>
        <v>Partly cloudy with afternoon showers or thunderstorms. High 87F. Winds SSE at 10 to 15 mph. Chance of rain 40%.</v>
      </c>
      <c r="AE126" s="11" t="str">
        <f>IFERROR(__xludf.DUMMYFUNCTION("""COMPUTED_VALUE"""),"11:46 AM, 5.39ft, H; 5:50 PM, 0.11ft, L")</f>
        <v>11:46 AM, 5.39ft, H; 5:50 PM, 0.11ft, L</v>
      </c>
      <c r="AF126" t="s">
        <v>9</v>
      </c>
      <c r="AG126" s="17" t="s">
        <v>18</v>
      </c>
      <c r="AH126" s="12">
        <v>1440.0</v>
      </c>
      <c r="AI126" s="12" t="s">
        <v>322</v>
      </c>
      <c r="AJ126" s="19" t="s">
        <v>323</v>
      </c>
      <c r="AK126" s="20" t="str">
        <f>HYPERLINK("https://docs.google.com/document/d/1UoUokpEmpx5df0h6r4uANvSRcZZUW8I676NwUPCYPfg/edit?usp=drivesdk","Kenneth Rainer - 8/14/2018 1:00 PM")</f>
        <v>Kenneth Rainer - 8/14/2018 1:00 PM</v>
      </c>
      <c r="AL126" s="12" t="s">
        <v>324</v>
      </c>
    </row>
    <row r="127">
      <c r="A127" s="10">
        <f>IFERROR(__xludf.DUMMYFUNCTION("""COMPUTED_VALUE"""),43326.49895987269)</f>
        <v>43326.49896</v>
      </c>
      <c r="B127" s="11" t="str">
        <f>IFERROR(__xludf.DUMMYFUNCTION("""COMPUTED_VALUE"""),"Jimmy Tomazinis")</f>
        <v>Jimmy Tomazinis</v>
      </c>
      <c r="C127" t="str">
        <f>IFERROR(__xludf.DUMMYFUNCTION("""COMPUTED_VALUE"""),"James.Tomazinis@floridadep.gov")</f>
        <v>James.Tomazinis@floridadep.gov</v>
      </c>
      <c r="D127" t="str">
        <f>IFERROR(__xludf.DUMMYFUNCTION("""COMPUTED_VALUE"""),"Stewardship (Aquatic)")</f>
        <v>Stewardship (Aquatic)</v>
      </c>
      <c r="E127" t="str">
        <f>IFERROR(__xludf.DUMMYFUNCTION("""COMPUTED_VALUE"""),"Aunt Kates")</f>
        <v>Aunt Kates</v>
      </c>
      <c r="F127" s="13">
        <f>IFERROR(__xludf.DUMMYFUNCTION("""COMPUTED_VALUE"""),0.5416666666678793)</f>
        <v>0.5416666667</v>
      </c>
      <c r="G127" s="14">
        <f>IFERROR(__xludf.DUMMYFUNCTION("""COMPUTED_VALUE"""),43326.0)</f>
        <v>43326</v>
      </c>
      <c r="H127" t="str">
        <f>IFERROR(__xludf.DUMMYFUNCTION("""COMPUTED_VALUE"""),"ICW (with Kenneth)")</f>
        <v>ICW (with Kenneth)</v>
      </c>
      <c r="I127" s="15">
        <f>IFERROR(__xludf.DUMMYFUNCTION("""COMPUTED_VALUE"""),0.6875)</f>
        <v>0.6875</v>
      </c>
      <c r="J127" s="16">
        <f>IFERROR(__xludf.DUMMYFUNCTION("""COMPUTED_VALUE"""),43326.70833333333)</f>
        <v>43326.70833</v>
      </c>
      <c r="K127" t="str">
        <f>IFERROR(__xludf.DUMMYFUNCTION("""COMPUTED_VALUE"""),"F 20ft Sea Ark (Easy 200) FL8534PY DEP21451")</f>
        <v>F 20ft Sea Ark (Easy 200) FL8534PY DEP21451</v>
      </c>
      <c r="M127" t="str">
        <f>IFERROR(__xludf.DUMMYFUNCTION("""COMPUTED_VALUE"""),"Ford F150 2015 (White) - DEP21448")</f>
        <v>Ford F150 2015 (White) - DEP21448</v>
      </c>
      <c r="N127" t="str">
        <f>IFERROR(__xludf.DUMMYFUNCTION("""COMPUTED_VALUE"""),"Jimmy Tomazinis, (904) 547-0094")</f>
        <v>Jimmy Tomazinis, (904) 547-0094</v>
      </c>
      <c r="O127" t="str">
        <f>IFERROR(__xludf.DUMMYFUNCTION("""COMPUTED_VALUE"""),"Florida Master Naturalist Course")</f>
        <v>Florida Master Naturalist Course</v>
      </c>
      <c r="P127" t="str">
        <f>IFERROR(__xludf.DUMMYFUNCTION("""COMPUTED_VALUE"""),"Jimmy Tomazinis")</f>
        <v>Jimmy Tomazinis</v>
      </c>
      <c r="Q127" t="str">
        <f>IFERROR(__xludf.DUMMYFUNCTION("""COMPUTED_VALUE"""),"Good")</f>
        <v>Good</v>
      </c>
      <c r="R127" t="str">
        <f>IFERROR(__xludf.DUMMYFUNCTION("""COMPUTED_VALUE"""),"Good")</f>
        <v>Good</v>
      </c>
      <c r="S127" t="str">
        <f>IFERROR(__xludf.DUMMYFUNCTION("""COMPUTED_VALUE"""),"Good")</f>
        <v>Good</v>
      </c>
      <c r="T127" t="str">
        <f>IFERROR(__xludf.DUMMYFUNCTION("""COMPUTED_VALUE"""),"Good")</f>
        <v>Good</v>
      </c>
      <c r="U127" t="str">
        <f>IFERROR(__xludf.DUMMYFUNCTION("""COMPUTED_VALUE"""),"Good")</f>
        <v>Good</v>
      </c>
      <c r="V127" t="str">
        <f>IFERROR(__xludf.DUMMYFUNCTION("""COMPUTED_VALUE"""),"Good")</f>
        <v>Good</v>
      </c>
      <c r="W127" t="str">
        <f>IFERROR(__xludf.DUMMYFUNCTION("""COMPUTED_VALUE"""),"Good")</f>
        <v>Good</v>
      </c>
      <c r="X127" t="str">
        <f>IFERROR(__xludf.DUMMYFUNCTION("""COMPUTED_VALUE"""),"Good")</f>
        <v>Good</v>
      </c>
      <c r="Y127" t="str">
        <f>IFERROR(__xludf.DUMMYFUNCTION("""COMPUTED_VALUE"""),"Good")</f>
        <v>Good</v>
      </c>
      <c r="Z127" t="str">
        <f>IFERROR(__xludf.DUMMYFUNCTION("""COMPUTED_VALUE"""),"Good")</f>
        <v>Good</v>
      </c>
      <c r="AA127" t="str">
        <f>IFERROR(__xludf.DUMMYFUNCTION("""COMPUTED_VALUE"""),"Good")</f>
        <v>Good</v>
      </c>
      <c r="AB127" t="str">
        <f>IFERROR(__xludf.DUMMYFUNCTION("""COMPUTED_VALUE"""),"Good")</f>
        <v>Good</v>
      </c>
      <c r="AC127" t="str">
        <f>IFERROR(__xludf.DUMMYFUNCTION("""COMPUTED_VALUE"""),"Good")</f>
        <v>Good</v>
      </c>
      <c r="AE127" s="11"/>
      <c r="AF127" t="s">
        <v>32</v>
      </c>
      <c r="AG127" s="17" t="s">
        <v>18</v>
      </c>
      <c r="AH127" s="12">
        <v>1440.0</v>
      </c>
      <c r="AI127" s="12" t="s">
        <v>325</v>
      </c>
      <c r="AJ127" s="19" t="s">
        <v>326</v>
      </c>
      <c r="AK127" s="20" t="str">
        <f>HYPERLINK("https://docs.google.com/document/d/1Zr-dHoYFPh8hWNtbTV1mMdu01l2o95lPBKDPC730sdw/edit?usp=drivesdk","Jimmy Tomazinis - 8/14/2018 1:00 PM")</f>
        <v>Jimmy Tomazinis - 8/14/2018 1:00 PM</v>
      </c>
      <c r="AL127" s="12" t="s">
        <v>327</v>
      </c>
    </row>
    <row r="128">
      <c r="A128" s="10">
        <f>IFERROR(__xludf.DUMMYFUNCTION("""COMPUTED_VALUE"""),43327.41478663195)</f>
        <v>43327.41479</v>
      </c>
      <c r="B128" s="11" t="str">
        <f>IFERROR(__xludf.DUMMYFUNCTION("""COMPUTED_VALUE"""),"Ben Mowbray")</f>
        <v>Ben Mowbray</v>
      </c>
      <c r="C128" t="str">
        <f>IFERROR(__xludf.DUMMYFUNCTION("""COMPUTED_VALUE"""),"ben.mowbray@dep.state.fl.us")</f>
        <v>ben.mowbray@dep.state.fl.us</v>
      </c>
      <c r="D128" t="str">
        <f>IFERROR(__xludf.DUMMYFUNCTION("""COMPUTED_VALUE"""),"Research/Nikki")</f>
        <v>Research/Nikki</v>
      </c>
      <c r="E128" t="str">
        <f>IFERROR(__xludf.DUMMYFUNCTION("""COMPUTED_VALUE"""),"Bing's")</f>
        <v>Bing's</v>
      </c>
      <c r="F128" s="13">
        <f>IFERROR(__xludf.DUMMYFUNCTION("""COMPUTED_VALUE"""),0.5416666666678793)</f>
        <v>0.5416666667</v>
      </c>
      <c r="G128" s="14">
        <f>IFERROR(__xludf.DUMMYFUNCTION("""COMPUTED_VALUE"""),43327.0)</f>
        <v>43327</v>
      </c>
      <c r="H128" t="str">
        <f>IFERROR(__xludf.DUMMYFUNCTION("""COMPUTED_VALUE"""),"Training exercises")</f>
        <v>Training exercises</v>
      </c>
      <c r="I128" s="15">
        <f>IFERROR(__xludf.DUMMYFUNCTION("""COMPUTED_VALUE"""),0.625)</f>
        <v>0.625</v>
      </c>
      <c r="J128" s="16">
        <f>IFERROR(__xludf.DUMMYFUNCTION("""COMPUTED_VALUE"""),43327.66666666667)</f>
        <v>43327.66667</v>
      </c>
      <c r="K128" t="str">
        <f>IFERROR(__xludf.DUMMYFUNCTION("""COMPUTED_VALUE"""),"23ft Skiff (Bertha) FL7972LJ DEP07613")</f>
        <v>23ft Skiff (Bertha) FL7972LJ DEP07613</v>
      </c>
      <c r="M128" t="str">
        <f>IFERROR(__xludf.DUMMYFUNCTION("""COMPUTED_VALUE"""),"Ford F250 2017 (Moby Dix) - DEP0021578")</f>
        <v>Ford F250 2017 (Moby Dix) - DEP0021578</v>
      </c>
      <c r="N128" t="str">
        <f>IFERROR(__xludf.DUMMYFUNCTION("""COMPUTED_VALUE"""),"Pam Marcum, (480) 332-5414, Ben Mowbray, (407) 962-8782")</f>
        <v>Pam Marcum, (480) 332-5414, Ben Mowbray, (407) 962-8782</v>
      </c>
      <c r="P128" t="str">
        <f>IFERROR(__xludf.DUMMYFUNCTION("""COMPUTED_VALUE"""),"Ben")</f>
        <v>Ben</v>
      </c>
      <c r="Q128" t="str">
        <f>IFERROR(__xludf.DUMMYFUNCTION("""COMPUTED_VALUE"""),"Good")</f>
        <v>Good</v>
      </c>
      <c r="R128" t="str">
        <f>IFERROR(__xludf.DUMMYFUNCTION("""COMPUTED_VALUE"""),"Good")</f>
        <v>Good</v>
      </c>
      <c r="S128" t="str">
        <f>IFERROR(__xludf.DUMMYFUNCTION("""COMPUTED_VALUE"""),"Good")</f>
        <v>Good</v>
      </c>
      <c r="T128" t="str">
        <f>IFERROR(__xludf.DUMMYFUNCTION("""COMPUTED_VALUE"""),"Good")</f>
        <v>Good</v>
      </c>
      <c r="U128" t="str">
        <f>IFERROR(__xludf.DUMMYFUNCTION("""COMPUTED_VALUE"""),"Good")</f>
        <v>Good</v>
      </c>
      <c r="V128" t="str">
        <f>IFERROR(__xludf.DUMMYFUNCTION("""COMPUTED_VALUE"""),"Good")</f>
        <v>Good</v>
      </c>
      <c r="W128" t="str">
        <f>IFERROR(__xludf.DUMMYFUNCTION("""COMPUTED_VALUE"""),"Good")</f>
        <v>Good</v>
      </c>
      <c r="X128" t="str">
        <f>IFERROR(__xludf.DUMMYFUNCTION("""COMPUTED_VALUE"""),"Good")</f>
        <v>Good</v>
      </c>
      <c r="Y128" t="str">
        <f>IFERROR(__xludf.DUMMYFUNCTION("""COMPUTED_VALUE"""),"Good")</f>
        <v>Good</v>
      </c>
      <c r="Z128" t="str">
        <f>IFERROR(__xludf.DUMMYFUNCTION("""COMPUTED_VALUE"""),"Good")</f>
        <v>Good</v>
      </c>
      <c r="AA128" t="str">
        <f>IFERROR(__xludf.DUMMYFUNCTION("""COMPUTED_VALUE"""),"Good")</f>
        <v>Good</v>
      </c>
      <c r="AB128" t="str">
        <f>IFERROR(__xludf.DUMMYFUNCTION("""COMPUTED_VALUE"""),"Good")</f>
        <v>Good</v>
      </c>
      <c r="AC128" t="str">
        <f>IFERROR(__xludf.DUMMYFUNCTION("""COMPUTED_VALUE"""),"Good")</f>
        <v>Good</v>
      </c>
      <c r="AE128" s="11"/>
      <c r="AF128" t="s">
        <v>218</v>
      </c>
      <c r="AG128" s="17" t="s">
        <v>43</v>
      </c>
      <c r="AH128" s="12">
        <v>1756.0</v>
      </c>
      <c r="AI128" s="12" t="s">
        <v>328</v>
      </c>
      <c r="AJ128" s="19" t="s">
        <v>329</v>
      </c>
      <c r="AK128" s="20" t="str">
        <f>HYPERLINK("https://docs.google.com/document/d/1ERbNqlmZ7cO96gpNW3hInnDf7lFEo276aaUSKUXyTaw/edit?usp=drivesdk","Ben Mowbray - 8/15/2018 1:00 PM")</f>
        <v>Ben Mowbray - 8/15/2018 1:00 PM</v>
      </c>
      <c r="AL128" s="12" t="s">
        <v>330</v>
      </c>
    </row>
    <row r="129">
      <c r="A129" s="10">
        <f>IFERROR(__xludf.DUMMYFUNCTION("""COMPUTED_VALUE"""),43329.47656545139)</f>
        <v>43329.47657</v>
      </c>
      <c r="B129" s="11" t="str">
        <f>IFERROR(__xludf.DUMMYFUNCTION("""COMPUTED_VALUE"""),"Ben Mowbray")</f>
        <v>Ben Mowbray</v>
      </c>
      <c r="C129" t="str">
        <f>IFERROR(__xludf.DUMMYFUNCTION("""COMPUTED_VALUE"""),"ben.mowbray@dep.state.fl.us")</f>
        <v>ben.mowbray@dep.state.fl.us</v>
      </c>
      <c r="D129" t="str">
        <f>IFERROR(__xludf.DUMMYFUNCTION("""COMPUTED_VALUE"""),"Research/Nikki")</f>
        <v>Research/Nikki</v>
      </c>
      <c r="E129" t="str">
        <f>IFERROR(__xludf.DUMMYFUNCTION("""COMPUTED_VALUE"""),"Aunt Kate's")</f>
        <v>Aunt Kate's</v>
      </c>
      <c r="F129" s="13">
        <f>IFERROR(__xludf.DUMMYFUNCTION("""COMPUTED_VALUE"""),0.34722222222262644)</f>
        <v>0.3472222222</v>
      </c>
      <c r="G129" s="14">
        <f>IFERROR(__xludf.DUMMYFUNCTION("""COMPUTED_VALUE"""),43332.0)</f>
        <v>43332</v>
      </c>
      <c r="H129" t="str">
        <f>IFERROR(__xludf.DUMMYFUNCTION("""COMPUTED_VALUE"""),"Robinson Creek oyster reefs")</f>
        <v>Robinson Creek oyster reefs</v>
      </c>
      <c r="I129" s="15">
        <f>IFERROR(__xludf.DUMMYFUNCTION("""COMPUTED_VALUE"""),0.6388888888905058)</f>
        <v>0.6388888889</v>
      </c>
      <c r="J129" s="16">
        <f>IFERROR(__xludf.DUMMYFUNCTION("""COMPUTED_VALUE"""),43332.65277777778)</f>
        <v>43332.65278</v>
      </c>
      <c r="K129" t="str">
        <f>IFERROR(__xludf.DUMMYFUNCTION("""COMPUTED_VALUE"""),"20ft Sea Ark FL5351SJ UNF 2015")</f>
        <v>20ft Sea Ark FL5351SJ UNF 2015</v>
      </c>
      <c r="M129" t="str">
        <f>IFERROR(__xludf.DUMMYFUNCTION("""COMPUTED_VALUE"""),"Ford F250 2017 (Moby Dix) - DEP0021578")</f>
        <v>Ford F250 2017 (Moby Dix) - DEP0021578</v>
      </c>
      <c r="N129" t="str">
        <f>IFERROR(__xludf.DUMMYFUNCTION("""COMPUTED_VALUE"""),"Pam Marcum, (480) 332-5414, Ben Mowbray, (407) 962-8782")</f>
        <v>Pam Marcum, (480) 332-5414, Ben Mowbray, (407) 962-8782</v>
      </c>
      <c r="O129" t="str">
        <f>IFERROR(__xludf.DUMMYFUNCTION("""COMPUTED_VALUE"""),"four volunteers")</f>
        <v>four volunteers</v>
      </c>
      <c r="P129" t="str">
        <f>IFERROR(__xludf.DUMMYFUNCTION("""COMPUTED_VALUE"""),"Ben")</f>
        <v>Ben</v>
      </c>
      <c r="Q129" t="str">
        <f>IFERROR(__xludf.DUMMYFUNCTION("""COMPUTED_VALUE"""),"Good")</f>
        <v>Good</v>
      </c>
      <c r="R129" t="str">
        <f>IFERROR(__xludf.DUMMYFUNCTION("""COMPUTED_VALUE"""),"Good")</f>
        <v>Good</v>
      </c>
      <c r="S129" t="str">
        <f>IFERROR(__xludf.DUMMYFUNCTION("""COMPUTED_VALUE"""),"Good")</f>
        <v>Good</v>
      </c>
      <c r="T129" t="str">
        <f>IFERROR(__xludf.DUMMYFUNCTION("""COMPUTED_VALUE"""),"Good")</f>
        <v>Good</v>
      </c>
      <c r="U129" t="str">
        <f>IFERROR(__xludf.DUMMYFUNCTION("""COMPUTED_VALUE"""),"Good")</f>
        <v>Good</v>
      </c>
      <c r="V129" t="str">
        <f>IFERROR(__xludf.DUMMYFUNCTION("""COMPUTED_VALUE"""),"Good")</f>
        <v>Good</v>
      </c>
      <c r="W129" t="str">
        <f>IFERROR(__xludf.DUMMYFUNCTION("""COMPUTED_VALUE"""),"Good")</f>
        <v>Good</v>
      </c>
      <c r="X129" t="str">
        <f>IFERROR(__xludf.DUMMYFUNCTION("""COMPUTED_VALUE"""),"Good")</f>
        <v>Good</v>
      </c>
      <c r="Y129" t="str">
        <f>IFERROR(__xludf.DUMMYFUNCTION("""COMPUTED_VALUE"""),"Good")</f>
        <v>Good</v>
      </c>
      <c r="Z129" t="str">
        <f>IFERROR(__xludf.DUMMYFUNCTION("""COMPUTED_VALUE"""),"Good")</f>
        <v>Good</v>
      </c>
      <c r="AA129" t="str">
        <f>IFERROR(__xludf.DUMMYFUNCTION("""COMPUTED_VALUE"""),"Good")</f>
        <v>Good</v>
      </c>
      <c r="AB129" t="str">
        <f>IFERROR(__xludf.DUMMYFUNCTION("""COMPUTED_VALUE"""),"Good")</f>
        <v>Good</v>
      </c>
      <c r="AC129" t="str">
        <f>IFERROR(__xludf.DUMMYFUNCTION("""COMPUTED_VALUE"""),"Good")</f>
        <v>Good</v>
      </c>
      <c r="AE129" s="11"/>
      <c r="AF129" t="s">
        <v>218</v>
      </c>
      <c r="AG129" s="17" t="s">
        <v>18</v>
      </c>
      <c r="AH129" s="12">
        <v>1325.0</v>
      </c>
      <c r="AI129" s="12" t="s">
        <v>331</v>
      </c>
      <c r="AJ129" s="19" t="s">
        <v>332</v>
      </c>
      <c r="AK129" s="20" t="str">
        <f>HYPERLINK("https://docs.google.com/document/d/1Xqh3FggsY2bltRwZowLuBS6_e56PQHzyI4rVU95A2Zg/edit?usp=drivesdk","Ben Mowbray - 8/20/2018 8:20 AM")</f>
        <v>Ben Mowbray - 8/20/2018 8:20 AM</v>
      </c>
      <c r="AL129" s="12" t="s">
        <v>333</v>
      </c>
    </row>
    <row r="130">
      <c r="A130" s="10">
        <f>IFERROR(__xludf.DUMMYFUNCTION("""COMPUTED_VALUE"""),43332.356024120374)</f>
        <v>43332.35602</v>
      </c>
      <c r="B130" s="11" t="str">
        <f>IFERROR(__xludf.DUMMYFUNCTION("""COMPUTED_VALUE"""),"James Tomazinis")</f>
        <v>James Tomazinis</v>
      </c>
      <c r="C130" t="str">
        <f>IFERROR(__xludf.DUMMYFUNCTION("""COMPUTED_VALUE"""),"james.tomazinis@floridadep.gov")</f>
        <v>james.tomazinis@floridadep.gov</v>
      </c>
      <c r="D130" t="str">
        <f>IFERROR(__xludf.DUMMYFUNCTION("""COMPUTED_VALUE"""),"Stewardship (Aquatic)")</f>
        <v>Stewardship (Aquatic)</v>
      </c>
      <c r="E130" t="str">
        <f>IFERROR(__xludf.DUMMYFUNCTION("""COMPUTED_VALUE"""),"Aunt Kates")</f>
        <v>Aunt Kates</v>
      </c>
      <c r="F130" s="13">
        <f>IFERROR(__xludf.DUMMYFUNCTION("""COMPUTED_VALUE"""),0.3958333333321207)</f>
        <v>0.3958333333</v>
      </c>
      <c r="G130" s="14">
        <f>IFERROR(__xludf.DUMMYFUNCTION("""COMPUTED_VALUE"""),43332.0)</f>
        <v>43332</v>
      </c>
      <c r="H130" t="str">
        <f>IFERROR(__xludf.DUMMYFUNCTION("""COMPUTED_VALUE"""),"Tolomato and Guana Rivers")</f>
        <v>Tolomato and Guana Rivers</v>
      </c>
      <c r="I130" s="15">
        <f>IFERROR(__xludf.DUMMYFUNCTION("""COMPUTED_VALUE"""),0.7083333333321207)</f>
        <v>0.7083333333</v>
      </c>
      <c r="J130" s="16"/>
      <c r="K130" t="str">
        <f>IFERROR(__xludf.DUMMYFUNCTION("""COMPUTED_VALUE"""),"23ft Skiff (Bertha) FL7972LJ DEP07613")</f>
        <v>23ft Skiff (Bertha) FL7972LJ DEP07613</v>
      </c>
      <c r="M130" t="str">
        <f>IFERROR(__xludf.DUMMYFUNCTION("""COMPUTED_VALUE"""),"Ford F150 2015 (White) - DEP21448")</f>
        <v>Ford F150 2015 (White) - DEP21448</v>
      </c>
      <c r="N130" t="str">
        <f>IFERROR(__xludf.DUMMYFUNCTION("""COMPUTED_VALUE"""),"Silas Tanner, (904) 483-8423, Jimmy Tomazinis, (904) 547-0094")</f>
        <v>Silas Tanner, (904) 483-8423, Jimmy Tomazinis, (904) 547-0094</v>
      </c>
      <c r="O130" t="str">
        <f>IFERROR(__xludf.DUMMYFUNCTION("""COMPUTED_VALUE"""),"Hunter Mathews")</f>
        <v>Hunter Mathews</v>
      </c>
      <c r="P130" t="str">
        <f>IFERROR(__xludf.DUMMYFUNCTION("""COMPUTED_VALUE"""),"Jimmy")</f>
        <v>Jimmy</v>
      </c>
      <c r="Q130" t="str">
        <f>IFERROR(__xludf.DUMMYFUNCTION("""COMPUTED_VALUE"""),"Good")</f>
        <v>Good</v>
      </c>
      <c r="R130" t="str">
        <f>IFERROR(__xludf.DUMMYFUNCTION("""COMPUTED_VALUE"""),"Good")</f>
        <v>Good</v>
      </c>
      <c r="S130" t="str">
        <f>IFERROR(__xludf.DUMMYFUNCTION("""COMPUTED_VALUE"""),"Good")</f>
        <v>Good</v>
      </c>
      <c r="T130" t="str">
        <f>IFERROR(__xludf.DUMMYFUNCTION("""COMPUTED_VALUE"""),"Good")</f>
        <v>Good</v>
      </c>
      <c r="U130" t="str">
        <f>IFERROR(__xludf.DUMMYFUNCTION("""COMPUTED_VALUE"""),"Good")</f>
        <v>Good</v>
      </c>
      <c r="V130" t="str">
        <f>IFERROR(__xludf.DUMMYFUNCTION("""COMPUTED_VALUE"""),"Good")</f>
        <v>Good</v>
      </c>
      <c r="W130" t="str">
        <f>IFERROR(__xludf.DUMMYFUNCTION("""COMPUTED_VALUE"""),"Good")</f>
        <v>Good</v>
      </c>
      <c r="X130" t="str">
        <f>IFERROR(__xludf.DUMMYFUNCTION("""COMPUTED_VALUE"""),"Good")</f>
        <v>Good</v>
      </c>
      <c r="Y130" t="str">
        <f>IFERROR(__xludf.DUMMYFUNCTION("""COMPUTED_VALUE"""),"Good")</f>
        <v>Good</v>
      </c>
      <c r="Z130" t="str">
        <f>IFERROR(__xludf.DUMMYFUNCTION("""COMPUTED_VALUE"""),"Good")</f>
        <v>Good</v>
      </c>
      <c r="AA130" t="str">
        <f>IFERROR(__xludf.DUMMYFUNCTION("""COMPUTED_VALUE"""),"Good")</f>
        <v>Good</v>
      </c>
      <c r="AB130" t="str">
        <f>IFERROR(__xludf.DUMMYFUNCTION("""COMPUTED_VALUE"""),"Good")</f>
        <v>Good</v>
      </c>
      <c r="AC130" t="str">
        <f>IFERROR(__xludf.DUMMYFUNCTION("""COMPUTED_VALUE"""),"Good")</f>
        <v>Good</v>
      </c>
      <c r="AE130" s="11"/>
      <c r="AF130" t="s">
        <v>32</v>
      </c>
      <c r="AG130" s="17" t="s">
        <v>22</v>
      </c>
      <c r="AH130" s="12">
        <v>1652.0</v>
      </c>
      <c r="AI130" s="12" t="s">
        <v>334</v>
      </c>
      <c r="AJ130" s="19" t="s">
        <v>335</v>
      </c>
      <c r="AK130" s="20" t="str">
        <f>HYPERLINK("https://docs.google.com/document/d/1LabdHmssr2wUehcOV54gssrkT8MfwEnxZTasLs1gtgo/edit?usp=drivesdk","James Tomazinis - 8/20/2018 9:30 AM")</f>
        <v>James Tomazinis - 8/20/2018 9:30 AM</v>
      </c>
      <c r="AL130" s="12" t="s">
        <v>336</v>
      </c>
    </row>
    <row r="131">
      <c r="A131" s="10">
        <f>IFERROR(__xludf.DUMMYFUNCTION("""COMPUTED_VALUE"""),43333.35646248843)</f>
        <v>43333.35646</v>
      </c>
      <c r="B131" s="11" t="str">
        <f>IFERROR(__xludf.DUMMYFUNCTION("""COMPUTED_VALUE"""),"James Tomazinis")</f>
        <v>James Tomazinis</v>
      </c>
      <c r="C131" t="str">
        <f>IFERROR(__xludf.DUMMYFUNCTION("""COMPUTED_VALUE"""),"james.tomazinis@floridadep.gov")</f>
        <v>james.tomazinis@floridadep.gov</v>
      </c>
      <c r="D131" t="str">
        <f>IFERROR(__xludf.DUMMYFUNCTION("""COMPUTED_VALUE"""),"Stewardship (Aquatic)")</f>
        <v>Stewardship (Aquatic)</v>
      </c>
      <c r="E131" t="str">
        <f>IFERROR(__xludf.DUMMYFUNCTION("""COMPUTED_VALUE"""),"Aunt Kates")</f>
        <v>Aunt Kates</v>
      </c>
      <c r="F131" s="13">
        <f>IFERROR(__xludf.DUMMYFUNCTION("""COMPUTED_VALUE"""),0.3958333333321207)</f>
        <v>0.3958333333</v>
      </c>
      <c r="G131" s="14">
        <f>IFERROR(__xludf.DUMMYFUNCTION("""COMPUTED_VALUE"""),43333.0)</f>
        <v>43333</v>
      </c>
      <c r="H131" t="str">
        <f>IFERROR(__xludf.DUMMYFUNCTION("""COMPUTED_VALUE"""),"Tolomato and Guana Rivers")</f>
        <v>Tolomato and Guana Rivers</v>
      </c>
      <c r="I131" s="15">
        <f>IFERROR(__xludf.DUMMYFUNCTION("""COMPUTED_VALUE"""),0.7083333333321207)</f>
        <v>0.7083333333</v>
      </c>
      <c r="J131" s="16"/>
      <c r="K131" t="str">
        <f>IFERROR(__xludf.DUMMYFUNCTION("""COMPUTED_VALUE"""),"23ft Skiff (Bertha) FL7972LJ DEP07613")</f>
        <v>23ft Skiff (Bertha) FL7972LJ DEP07613</v>
      </c>
      <c r="M131" t="str">
        <f>IFERROR(__xludf.DUMMYFUNCTION("""COMPUTED_VALUE"""),"Ford F150 2015 (White) - DEP21448")</f>
        <v>Ford F150 2015 (White) - DEP21448</v>
      </c>
      <c r="N131" t="str">
        <f>IFERROR(__xludf.DUMMYFUNCTION("""COMPUTED_VALUE"""),"Silas Tanner, (904) 483-8423, Jimmy Tomazinis, (904) 547-0094")</f>
        <v>Silas Tanner, (904) 483-8423, Jimmy Tomazinis, (904) 547-0094</v>
      </c>
      <c r="O131" t="str">
        <f>IFERROR(__xludf.DUMMYFUNCTION("""COMPUTED_VALUE"""),"Hunter Mathews and Mike Dickson")</f>
        <v>Hunter Mathews and Mike Dickson</v>
      </c>
      <c r="P131" t="str">
        <f>IFERROR(__xludf.DUMMYFUNCTION("""COMPUTED_VALUE"""),"Jimmy")</f>
        <v>Jimmy</v>
      </c>
      <c r="Q131" t="str">
        <f>IFERROR(__xludf.DUMMYFUNCTION("""COMPUTED_VALUE"""),"Good")</f>
        <v>Good</v>
      </c>
      <c r="R131" t="str">
        <f>IFERROR(__xludf.DUMMYFUNCTION("""COMPUTED_VALUE"""),"Good")</f>
        <v>Good</v>
      </c>
      <c r="S131" t="str">
        <f>IFERROR(__xludf.DUMMYFUNCTION("""COMPUTED_VALUE"""),"Good")</f>
        <v>Good</v>
      </c>
      <c r="T131" t="str">
        <f>IFERROR(__xludf.DUMMYFUNCTION("""COMPUTED_VALUE"""),"Good")</f>
        <v>Good</v>
      </c>
      <c r="U131" t="str">
        <f>IFERROR(__xludf.DUMMYFUNCTION("""COMPUTED_VALUE"""),"Good")</f>
        <v>Good</v>
      </c>
      <c r="V131" t="str">
        <f>IFERROR(__xludf.DUMMYFUNCTION("""COMPUTED_VALUE"""),"Good")</f>
        <v>Good</v>
      </c>
      <c r="W131" t="str">
        <f>IFERROR(__xludf.DUMMYFUNCTION("""COMPUTED_VALUE"""),"Good")</f>
        <v>Good</v>
      </c>
      <c r="X131" t="str">
        <f>IFERROR(__xludf.DUMMYFUNCTION("""COMPUTED_VALUE"""),"Good")</f>
        <v>Good</v>
      </c>
      <c r="Y131" t="str">
        <f>IFERROR(__xludf.DUMMYFUNCTION("""COMPUTED_VALUE"""),"Good")</f>
        <v>Good</v>
      </c>
      <c r="Z131" t="str">
        <f>IFERROR(__xludf.DUMMYFUNCTION("""COMPUTED_VALUE"""),"Good")</f>
        <v>Good</v>
      </c>
      <c r="AA131" t="str">
        <f>IFERROR(__xludf.DUMMYFUNCTION("""COMPUTED_VALUE"""),"Good")</f>
        <v>Good</v>
      </c>
      <c r="AB131" t="str">
        <f>IFERROR(__xludf.DUMMYFUNCTION("""COMPUTED_VALUE"""),"Good")</f>
        <v>Good</v>
      </c>
      <c r="AC131" t="str">
        <f>IFERROR(__xludf.DUMMYFUNCTION("""COMPUTED_VALUE"""),"Good")</f>
        <v>Good</v>
      </c>
      <c r="AE131" s="11"/>
      <c r="AF131" t="s">
        <v>32</v>
      </c>
      <c r="AG131" s="17" t="s">
        <v>18</v>
      </c>
      <c r="AH131" s="12">
        <v>1535.0</v>
      </c>
      <c r="AI131" s="12" t="s">
        <v>337</v>
      </c>
      <c r="AJ131" s="19" t="s">
        <v>338</v>
      </c>
      <c r="AK131" s="20" t="str">
        <f>HYPERLINK("https://docs.google.com/document/d/1q53uSpEdchRnj-Rtxaj4hDDzRXe32da2SRUUmKfdEYs/edit?usp=drivesdk","James Tomazinis - 8/21/2018 9:30 AM")</f>
        <v>James Tomazinis - 8/21/2018 9:30 AM</v>
      </c>
      <c r="AL131" s="12" t="s">
        <v>339</v>
      </c>
    </row>
    <row r="132">
      <c r="A132" s="10">
        <f>IFERROR(__xludf.DUMMYFUNCTION("""COMPUTED_VALUE"""),43333.38058549769)</f>
        <v>43333.38059</v>
      </c>
      <c r="B132" s="11" t="str">
        <f>IFERROR(__xludf.DUMMYFUNCTION("""COMPUTED_VALUE"""),"Ben Mowbray")</f>
        <v>Ben Mowbray</v>
      </c>
      <c r="C132" t="str">
        <f>IFERROR(__xludf.DUMMYFUNCTION("""COMPUTED_VALUE"""),"ben.mowbray@dep.state.fl.us")</f>
        <v>ben.mowbray@dep.state.fl.us</v>
      </c>
      <c r="D132" t="str">
        <f>IFERROR(__xludf.DUMMYFUNCTION("""COMPUTED_VALUE"""),"Research/Nikki")</f>
        <v>Research/Nikki</v>
      </c>
      <c r="E132" t="str">
        <f>IFERROR(__xludf.DUMMYFUNCTION("""COMPUTED_VALUE"""),"Aunt Kate's")</f>
        <v>Aunt Kate's</v>
      </c>
      <c r="F132" s="13">
        <f>IFERROR(__xludf.DUMMYFUNCTION("""COMPUTED_VALUE"""),0.40277777777737356)</f>
        <v>0.4027777778</v>
      </c>
      <c r="G132" s="14">
        <f>IFERROR(__xludf.DUMMYFUNCTION("""COMPUTED_VALUE"""),43333.0)</f>
        <v>43333</v>
      </c>
      <c r="H132" t="str">
        <f>IFERROR(__xludf.DUMMYFUNCTION("""COMPUTED_VALUE"""),"Guana River Reefs")</f>
        <v>Guana River Reefs</v>
      </c>
      <c r="I132" s="15">
        <f>IFERROR(__xludf.DUMMYFUNCTION("""COMPUTED_VALUE"""),0.5625)</f>
        <v>0.5625</v>
      </c>
      <c r="J132" s="16">
        <f>IFERROR(__xludf.DUMMYFUNCTION("""COMPUTED_VALUE"""),43333.58333333333)</f>
        <v>43333.58333</v>
      </c>
      <c r="K132" t="str">
        <f>IFERROR(__xludf.DUMMYFUNCTION("""COMPUTED_VALUE"""),"20ft Sea Ark FL5351SJ UNF 2015")</f>
        <v>20ft Sea Ark FL5351SJ UNF 2015</v>
      </c>
      <c r="M132" t="str">
        <f>IFERROR(__xludf.DUMMYFUNCTION("""COMPUTED_VALUE"""),"Ford F250 2017 (Moby Dix) - DEP0021578")</f>
        <v>Ford F250 2017 (Moby Dix) - DEP0021578</v>
      </c>
      <c r="N132" t="str">
        <f>IFERROR(__xludf.DUMMYFUNCTION("""COMPUTED_VALUE"""),"Pam Marcum, (480) 332-5414, Ben Mowbray, (407) 962-8782, Remo")</f>
        <v>Pam Marcum, (480) 332-5414, Ben Mowbray, (407) 962-8782, Remo</v>
      </c>
      <c r="O132" t="str">
        <f>IFERROR(__xludf.DUMMYFUNCTION("""COMPUTED_VALUE"""),"Amy Brownfield, Sooz, Mike Darragh ")</f>
        <v>Amy Brownfield, Sooz, Mike Darragh </v>
      </c>
      <c r="P132" t="str">
        <f>IFERROR(__xludf.DUMMYFUNCTION("""COMPUTED_VALUE"""),"Pam")</f>
        <v>Pam</v>
      </c>
      <c r="Q132" t="str">
        <f>IFERROR(__xludf.DUMMYFUNCTION("""COMPUTED_VALUE"""),"Good")</f>
        <v>Good</v>
      </c>
      <c r="R132" t="str">
        <f>IFERROR(__xludf.DUMMYFUNCTION("""COMPUTED_VALUE"""),"Good")</f>
        <v>Good</v>
      </c>
      <c r="S132" t="str">
        <f>IFERROR(__xludf.DUMMYFUNCTION("""COMPUTED_VALUE"""),"Good")</f>
        <v>Good</v>
      </c>
      <c r="T132" t="str">
        <f>IFERROR(__xludf.DUMMYFUNCTION("""COMPUTED_VALUE"""),"Good")</f>
        <v>Good</v>
      </c>
      <c r="U132" t="str">
        <f>IFERROR(__xludf.DUMMYFUNCTION("""COMPUTED_VALUE"""),"Good")</f>
        <v>Good</v>
      </c>
      <c r="V132" t="str">
        <f>IFERROR(__xludf.DUMMYFUNCTION("""COMPUTED_VALUE"""),"Good")</f>
        <v>Good</v>
      </c>
      <c r="W132" t="str">
        <f>IFERROR(__xludf.DUMMYFUNCTION("""COMPUTED_VALUE"""),"Good")</f>
        <v>Good</v>
      </c>
      <c r="X132" t="str">
        <f>IFERROR(__xludf.DUMMYFUNCTION("""COMPUTED_VALUE"""),"Good")</f>
        <v>Good</v>
      </c>
      <c r="Y132" t="str">
        <f>IFERROR(__xludf.DUMMYFUNCTION("""COMPUTED_VALUE"""),"Good")</f>
        <v>Good</v>
      </c>
      <c r="Z132" t="str">
        <f>IFERROR(__xludf.DUMMYFUNCTION("""COMPUTED_VALUE"""),"Good")</f>
        <v>Good</v>
      </c>
      <c r="AA132" t="str">
        <f>IFERROR(__xludf.DUMMYFUNCTION("""COMPUTED_VALUE"""),"Good")</f>
        <v>Good</v>
      </c>
      <c r="AB132" t="str">
        <f>IFERROR(__xludf.DUMMYFUNCTION("""COMPUTED_VALUE"""),"Good")</f>
        <v>Good</v>
      </c>
      <c r="AC132" t="str">
        <f>IFERROR(__xludf.DUMMYFUNCTION("""COMPUTED_VALUE"""),"Good")</f>
        <v>Good</v>
      </c>
      <c r="AE132" s="11"/>
      <c r="AF132" t="s">
        <v>218</v>
      </c>
      <c r="AG132" s="17" t="s">
        <v>18</v>
      </c>
      <c r="AH132" s="12">
        <v>1320.0</v>
      </c>
      <c r="AI132" s="12" t="s">
        <v>340</v>
      </c>
      <c r="AJ132" s="19" t="s">
        <v>341</v>
      </c>
      <c r="AK132" s="20" t="str">
        <f>HYPERLINK("https://docs.google.com/document/d/1-b6Gewks7v19ieHsXcoC8h0jDEWW_u_gOcnr1iFkHVU/edit?usp=drivesdk","Ben Mowbray - 8/21/2018 9:40 AM")</f>
        <v>Ben Mowbray - 8/21/2018 9:40 AM</v>
      </c>
      <c r="AL132" s="12" t="s">
        <v>342</v>
      </c>
    </row>
    <row r="133">
      <c r="A133" s="10">
        <f>IFERROR(__xludf.DUMMYFUNCTION("""COMPUTED_VALUE"""),43334.386247916664)</f>
        <v>43334.38625</v>
      </c>
      <c r="B133" s="11" t="str">
        <f>IFERROR(__xludf.DUMMYFUNCTION("""COMPUTED_VALUE"""),"James Tomazinis")</f>
        <v>James Tomazinis</v>
      </c>
      <c r="C133" t="str">
        <f>IFERROR(__xludf.DUMMYFUNCTION("""COMPUTED_VALUE"""),"james.tomazinis@floridadep.gov")</f>
        <v>james.tomazinis@floridadep.gov</v>
      </c>
      <c r="D133" t="str">
        <f>IFERROR(__xludf.DUMMYFUNCTION("""COMPUTED_VALUE"""),"Stewardship (Aquatic)")</f>
        <v>Stewardship (Aquatic)</v>
      </c>
      <c r="E133" t="str">
        <f>IFERROR(__xludf.DUMMYFUNCTION("""COMPUTED_VALUE"""),"Vilano")</f>
        <v>Vilano</v>
      </c>
      <c r="F133" s="13">
        <f>IFERROR(__xludf.DUMMYFUNCTION("""COMPUTED_VALUE"""),0.3958333333321207)</f>
        <v>0.3958333333</v>
      </c>
      <c r="G133" s="14">
        <f>IFERROR(__xludf.DUMMYFUNCTION("""COMPUTED_VALUE"""),43334.0)</f>
        <v>43334</v>
      </c>
      <c r="H133" t="str">
        <f>IFERROR(__xludf.DUMMYFUNCTION("""COMPUTED_VALUE"""),"Matanzas River south of 312")</f>
        <v>Matanzas River south of 312</v>
      </c>
      <c r="I133" s="15">
        <f>IFERROR(__xludf.DUMMYFUNCTION("""COMPUTED_VALUE"""),0.7083333333321207)</f>
        <v>0.7083333333</v>
      </c>
      <c r="J133" s="16"/>
      <c r="K133" t="str">
        <f>IFERROR(__xludf.DUMMYFUNCTION("""COMPUTED_VALUE"""),"23ft Skiff (Bertha) FL7972LJ DEP07613")</f>
        <v>23ft Skiff (Bertha) FL7972LJ DEP07613</v>
      </c>
      <c r="M133" t="str">
        <f>IFERROR(__xludf.DUMMYFUNCTION("""COMPUTED_VALUE"""),"Ford F150 2015 (White) - DEP21448")</f>
        <v>Ford F150 2015 (White) - DEP21448</v>
      </c>
      <c r="N133" t="str">
        <f>IFERROR(__xludf.DUMMYFUNCTION("""COMPUTED_VALUE"""),"Scott Eastman, (904) 501-9267, Jimmy Tomazinis, (904) 547-0094")</f>
        <v>Scott Eastman, (904) 501-9267, Jimmy Tomazinis, (904) 547-0094</v>
      </c>
      <c r="O133" t="str">
        <f>IFERROR(__xludf.DUMMYFUNCTION("""COMPUTED_VALUE"""),"Suzi Porterfield")</f>
        <v>Suzi Porterfield</v>
      </c>
      <c r="P133" t="str">
        <f>IFERROR(__xludf.DUMMYFUNCTION("""COMPUTED_VALUE"""),"Jimmy")</f>
        <v>Jimmy</v>
      </c>
      <c r="Q133" t="str">
        <f>IFERROR(__xludf.DUMMYFUNCTION("""COMPUTED_VALUE"""),"Good")</f>
        <v>Good</v>
      </c>
      <c r="R133" t="str">
        <f>IFERROR(__xludf.DUMMYFUNCTION("""COMPUTED_VALUE"""),"Good")</f>
        <v>Good</v>
      </c>
      <c r="S133" t="str">
        <f>IFERROR(__xludf.DUMMYFUNCTION("""COMPUTED_VALUE"""),"Good")</f>
        <v>Good</v>
      </c>
      <c r="T133" t="str">
        <f>IFERROR(__xludf.DUMMYFUNCTION("""COMPUTED_VALUE"""),"Good")</f>
        <v>Good</v>
      </c>
      <c r="U133" t="str">
        <f>IFERROR(__xludf.DUMMYFUNCTION("""COMPUTED_VALUE"""),"Good")</f>
        <v>Good</v>
      </c>
      <c r="V133" t="str">
        <f>IFERROR(__xludf.DUMMYFUNCTION("""COMPUTED_VALUE"""),"Good")</f>
        <v>Good</v>
      </c>
      <c r="W133" t="str">
        <f>IFERROR(__xludf.DUMMYFUNCTION("""COMPUTED_VALUE"""),"Good")</f>
        <v>Good</v>
      </c>
      <c r="X133" t="str">
        <f>IFERROR(__xludf.DUMMYFUNCTION("""COMPUTED_VALUE"""),"Good")</f>
        <v>Good</v>
      </c>
      <c r="Y133" t="str">
        <f>IFERROR(__xludf.DUMMYFUNCTION("""COMPUTED_VALUE"""),"Good")</f>
        <v>Good</v>
      </c>
      <c r="Z133" t="str">
        <f>IFERROR(__xludf.DUMMYFUNCTION("""COMPUTED_VALUE"""),"Good")</f>
        <v>Good</v>
      </c>
      <c r="AA133" t="str">
        <f>IFERROR(__xludf.DUMMYFUNCTION("""COMPUTED_VALUE"""),"Good")</f>
        <v>Good</v>
      </c>
      <c r="AB133" t="str">
        <f>IFERROR(__xludf.DUMMYFUNCTION("""COMPUTED_VALUE"""),"Good")</f>
        <v>Good</v>
      </c>
      <c r="AC133" t="str">
        <f>IFERROR(__xludf.DUMMYFUNCTION("""COMPUTED_VALUE"""),"Good")</f>
        <v>Good</v>
      </c>
      <c r="AE133" s="11"/>
      <c r="AF133" t="s">
        <v>32</v>
      </c>
      <c r="AG133" s="17" t="s">
        <v>18</v>
      </c>
      <c r="AH133" s="12">
        <v>1537.0</v>
      </c>
      <c r="AI133" s="12" t="s">
        <v>343</v>
      </c>
      <c r="AJ133" s="19" t="s">
        <v>344</v>
      </c>
      <c r="AK133" s="20" t="str">
        <f>HYPERLINK("https://docs.google.com/document/d/1FbfrpXrmysodX8qvntPP4u8abx1oSvLdYgvdnAhlqV4/edit?usp=drivesdk","James Tomazinis - 8/22/2018 9:30 AM")</f>
        <v>James Tomazinis - 8/22/2018 9:30 AM</v>
      </c>
      <c r="AL133" s="12" t="s">
        <v>345</v>
      </c>
    </row>
    <row r="134">
      <c r="A134" s="10">
        <f>IFERROR(__xludf.DUMMYFUNCTION("""COMPUTED_VALUE"""),43334.65458540509)</f>
        <v>43334.65459</v>
      </c>
      <c r="B134" s="11" t="str">
        <f>IFERROR(__xludf.DUMMYFUNCTION("""COMPUTED_VALUE"""),"Silas Tanner")</f>
        <v>Silas Tanner</v>
      </c>
      <c r="C134" t="str">
        <f>IFERROR(__xludf.DUMMYFUNCTION("""COMPUTED_VALUE"""),"silas.tanner@floridadep.gov")</f>
        <v>silas.tanner@floridadep.gov</v>
      </c>
      <c r="D134" t="str">
        <f>IFERROR(__xludf.DUMMYFUNCTION("""COMPUTED_VALUE"""),"Research/Nikki")</f>
        <v>Research/Nikki</v>
      </c>
      <c r="E134" t="str">
        <f>IFERROR(__xludf.DUMMYFUNCTION("""COMPUTED_VALUE"""),"Vilano County Ramp")</f>
        <v>Vilano County Ramp</v>
      </c>
      <c r="F134" s="13">
        <f>IFERROR(__xludf.DUMMYFUNCTION("""COMPUTED_VALUE"""),0.3020833333321207)</f>
        <v>0.3020833333</v>
      </c>
      <c r="G134" s="14">
        <f>IFERROR(__xludf.DUMMYFUNCTION("""COMPUTED_VALUE"""),43335.0)</f>
        <v>43335</v>
      </c>
      <c r="H134" t="str">
        <f>IFERROR(__xludf.DUMMYFUNCTION("""COMPUTED_VALUE"""),"ICW - SWMP sites")</f>
        <v>ICW - SWMP sites</v>
      </c>
      <c r="I134" s="15">
        <f>IFERROR(__xludf.DUMMYFUNCTION("""COMPUTED_VALUE"""),0.625)</f>
        <v>0.625</v>
      </c>
      <c r="J134" s="16">
        <f>IFERROR(__xludf.DUMMYFUNCTION("""COMPUTED_VALUE"""),43335.64583333333)</f>
        <v>43335.64583</v>
      </c>
      <c r="K134" t="str">
        <f>IFERROR(__xludf.DUMMYFUNCTION("""COMPUTED_VALUE"""),"20ft Sea Ark FL5351SJ UNF 2015")</f>
        <v>20ft Sea Ark FL5351SJ UNF 2015</v>
      </c>
      <c r="M134" t="str">
        <f>IFERROR(__xludf.DUMMYFUNCTION("""COMPUTED_VALUE"""),"Ford F250 2017 (Moby Dix) - DEP0021578")</f>
        <v>Ford F250 2017 (Moby Dix) - DEP0021578</v>
      </c>
      <c r="N134" t="str">
        <f>IFERROR(__xludf.DUMMYFUNCTION("""COMPUTED_VALUE"""),"Shannon Dunnigan, (803) 727-5734, Silas Tanner, (904) 483-8423")</f>
        <v>Shannon Dunnigan, (803) 727-5734, Silas Tanner, (904) 483-8423</v>
      </c>
      <c r="O134" t="str">
        <f>IFERROR(__xludf.DUMMYFUNCTION("""COMPUTED_VALUE"""),"Mike Darragh")</f>
        <v>Mike Darragh</v>
      </c>
      <c r="P134" t="str">
        <f>IFERROR(__xludf.DUMMYFUNCTION("""COMPUTED_VALUE"""),"Shannon Dunnigan")</f>
        <v>Shannon Dunnigan</v>
      </c>
      <c r="Q134" t="str">
        <f>IFERROR(__xludf.DUMMYFUNCTION("""COMPUTED_VALUE"""),"Good")</f>
        <v>Good</v>
      </c>
      <c r="R134" t="str">
        <f>IFERROR(__xludf.DUMMYFUNCTION("""COMPUTED_VALUE"""),"Good")</f>
        <v>Good</v>
      </c>
      <c r="S134" t="str">
        <f>IFERROR(__xludf.DUMMYFUNCTION("""COMPUTED_VALUE"""),"Good")</f>
        <v>Good</v>
      </c>
      <c r="T134" t="str">
        <f>IFERROR(__xludf.DUMMYFUNCTION("""COMPUTED_VALUE"""),"Good")</f>
        <v>Good</v>
      </c>
      <c r="U134" t="str">
        <f>IFERROR(__xludf.DUMMYFUNCTION("""COMPUTED_VALUE"""),"Good")</f>
        <v>Good</v>
      </c>
      <c r="V134" t="str">
        <f>IFERROR(__xludf.DUMMYFUNCTION("""COMPUTED_VALUE"""),"Good")</f>
        <v>Good</v>
      </c>
      <c r="W134" t="str">
        <f>IFERROR(__xludf.DUMMYFUNCTION("""COMPUTED_VALUE"""),"Good")</f>
        <v>Good</v>
      </c>
      <c r="X134" t="str">
        <f>IFERROR(__xludf.DUMMYFUNCTION("""COMPUTED_VALUE"""),"Good")</f>
        <v>Good</v>
      </c>
      <c r="Y134" t="str">
        <f>IFERROR(__xludf.DUMMYFUNCTION("""COMPUTED_VALUE"""),"Good")</f>
        <v>Good</v>
      </c>
      <c r="Z134" t="str">
        <f>IFERROR(__xludf.DUMMYFUNCTION("""COMPUTED_VALUE"""),"Good")</f>
        <v>Good</v>
      </c>
      <c r="AA134" t="str">
        <f>IFERROR(__xludf.DUMMYFUNCTION("""COMPUTED_VALUE"""),"Good")</f>
        <v>Good</v>
      </c>
      <c r="AB134" t="str">
        <f>IFERROR(__xludf.DUMMYFUNCTION("""COMPUTED_VALUE"""),"Good")</f>
        <v>Good</v>
      </c>
      <c r="AC134" t="str">
        <f>IFERROR(__xludf.DUMMYFUNCTION("""COMPUTED_VALUE"""),"Good")</f>
        <v>Good</v>
      </c>
      <c r="AE134" s="11"/>
      <c r="AF134" t="s">
        <v>218</v>
      </c>
      <c r="AG134" s="17" t="s">
        <v>60</v>
      </c>
      <c r="AH134" s="12">
        <v>1140.0</v>
      </c>
      <c r="AI134" s="12" t="s">
        <v>346</v>
      </c>
      <c r="AJ134" s="19" t="s">
        <v>347</v>
      </c>
      <c r="AK134" s="20" t="str">
        <f>HYPERLINK("https://docs.google.com/document/d/1V_UjvbS_4beIAIbGI2rknHAZN_bkiraEkuj6Ua6mwWE/edit?usp=drivesdk","Silas Tanner - 8/23/2018 7:15 AM")</f>
        <v>Silas Tanner - 8/23/2018 7:15 AM</v>
      </c>
      <c r="AL134" s="12" t="s">
        <v>348</v>
      </c>
    </row>
    <row r="135">
      <c r="A135" s="10">
        <f>IFERROR(__xludf.DUMMYFUNCTION("""COMPUTED_VALUE"""),43335.38977065973)</f>
        <v>43335.38977</v>
      </c>
      <c r="B135" s="11" t="str">
        <f>IFERROR(__xludf.DUMMYFUNCTION("""COMPUTED_VALUE"""),"Pam Marcum")</f>
        <v>Pam Marcum</v>
      </c>
      <c r="C135" t="str">
        <f>IFERROR(__xludf.DUMMYFUNCTION("""COMPUTED_VALUE"""),"Pamela.Marcum@dep.state.fl.us")</f>
        <v>Pamela.Marcum@dep.state.fl.us</v>
      </c>
      <c r="D135" t="str">
        <f>IFERROR(__xludf.DUMMYFUNCTION("""COMPUTED_VALUE"""),"Research/Nikki")</f>
        <v>Research/Nikki</v>
      </c>
      <c r="E135" t="str">
        <f>IFERROR(__xludf.DUMMYFUNCTION("""COMPUTED_VALUE"""),"Aunt Kate's")</f>
        <v>Aunt Kate's</v>
      </c>
      <c r="F135" s="13">
        <f>IFERROR(__xludf.DUMMYFUNCTION("""COMPUTED_VALUE"""),0.4583333333321207)</f>
        <v>0.4583333333</v>
      </c>
      <c r="G135" s="14">
        <f>IFERROR(__xludf.DUMMYFUNCTION("""COMPUTED_VALUE"""),43335.0)</f>
        <v>43335</v>
      </c>
      <c r="H135" t="str">
        <f>IFERROR(__xludf.DUMMYFUNCTION("""COMPUTED_VALUE"""),"Robinson's Creek &amp; Guana River")</f>
        <v>Robinson's Creek &amp; Guana River</v>
      </c>
      <c r="I135" s="15">
        <f>IFERROR(__xludf.DUMMYFUNCTION("""COMPUTED_VALUE"""),0.625)</f>
        <v>0.625</v>
      </c>
      <c r="J135" s="16">
        <f>IFERROR(__xludf.DUMMYFUNCTION("""COMPUTED_VALUE"""),43335.66666666667)</f>
        <v>43335.66667</v>
      </c>
      <c r="K135" t="str">
        <f>IFERROR(__xludf.DUMMYFUNCTION("""COMPUTED_VALUE"""),"F 20ft Sea Ark (Easy 200) FL8534PY DEP21451")</f>
        <v>F 20ft Sea Ark (Easy 200) FL8534PY DEP21451</v>
      </c>
      <c r="M135" t="str">
        <f>IFERROR(__xludf.DUMMYFUNCTION("""COMPUTED_VALUE"""),"Ford F150 4-door DEP07668")</f>
        <v>Ford F150 4-door DEP07668</v>
      </c>
      <c r="N135" t="str">
        <f>IFERROR(__xludf.DUMMYFUNCTION("""COMPUTED_VALUE"""),"Pam Marcum, (480) 332-5414, Ben Mowbray, (407) 962-8782")</f>
        <v>Pam Marcum, (480) 332-5414, Ben Mowbray, (407) 962-8782</v>
      </c>
      <c r="P135" t="str">
        <f>IFERROR(__xludf.DUMMYFUNCTION("""COMPUTED_VALUE"""),"Pam Marcum")</f>
        <v>Pam Marcum</v>
      </c>
      <c r="Q135" t="str">
        <f>IFERROR(__xludf.DUMMYFUNCTION("""COMPUTED_VALUE"""),"Good")</f>
        <v>Good</v>
      </c>
      <c r="R135" t="str">
        <f>IFERROR(__xludf.DUMMYFUNCTION("""COMPUTED_VALUE"""),"Good")</f>
        <v>Good</v>
      </c>
      <c r="S135" t="str">
        <f>IFERROR(__xludf.DUMMYFUNCTION("""COMPUTED_VALUE"""),"Good")</f>
        <v>Good</v>
      </c>
      <c r="T135" t="str">
        <f>IFERROR(__xludf.DUMMYFUNCTION("""COMPUTED_VALUE"""),"Good")</f>
        <v>Good</v>
      </c>
      <c r="U135" t="str">
        <f>IFERROR(__xludf.DUMMYFUNCTION("""COMPUTED_VALUE"""),"Good")</f>
        <v>Good</v>
      </c>
      <c r="V135" t="str">
        <f>IFERROR(__xludf.DUMMYFUNCTION("""COMPUTED_VALUE"""),"Good")</f>
        <v>Good</v>
      </c>
      <c r="W135" t="str">
        <f>IFERROR(__xludf.DUMMYFUNCTION("""COMPUTED_VALUE"""),"Good")</f>
        <v>Good</v>
      </c>
      <c r="X135" t="str">
        <f>IFERROR(__xludf.DUMMYFUNCTION("""COMPUTED_VALUE"""),"Good")</f>
        <v>Good</v>
      </c>
      <c r="Y135" t="str">
        <f>IFERROR(__xludf.DUMMYFUNCTION("""COMPUTED_VALUE"""),"Good")</f>
        <v>Good</v>
      </c>
      <c r="Z135" t="str">
        <f>IFERROR(__xludf.DUMMYFUNCTION("""COMPUTED_VALUE"""),"Good")</f>
        <v>Good</v>
      </c>
      <c r="AA135" t="str">
        <f>IFERROR(__xludf.DUMMYFUNCTION("""COMPUTED_VALUE"""),"Good")</f>
        <v>Good</v>
      </c>
      <c r="AB135" t="str">
        <f>IFERROR(__xludf.DUMMYFUNCTION("""COMPUTED_VALUE"""),"Good")</f>
        <v>Good</v>
      </c>
      <c r="AC135" t="str">
        <f>IFERROR(__xludf.DUMMYFUNCTION("""COMPUTED_VALUE"""),"Good")</f>
        <v>Good</v>
      </c>
      <c r="AE135" s="11"/>
      <c r="AF135" t="s">
        <v>218</v>
      </c>
      <c r="AG135" s="17" t="s">
        <v>60</v>
      </c>
      <c r="AH135" s="12">
        <v>1324.0</v>
      </c>
      <c r="AI135" s="12" t="s">
        <v>349</v>
      </c>
      <c r="AJ135" s="19" t="s">
        <v>350</v>
      </c>
      <c r="AK135" s="20" t="str">
        <f>HYPERLINK("https://docs.google.com/document/d/1FoCPEaVaT4-aS9Qr0r4nW6zlRTuDNZoJ3QoyHDTqm4A/edit?usp=drivesdk","Pam Marcum - 8/23/2018 11:00 AM")</f>
        <v>Pam Marcum - 8/23/2018 11:00 AM</v>
      </c>
      <c r="AL135" s="12" t="s">
        <v>351</v>
      </c>
    </row>
    <row r="136">
      <c r="A136" s="10">
        <f>IFERROR(__xludf.DUMMYFUNCTION("""COMPUTED_VALUE"""),43335.92170368055)</f>
        <v>43335.9217</v>
      </c>
      <c r="B136" s="11" t="str">
        <f>IFERROR(__xludf.DUMMYFUNCTION("""COMPUTED_VALUE"""),"Shannon Dunnigan")</f>
        <v>Shannon Dunnigan</v>
      </c>
      <c r="C136" t="str">
        <f>IFERROR(__xludf.DUMMYFUNCTION("""COMPUTED_VALUE"""),"shannon.dunnigan@dep.state.fl.us")</f>
        <v>shannon.dunnigan@dep.state.fl.us</v>
      </c>
      <c r="D136" t="str">
        <f>IFERROR(__xludf.DUMMYFUNCTION("""COMPUTED_VALUE"""),"Research/Nikki")</f>
        <v>Research/Nikki</v>
      </c>
      <c r="E136" t="str">
        <f>IFERROR(__xludf.DUMMYFUNCTION("""COMPUTED_VALUE"""),"Bings Landing")</f>
        <v>Bings Landing</v>
      </c>
      <c r="F136" s="13">
        <f>IFERROR(__xludf.DUMMYFUNCTION("""COMPUTED_VALUE"""),0.4375)</f>
        <v>0.4375</v>
      </c>
      <c r="G136" s="14">
        <f>IFERROR(__xludf.DUMMYFUNCTION("""COMPUTED_VALUE"""),43336.0)</f>
        <v>43336</v>
      </c>
      <c r="H136" t="str">
        <f>IFERROR(__xludf.DUMMYFUNCTION("""COMPUTED_VALUE"""),"Summerhaven River area")</f>
        <v>Summerhaven River area</v>
      </c>
      <c r="I136" s="15">
        <f>IFERROR(__xludf.DUMMYFUNCTION("""COMPUTED_VALUE"""),0.5416666666678793)</f>
        <v>0.5416666667</v>
      </c>
      <c r="J136" s="16">
        <f>IFERROR(__xludf.DUMMYFUNCTION("""COMPUTED_VALUE"""),43336.64583333333)</f>
        <v>43336.64583</v>
      </c>
      <c r="K136" t="str">
        <f>IFERROR(__xludf.DUMMYFUNCTION("""COMPUTED_VALUE"""),"20ft Sea Ark FL5351SJ UNF 2015")</f>
        <v>20ft Sea Ark FL5351SJ UNF 2015</v>
      </c>
      <c r="M136" t="str">
        <f>IFERROR(__xludf.DUMMYFUNCTION("""COMPUTED_VALUE"""),"Ford F250 2017 (Moby Dix) - DEP0021578")</f>
        <v>Ford F250 2017 (Moby Dix) - DEP0021578</v>
      </c>
      <c r="N136" t="str">
        <f>IFERROR(__xludf.DUMMYFUNCTION("""COMPUTED_VALUE"""),"Shannon Dunnigan, (803) 727-5734, Silas Tanner, (904) 483-8423")</f>
        <v>Shannon Dunnigan, (803) 727-5734, Silas Tanner, (904) 483-8423</v>
      </c>
      <c r="O136" t="str">
        <f>IFERROR(__xludf.DUMMYFUNCTION("""COMPUTED_VALUE"""),"Shannon Dunnigan, (803) 727-5734, Silas Tanner, (904) 483-8423, Gabriela Canas, (904) 891-9743, Jessica Lee, Matt Brown")</f>
        <v>Shannon Dunnigan, (803) 727-5734, Silas Tanner, (904) 483-8423, Gabriela Canas, (904) 891-9743, Jessica Lee, Matt Brown</v>
      </c>
      <c r="P136" t="str">
        <f>IFERROR(__xludf.DUMMYFUNCTION("""COMPUTED_VALUE"""),"Shannon Dunnigan")</f>
        <v>Shannon Dunnigan</v>
      </c>
      <c r="Q136" t="str">
        <f>IFERROR(__xludf.DUMMYFUNCTION("""COMPUTED_VALUE"""),"Good")</f>
        <v>Good</v>
      </c>
      <c r="R136" t="str">
        <f>IFERROR(__xludf.DUMMYFUNCTION("""COMPUTED_VALUE"""),"Good")</f>
        <v>Good</v>
      </c>
      <c r="S136" t="str">
        <f>IFERROR(__xludf.DUMMYFUNCTION("""COMPUTED_VALUE"""),"Good")</f>
        <v>Good</v>
      </c>
      <c r="T136" t="str">
        <f>IFERROR(__xludf.DUMMYFUNCTION("""COMPUTED_VALUE"""),"Good")</f>
        <v>Good</v>
      </c>
      <c r="U136" t="str">
        <f>IFERROR(__xludf.DUMMYFUNCTION("""COMPUTED_VALUE"""),"Good")</f>
        <v>Good</v>
      </c>
      <c r="V136" t="str">
        <f>IFERROR(__xludf.DUMMYFUNCTION("""COMPUTED_VALUE"""),"Good")</f>
        <v>Good</v>
      </c>
      <c r="W136" t="str">
        <f>IFERROR(__xludf.DUMMYFUNCTION("""COMPUTED_VALUE"""),"Good")</f>
        <v>Good</v>
      </c>
      <c r="X136" t="str">
        <f>IFERROR(__xludf.DUMMYFUNCTION("""COMPUTED_VALUE"""),"Good")</f>
        <v>Good</v>
      </c>
      <c r="Y136" t="str">
        <f>IFERROR(__xludf.DUMMYFUNCTION("""COMPUTED_VALUE"""),"Good")</f>
        <v>Good</v>
      </c>
      <c r="Z136" t="str">
        <f>IFERROR(__xludf.DUMMYFUNCTION("""COMPUTED_VALUE"""),"Good")</f>
        <v>Good</v>
      </c>
      <c r="AA136" t="str">
        <f>IFERROR(__xludf.DUMMYFUNCTION("""COMPUTED_VALUE"""),"Good")</f>
        <v>Good</v>
      </c>
      <c r="AB136" t="str">
        <f>IFERROR(__xludf.DUMMYFUNCTION("""COMPUTED_VALUE"""),"Good")</f>
        <v>Good</v>
      </c>
      <c r="AC136" t="str">
        <f>IFERROR(__xludf.DUMMYFUNCTION("""COMPUTED_VALUE"""),"Good")</f>
        <v>Good</v>
      </c>
      <c r="AE136" s="11"/>
      <c r="AF136" t="s">
        <v>218</v>
      </c>
      <c r="AG136" s="17" t="s">
        <v>18</v>
      </c>
      <c r="AH136" s="12">
        <v>1200.0</v>
      </c>
      <c r="AI136" s="12" t="s">
        <v>352</v>
      </c>
      <c r="AJ136" s="19" t="s">
        <v>353</v>
      </c>
      <c r="AK136" s="20" t="str">
        <f>HYPERLINK("https://docs.google.com/document/d/1XqXDCS49mMlYjyDJhRRyb2rd--vYYMQZl9cTt1SyJXY/edit?usp=drivesdk","Shannon Dunnigan - 8/24/2018 10:30 AM")</f>
        <v>Shannon Dunnigan - 8/24/2018 10:30 AM</v>
      </c>
      <c r="AL136" s="12" t="s">
        <v>354</v>
      </c>
    </row>
    <row r="137">
      <c r="A137" s="10">
        <f>IFERROR(__xludf.DUMMYFUNCTION("""COMPUTED_VALUE"""),43340.68483427083)</f>
        <v>43340.68483</v>
      </c>
      <c r="B137" s="11" t="str">
        <f>IFERROR(__xludf.DUMMYFUNCTION("""COMPUTED_VALUE"""),"Ben Mowbray")</f>
        <v>Ben Mowbray</v>
      </c>
      <c r="C137" t="str">
        <f>IFERROR(__xludf.DUMMYFUNCTION("""COMPUTED_VALUE"""),"ben.mowbray@dep.state.fl.us")</f>
        <v>ben.mowbray@dep.state.fl.us</v>
      </c>
      <c r="D137" t="str">
        <f>IFERROR(__xludf.DUMMYFUNCTION("""COMPUTED_VALUE"""),"Research/Pam")</f>
        <v>Research/Pam</v>
      </c>
      <c r="E137" t="str">
        <f>IFERROR(__xludf.DUMMYFUNCTION("""COMPUTED_VALUE"""),"Shore Dr.")</f>
        <v>Shore Dr.</v>
      </c>
      <c r="F137" s="13">
        <f>IFERROR(__xludf.DUMMYFUNCTION("""COMPUTED_VALUE"""),0.4270833333321207)</f>
        <v>0.4270833333</v>
      </c>
      <c r="G137" s="14">
        <f>IFERROR(__xludf.DUMMYFUNCTION("""COMPUTED_VALUE"""),43341.0)</f>
        <v>43341</v>
      </c>
      <c r="H137" t="str">
        <f>IFERROR(__xludf.DUMMYFUNCTION("""COMPUTED_VALUE"""),"Gabby's Creek Chapman Site")</f>
        <v>Gabby's Creek Chapman Site</v>
      </c>
      <c r="I137" s="15">
        <f>IFERROR(__xludf.DUMMYFUNCTION("""COMPUTED_VALUE"""),0.625)</f>
        <v>0.625</v>
      </c>
      <c r="J137" s="16">
        <f>IFERROR(__xludf.DUMMYFUNCTION("""COMPUTED_VALUE"""),43341.65277777778)</f>
        <v>43341.65278</v>
      </c>
      <c r="K137" t="str">
        <f>IFERROR(__xludf.DUMMYFUNCTION("""COMPUTED_VALUE"""),"20ft Sea Ark FL5351SJ UNF 2015")</f>
        <v>20ft Sea Ark FL5351SJ UNF 2015</v>
      </c>
      <c r="M137" t="str">
        <f>IFERROR(__xludf.DUMMYFUNCTION("""COMPUTED_VALUE"""),"Ford F250 2017 (Moby Dix) - DEP0021578")</f>
        <v>Ford F250 2017 (Moby Dix) - DEP0021578</v>
      </c>
      <c r="N137" t="str">
        <f>IFERROR(__xludf.DUMMYFUNCTION("""COMPUTED_VALUE"""),"Ben Mowbray, (407) 962-8782")</f>
        <v>Ben Mowbray, (407) 962-8782</v>
      </c>
      <c r="O137" t="str">
        <f>IFERROR(__xludf.DUMMYFUNCTION("""COMPUTED_VALUE"""),"Gabriela Canas, (904) 891-9743")</f>
        <v>Gabriela Canas, (904) 891-9743</v>
      </c>
      <c r="P137" t="str">
        <f>IFERROR(__xludf.DUMMYFUNCTION("""COMPUTED_VALUE"""),"Ben")</f>
        <v>Ben</v>
      </c>
      <c r="Q137" t="str">
        <f>IFERROR(__xludf.DUMMYFUNCTION("""COMPUTED_VALUE"""),"Good")</f>
        <v>Good</v>
      </c>
      <c r="R137" t="str">
        <f>IFERROR(__xludf.DUMMYFUNCTION("""COMPUTED_VALUE"""),"Good")</f>
        <v>Good</v>
      </c>
      <c r="S137" t="str">
        <f>IFERROR(__xludf.DUMMYFUNCTION("""COMPUTED_VALUE"""),"Good")</f>
        <v>Good</v>
      </c>
      <c r="T137" t="str">
        <f>IFERROR(__xludf.DUMMYFUNCTION("""COMPUTED_VALUE"""),"Good")</f>
        <v>Good</v>
      </c>
      <c r="U137" t="str">
        <f>IFERROR(__xludf.DUMMYFUNCTION("""COMPUTED_VALUE"""),"Good")</f>
        <v>Good</v>
      </c>
      <c r="V137" t="str">
        <f>IFERROR(__xludf.DUMMYFUNCTION("""COMPUTED_VALUE"""),"Good")</f>
        <v>Good</v>
      </c>
      <c r="W137" t="str">
        <f>IFERROR(__xludf.DUMMYFUNCTION("""COMPUTED_VALUE"""),"Good")</f>
        <v>Good</v>
      </c>
      <c r="X137" t="str">
        <f>IFERROR(__xludf.DUMMYFUNCTION("""COMPUTED_VALUE"""),"Good")</f>
        <v>Good</v>
      </c>
      <c r="Y137" t="str">
        <f>IFERROR(__xludf.DUMMYFUNCTION("""COMPUTED_VALUE"""),"Good")</f>
        <v>Good</v>
      </c>
      <c r="Z137" t="str">
        <f>IFERROR(__xludf.DUMMYFUNCTION("""COMPUTED_VALUE"""),"Good")</f>
        <v>Good</v>
      </c>
      <c r="AA137" t="str">
        <f>IFERROR(__xludf.DUMMYFUNCTION("""COMPUTED_VALUE"""),"Good")</f>
        <v>Good</v>
      </c>
      <c r="AB137" t="str">
        <f>IFERROR(__xludf.DUMMYFUNCTION("""COMPUTED_VALUE"""),"Good")</f>
        <v>Good</v>
      </c>
      <c r="AC137" t="str">
        <f>IFERROR(__xludf.DUMMYFUNCTION("""COMPUTED_VALUE"""),"Good")</f>
        <v>Good</v>
      </c>
      <c r="AE137" s="11"/>
      <c r="AF137" t="s">
        <v>262</v>
      </c>
      <c r="AG137" s="17" t="s">
        <v>60</v>
      </c>
      <c r="AH137" s="12">
        <v>1316.0</v>
      </c>
      <c r="AI137" s="12" t="s">
        <v>355</v>
      </c>
      <c r="AJ137" s="19" t="s">
        <v>356</v>
      </c>
      <c r="AK137" s="20" t="str">
        <f>HYPERLINK("https://docs.google.com/document/d/12qKaqDTA40f8qxQAUU_wtTRdEwjpjOsa3wmJ7Cm-CR0/edit?usp=drivesdk","Ben Mowbray - 8/29/2018 10:15 AM")</f>
        <v>Ben Mowbray - 8/29/2018 10:15 AM</v>
      </c>
      <c r="AL137" s="12" t="s">
        <v>357</v>
      </c>
    </row>
    <row r="138">
      <c r="A138" s="10">
        <f>IFERROR(__xludf.DUMMYFUNCTION("""COMPUTED_VALUE"""),43342.405627210646)</f>
        <v>43342.40563</v>
      </c>
      <c r="B138" s="11" t="str">
        <f>IFERROR(__xludf.DUMMYFUNCTION("""COMPUTED_VALUE"""),"James Tomazinis")</f>
        <v>James Tomazinis</v>
      </c>
      <c r="C138" t="str">
        <f>IFERROR(__xludf.DUMMYFUNCTION("""COMPUTED_VALUE"""),"james.tomazinis@floridadep.gov")</f>
        <v>james.tomazinis@floridadep.gov</v>
      </c>
      <c r="D138" t="str">
        <f>IFERROR(__xludf.DUMMYFUNCTION("""COMPUTED_VALUE"""),"Stewardship (Aquatic)")</f>
        <v>Stewardship (Aquatic)</v>
      </c>
      <c r="E138" t="str">
        <f>IFERROR(__xludf.DUMMYFUNCTION("""COMPUTED_VALUE"""),"Bings")</f>
        <v>Bings</v>
      </c>
      <c r="F138" s="13">
        <f>IFERROR(__xludf.DUMMYFUNCTION("""COMPUTED_VALUE"""),0.4166666666678793)</f>
        <v>0.4166666667</v>
      </c>
      <c r="G138" s="14">
        <f>IFERROR(__xludf.DUMMYFUNCTION("""COMPUTED_VALUE"""),43342.0)</f>
        <v>43342</v>
      </c>
      <c r="H138" t="str">
        <f>IFERROR(__xludf.DUMMYFUNCTION("""COMPUTED_VALUE"""),"Matanzas River")</f>
        <v>Matanzas River</v>
      </c>
      <c r="I138" s="15">
        <f>IFERROR(__xludf.DUMMYFUNCTION("""COMPUTED_VALUE"""),0.6666666666678793)</f>
        <v>0.6666666667</v>
      </c>
      <c r="J138" s="16"/>
      <c r="K138" t="str">
        <f>IFERROR(__xludf.DUMMYFUNCTION("""COMPUTED_VALUE"""),"23ft Skiff (Bertha) FL7972LJ DEP07613")</f>
        <v>23ft Skiff (Bertha) FL7972LJ DEP07613</v>
      </c>
      <c r="M138" t="str">
        <f>IFERROR(__xludf.DUMMYFUNCTION("""COMPUTED_VALUE"""),"Ford F150 2015 (White) - DEP21448")</f>
        <v>Ford F150 2015 (White) - DEP21448</v>
      </c>
      <c r="N138" t="str">
        <f>IFERROR(__xludf.DUMMYFUNCTION("""COMPUTED_VALUE"""),"Jimmy Tomazinis, (904) 547-0094")</f>
        <v>Jimmy Tomazinis, (904) 547-0094</v>
      </c>
      <c r="O138" t="str">
        <f>IFERROR(__xludf.DUMMYFUNCTION("""COMPUTED_VALUE"""),"Annie Otto, Mike Dickson")</f>
        <v>Annie Otto, Mike Dickson</v>
      </c>
      <c r="P138" t="str">
        <f>IFERROR(__xludf.DUMMYFUNCTION("""COMPUTED_VALUE"""),"Jimmy")</f>
        <v>Jimmy</v>
      </c>
      <c r="Q138" t="str">
        <f>IFERROR(__xludf.DUMMYFUNCTION("""COMPUTED_VALUE"""),"Good")</f>
        <v>Good</v>
      </c>
      <c r="R138" t="str">
        <f>IFERROR(__xludf.DUMMYFUNCTION("""COMPUTED_VALUE"""),"Good")</f>
        <v>Good</v>
      </c>
      <c r="S138" t="str">
        <f>IFERROR(__xludf.DUMMYFUNCTION("""COMPUTED_VALUE"""),"Good")</f>
        <v>Good</v>
      </c>
      <c r="T138" t="str">
        <f>IFERROR(__xludf.DUMMYFUNCTION("""COMPUTED_VALUE"""),"Good")</f>
        <v>Good</v>
      </c>
      <c r="U138" t="str">
        <f>IFERROR(__xludf.DUMMYFUNCTION("""COMPUTED_VALUE"""),"Good")</f>
        <v>Good</v>
      </c>
      <c r="V138" t="str">
        <f>IFERROR(__xludf.DUMMYFUNCTION("""COMPUTED_VALUE"""),"Good")</f>
        <v>Good</v>
      </c>
      <c r="W138" t="str">
        <f>IFERROR(__xludf.DUMMYFUNCTION("""COMPUTED_VALUE"""),"Good")</f>
        <v>Good</v>
      </c>
      <c r="X138" t="str">
        <f>IFERROR(__xludf.DUMMYFUNCTION("""COMPUTED_VALUE"""),"Good")</f>
        <v>Good</v>
      </c>
      <c r="Y138" t="str">
        <f>IFERROR(__xludf.DUMMYFUNCTION("""COMPUTED_VALUE"""),"Good")</f>
        <v>Good</v>
      </c>
      <c r="Z138" t="str">
        <f>IFERROR(__xludf.DUMMYFUNCTION("""COMPUTED_VALUE"""),"Good")</f>
        <v>Good</v>
      </c>
      <c r="AA138" t="str">
        <f>IFERROR(__xludf.DUMMYFUNCTION("""COMPUTED_VALUE"""),"Good")</f>
        <v>Good</v>
      </c>
      <c r="AB138" t="str">
        <f>IFERROR(__xludf.DUMMYFUNCTION("""COMPUTED_VALUE"""),"Good")</f>
        <v>Good</v>
      </c>
      <c r="AC138" t="str">
        <f>IFERROR(__xludf.DUMMYFUNCTION("""COMPUTED_VALUE"""),"Good")</f>
        <v>Good</v>
      </c>
      <c r="AE138" s="11"/>
      <c r="AF138" t="s">
        <v>32</v>
      </c>
      <c r="AG138" s="17" t="s">
        <v>22</v>
      </c>
      <c r="AH138" s="12">
        <v>1530.0</v>
      </c>
      <c r="AI138" s="12" t="s">
        <v>358</v>
      </c>
      <c r="AJ138" s="19" t="s">
        <v>359</v>
      </c>
      <c r="AK138" s="20" t="str">
        <f>HYPERLINK("https://docs.google.com/document/d/1n6ckOJjtT5Kbqv-5GwvO7IK8Y_xs2-jWe9dPvarxoEo/edit?usp=drivesdk","James Tomazinis - 8/30/2018 10:00 AM")</f>
        <v>James Tomazinis - 8/30/2018 10:00 AM</v>
      </c>
      <c r="AL138" s="12" t="s">
        <v>360</v>
      </c>
    </row>
    <row r="139">
      <c r="A139" s="10">
        <f>IFERROR(__xludf.DUMMYFUNCTION("""COMPUTED_VALUE"""),43347.344824988424)</f>
        <v>43347.34482</v>
      </c>
      <c r="B139" s="11" t="str">
        <f>IFERROR(__xludf.DUMMYFUNCTION("""COMPUTED_VALUE"""),"Ben Mowbray")</f>
        <v>Ben Mowbray</v>
      </c>
      <c r="C139" t="str">
        <f>IFERROR(__xludf.DUMMYFUNCTION("""COMPUTED_VALUE"""),"ben.mowbray@dep.state.fl.us")</f>
        <v>ben.mowbray@dep.state.fl.us</v>
      </c>
      <c r="D139" t="str">
        <f>IFERROR(__xludf.DUMMYFUNCTION("""COMPUTED_VALUE"""),"Research/Pam")</f>
        <v>Research/Pam</v>
      </c>
      <c r="E139" t="str">
        <f>IFERROR(__xludf.DUMMYFUNCTION("""COMPUTED_VALUE"""),"Palm Valley")</f>
        <v>Palm Valley</v>
      </c>
      <c r="F139" s="13">
        <f>IFERROR(__xludf.DUMMYFUNCTION("""COMPUTED_VALUE"""),0.40277777777737356)</f>
        <v>0.4027777778</v>
      </c>
      <c r="G139" s="14">
        <f>IFERROR(__xludf.DUMMYFUNCTION("""COMPUTED_VALUE"""),43347.0)</f>
        <v>43347</v>
      </c>
      <c r="H139" t="str">
        <f>IFERROR(__xludf.DUMMYFUNCTION("""COMPUTED_VALUE"""),"Spat Run")</f>
        <v>Spat Run</v>
      </c>
      <c r="I139" s="15">
        <f>IFERROR(__xludf.DUMMYFUNCTION("""COMPUTED_VALUE"""),0.6458333333321207)</f>
        <v>0.6458333333</v>
      </c>
      <c r="J139" s="16">
        <f>IFERROR(__xludf.DUMMYFUNCTION("""COMPUTED_VALUE"""),43347.6875)</f>
        <v>43347.6875</v>
      </c>
      <c r="K139" t="str">
        <f>IFERROR(__xludf.DUMMYFUNCTION("""COMPUTED_VALUE"""),"20ft Sea Ark FL5351SJ UNF 2015")</f>
        <v>20ft Sea Ark FL5351SJ UNF 2015</v>
      </c>
      <c r="M139" t="str">
        <f>IFERROR(__xludf.DUMMYFUNCTION("""COMPUTED_VALUE"""),"DEP07668 Ford F150 2010")</f>
        <v>DEP07668 Ford F150 2010</v>
      </c>
      <c r="N139" t="str">
        <f>IFERROR(__xludf.DUMMYFUNCTION("""COMPUTED_VALUE"""),"Ben Mowbray, (407) 962-8782")</f>
        <v>Ben Mowbray, (407) 962-8782</v>
      </c>
      <c r="O139" t="str">
        <f>IFERROR(__xludf.DUMMYFUNCTION("""COMPUTED_VALUE"""),"Alicia Bishop, Marissa Raymond")</f>
        <v>Alicia Bishop, Marissa Raymond</v>
      </c>
      <c r="P139" t="str">
        <f>IFERROR(__xludf.DUMMYFUNCTION("""COMPUTED_VALUE"""),"Ben")</f>
        <v>Ben</v>
      </c>
      <c r="Q139" t="str">
        <f>IFERROR(__xludf.DUMMYFUNCTION("""COMPUTED_VALUE"""),"Good")</f>
        <v>Good</v>
      </c>
      <c r="R139" t="str">
        <f>IFERROR(__xludf.DUMMYFUNCTION("""COMPUTED_VALUE"""),"Good")</f>
        <v>Good</v>
      </c>
      <c r="S139" t="str">
        <f>IFERROR(__xludf.DUMMYFUNCTION("""COMPUTED_VALUE"""),"Good")</f>
        <v>Good</v>
      </c>
      <c r="T139" t="str">
        <f>IFERROR(__xludf.DUMMYFUNCTION("""COMPUTED_VALUE"""),"Good")</f>
        <v>Good</v>
      </c>
      <c r="U139" t="str">
        <f>IFERROR(__xludf.DUMMYFUNCTION("""COMPUTED_VALUE"""),"Good")</f>
        <v>Good</v>
      </c>
      <c r="V139" t="str">
        <f>IFERROR(__xludf.DUMMYFUNCTION("""COMPUTED_VALUE"""),"Good")</f>
        <v>Good</v>
      </c>
      <c r="W139" t="str">
        <f>IFERROR(__xludf.DUMMYFUNCTION("""COMPUTED_VALUE"""),"Good")</f>
        <v>Good</v>
      </c>
      <c r="X139" t="str">
        <f>IFERROR(__xludf.DUMMYFUNCTION("""COMPUTED_VALUE"""),"Good")</f>
        <v>Good</v>
      </c>
      <c r="Y139" t="str">
        <f>IFERROR(__xludf.DUMMYFUNCTION("""COMPUTED_VALUE"""),"Good")</f>
        <v>Good</v>
      </c>
      <c r="Z139" t="str">
        <f>IFERROR(__xludf.DUMMYFUNCTION("""COMPUTED_VALUE"""),"Good")</f>
        <v>Good</v>
      </c>
      <c r="AA139" t="str">
        <f>IFERROR(__xludf.DUMMYFUNCTION("""COMPUTED_VALUE"""),"Good")</f>
        <v>Good</v>
      </c>
      <c r="AB139" t="str">
        <f>IFERROR(__xludf.DUMMYFUNCTION("""COMPUTED_VALUE"""),"Good")</f>
        <v>Good</v>
      </c>
      <c r="AC139" t="str">
        <f>IFERROR(__xludf.DUMMYFUNCTION("""COMPUTED_VALUE"""),"Good")</f>
        <v>Good</v>
      </c>
      <c r="AE139" s="11"/>
      <c r="AF139" t="s">
        <v>262</v>
      </c>
      <c r="AG139" s="17" t="s">
        <v>18</v>
      </c>
      <c r="AH139" s="12">
        <v>1517.0</v>
      </c>
      <c r="AI139" s="12" t="s">
        <v>361</v>
      </c>
      <c r="AJ139" s="19" t="s">
        <v>362</v>
      </c>
      <c r="AK139" s="20" t="str">
        <f>HYPERLINK("https://docs.google.com/document/d/1Lmr6ukcytK5A4BRLAWOczZ0_erfF7eQyrndmyQl55_4/edit?usp=drivesdk","Ben Mowbray - 9/4/2018 9:40 AM")</f>
        <v>Ben Mowbray - 9/4/2018 9:40 AM</v>
      </c>
      <c r="AL139" s="12" t="s">
        <v>363</v>
      </c>
    </row>
    <row r="140">
      <c r="A140" s="10">
        <f>IFERROR(__xludf.DUMMYFUNCTION("""COMPUTED_VALUE"""),43347.660692743055)</f>
        <v>43347.66069</v>
      </c>
      <c r="B140" s="11" t="str">
        <f>IFERROR(__xludf.DUMMYFUNCTION("""COMPUTED_VALUE"""),"James Tomazinis")</f>
        <v>James Tomazinis</v>
      </c>
      <c r="C140" t="str">
        <f>IFERROR(__xludf.DUMMYFUNCTION("""COMPUTED_VALUE"""),"james.tomazinis@floridadep.gov")</f>
        <v>james.tomazinis@floridadep.gov</v>
      </c>
      <c r="D140" t="str">
        <f>IFERROR(__xludf.DUMMYFUNCTION("""COMPUTED_VALUE"""),"Stewardship (Aquatic)")</f>
        <v>Stewardship (Aquatic)</v>
      </c>
      <c r="E140" t="str">
        <f>IFERROR(__xludf.DUMMYFUNCTION("""COMPUTED_VALUE"""),"Vilano")</f>
        <v>Vilano</v>
      </c>
      <c r="F140" s="13">
        <f>IFERROR(__xludf.DUMMYFUNCTION("""COMPUTED_VALUE"""),0.2708333333321207)</f>
        <v>0.2708333333</v>
      </c>
      <c r="G140" s="14">
        <f>IFERROR(__xludf.DUMMYFUNCTION("""COMPUTED_VALUE"""),43348.0)</f>
        <v>43348</v>
      </c>
      <c r="H140" t="str">
        <f>IFERROR(__xludf.DUMMYFUNCTION("""COMPUTED_VALUE"""),"SWMP Sites")</f>
        <v>SWMP Sites</v>
      </c>
      <c r="I140" s="15">
        <f>IFERROR(__xludf.DUMMYFUNCTION("""COMPUTED_VALUE"""),0.5416666666678793)</f>
        <v>0.5416666667</v>
      </c>
      <c r="J140" s="16"/>
      <c r="K140" t="str">
        <f>IFERROR(__xludf.DUMMYFUNCTION("""COMPUTED_VALUE"""),"23ft Skiff (Bertha) FL7972LJ DEP07613")</f>
        <v>23ft Skiff (Bertha) FL7972LJ DEP07613</v>
      </c>
      <c r="M140" t="str">
        <f>IFERROR(__xludf.DUMMYFUNCTION("""COMPUTED_VALUE"""),"Ford F250 2017 (Moby Dix) - DEP0021578")</f>
        <v>Ford F250 2017 (Moby Dix) - DEP0021578</v>
      </c>
      <c r="N140" t="str">
        <f>IFERROR(__xludf.DUMMYFUNCTION("""COMPUTED_VALUE"""),"Nikki Dix, (352) 219-4079, Jimmy Tomazinis, (904) 547-0094")</f>
        <v>Nikki Dix, (352) 219-4079, Jimmy Tomazinis, (904) 547-0094</v>
      </c>
      <c r="O140" t="str">
        <f>IFERROR(__xludf.DUMMYFUNCTION("""COMPUTED_VALUE"""),"Jeff Finnan")</f>
        <v>Jeff Finnan</v>
      </c>
      <c r="P140" t="str">
        <f>IFERROR(__xludf.DUMMYFUNCTION("""COMPUTED_VALUE"""),"Jimmy")</f>
        <v>Jimmy</v>
      </c>
      <c r="Q140" t="str">
        <f>IFERROR(__xludf.DUMMYFUNCTION("""COMPUTED_VALUE"""),"Good")</f>
        <v>Good</v>
      </c>
      <c r="R140" t="str">
        <f>IFERROR(__xludf.DUMMYFUNCTION("""COMPUTED_VALUE"""),"Good")</f>
        <v>Good</v>
      </c>
      <c r="S140" t="str">
        <f>IFERROR(__xludf.DUMMYFUNCTION("""COMPUTED_VALUE"""),"Good")</f>
        <v>Good</v>
      </c>
      <c r="T140" t="str">
        <f>IFERROR(__xludf.DUMMYFUNCTION("""COMPUTED_VALUE"""),"Good")</f>
        <v>Good</v>
      </c>
      <c r="U140" t="str">
        <f>IFERROR(__xludf.DUMMYFUNCTION("""COMPUTED_VALUE"""),"Good")</f>
        <v>Good</v>
      </c>
      <c r="V140" t="str">
        <f>IFERROR(__xludf.DUMMYFUNCTION("""COMPUTED_VALUE"""),"Good")</f>
        <v>Good</v>
      </c>
      <c r="W140" t="str">
        <f>IFERROR(__xludf.DUMMYFUNCTION("""COMPUTED_VALUE"""),"Good")</f>
        <v>Good</v>
      </c>
      <c r="X140" t="str">
        <f>IFERROR(__xludf.DUMMYFUNCTION("""COMPUTED_VALUE"""),"Good")</f>
        <v>Good</v>
      </c>
      <c r="Y140" t="str">
        <f>IFERROR(__xludf.DUMMYFUNCTION("""COMPUTED_VALUE"""),"Good")</f>
        <v>Good</v>
      </c>
      <c r="Z140" t="str">
        <f>IFERROR(__xludf.DUMMYFUNCTION("""COMPUTED_VALUE"""),"Good")</f>
        <v>Good</v>
      </c>
      <c r="AA140" t="str">
        <f>IFERROR(__xludf.DUMMYFUNCTION("""COMPUTED_VALUE"""),"Good")</f>
        <v>Good</v>
      </c>
      <c r="AB140" t="str">
        <f>IFERROR(__xludf.DUMMYFUNCTION("""COMPUTED_VALUE"""),"Good")</f>
        <v>Good</v>
      </c>
      <c r="AC140" t="str">
        <f>IFERROR(__xludf.DUMMYFUNCTION("""COMPUTED_VALUE"""),"Good")</f>
        <v>Good</v>
      </c>
      <c r="AE140" s="11"/>
      <c r="AF140" t="s">
        <v>32</v>
      </c>
      <c r="AG140" s="17" t="s">
        <v>18</v>
      </c>
      <c r="AH140" s="12">
        <v>1045.0</v>
      </c>
      <c r="AI140" s="12" t="s">
        <v>364</v>
      </c>
      <c r="AJ140" s="19" t="s">
        <v>365</v>
      </c>
      <c r="AK140" s="20" t="str">
        <f>HYPERLINK("https://docs.google.com/document/d/1O7zNwJ7tD7cHfDAv1vY8YMgIs28bfzrPCLqAZVh0D54/edit?usp=drivesdk","James Tomazinis - 9/5/2018 6:30 AM")</f>
        <v>James Tomazinis - 9/5/2018 6:30 AM</v>
      </c>
      <c r="AL140" s="12" t="s">
        <v>366</v>
      </c>
    </row>
    <row r="141">
      <c r="A141" s="10">
        <f>IFERROR(__xludf.DUMMYFUNCTION("""COMPUTED_VALUE"""),43348.31595107639)</f>
        <v>43348.31595</v>
      </c>
      <c r="B141" s="11" t="str">
        <f>IFERROR(__xludf.DUMMYFUNCTION("""COMPUTED_VALUE"""),"Pamela Marcum")</f>
        <v>Pamela Marcum</v>
      </c>
      <c r="C141" t="str">
        <f>IFERROR(__xludf.DUMMYFUNCTION("""COMPUTED_VALUE"""),"Pamela.Marcum@dep.state.fl.us")</f>
        <v>Pamela.Marcum@dep.state.fl.us</v>
      </c>
      <c r="D141" t="str">
        <f>IFERROR(__xludf.DUMMYFUNCTION("""COMPUTED_VALUE"""),"Research/Nikki")</f>
        <v>Research/Nikki</v>
      </c>
      <c r="E141" t="str">
        <f>IFERROR(__xludf.DUMMYFUNCTION("""COMPUTED_VALUE"""),"Whitney Lab")</f>
        <v>Whitney Lab</v>
      </c>
      <c r="F141" s="13">
        <f>IFERROR(__xludf.DUMMYFUNCTION("""COMPUTED_VALUE"""),0.3958333333321207)</f>
        <v>0.3958333333</v>
      </c>
      <c r="G141" s="14">
        <f>IFERROR(__xludf.DUMMYFUNCTION("""COMPUTED_VALUE"""),43348.0)</f>
        <v>43348</v>
      </c>
      <c r="H141" t="str">
        <f>IFERROR(__xludf.DUMMYFUNCTION("""COMPUTED_VALUE"""),"Dolphin Creek")</f>
        <v>Dolphin Creek</v>
      </c>
      <c r="I141" s="15">
        <f>IFERROR(__xludf.DUMMYFUNCTION("""COMPUTED_VALUE"""),0.625)</f>
        <v>0.625</v>
      </c>
      <c r="J141" s="16">
        <f>IFERROR(__xludf.DUMMYFUNCTION("""COMPUTED_VALUE"""),43348.66666666667)</f>
        <v>43348.66667</v>
      </c>
      <c r="K141" t="str">
        <f>IFERROR(__xludf.DUMMYFUNCTION("""COMPUTED_VALUE"""),"F 20ft Sea Ark (Easy 200) FL8534PY DEP21451")</f>
        <v>F 20ft Sea Ark (Easy 200) FL8534PY DEP21451</v>
      </c>
      <c r="M141" t="str">
        <f>IFERROR(__xludf.DUMMYFUNCTION("""COMPUTED_VALUE"""),"Ford F150 2015 (White) - DEP21448")</f>
        <v>Ford F150 2015 (White) - DEP21448</v>
      </c>
      <c r="N141" t="str">
        <f>IFERROR(__xludf.DUMMYFUNCTION("""COMPUTED_VALUE"""),"Pam Marcum, (480) 332-5414")</f>
        <v>Pam Marcum, (480) 332-5414</v>
      </c>
      <c r="O141" t="str">
        <f>IFERROR(__xludf.DUMMYFUNCTION("""COMPUTED_VALUE"""),"Tatum Theodore, Morgan Langley, Tim Coons, Chuck Snavely")</f>
        <v>Tatum Theodore, Morgan Langley, Tim Coons, Chuck Snavely</v>
      </c>
      <c r="P141" t="str">
        <f>IFERROR(__xludf.DUMMYFUNCTION("""COMPUTED_VALUE"""),"Pamela Marcum")</f>
        <v>Pamela Marcum</v>
      </c>
      <c r="Q141" t="str">
        <f>IFERROR(__xludf.DUMMYFUNCTION("""COMPUTED_VALUE"""),"Good")</f>
        <v>Good</v>
      </c>
      <c r="R141" t="str">
        <f>IFERROR(__xludf.DUMMYFUNCTION("""COMPUTED_VALUE"""),"Good")</f>
        <v>Good</v>
      </c>
      <c r="S141" t="str">
        <f>IFERROR(__xludf.DUMMYFUNCTION("""COMPUTED_VALUE"""),"Good")</f>
        <v>Good</v>
      </c>
      <c r="T141" t="str">
        <f>IFERROR(__xludf.DUMMYFUNCTION("""COMPUTED_VALUE"""),"Good")</f>
        <v>Good</v>
      </c>
      <c r="U141" t="str">
        <f>IFERROR(__xludf.DUMMYFUNCTION("""COMPUTED_VALUE"""),"Good")</f>
        <v>Good</v>
      </c>
      <c r="V141" t="str">
        <f>IFERROR(__xludf.DUMMYFUNCTION("""COMPUTED_VALUE"""),"Good")</f>
        <v>Good</v>
      </c>
      <c r="W141" t="str">
        <f>IFERROR(__xludf.DUMMYFUNCTION("""COMPUTED_VALUE"""),"Good")</f>
        <v>Good</v>
      </c>
      <c r="X141" t="str">
        <f>IFERROR(__xludf.DUMMYFUNCTION("""COMPUTED_VALUE"""),"Good")</f>
        <v>Good</v>
      </c>
      <c r="Y141" t="str">
        <f>IFERROR(__xludf.DUMMYFUNCTION("""COMPUTED_VALUE"""),"Good")</f>
        <v>Good</v>
      </c>
      <c r="Z141" t="str">
        <f>IFERROR(__xludf.DUMMYFUNCTION("""COMPUTED_VALUE"""),"Good")</f>
        <v>Good</v>
      </c>
      <c r="AA141" t="str">
        <f>IFERROR(__xludf.DUMMYFUNCTION("""COMPUTED_VALUE"""),"Good")</f>
        <v>Good</v>
      </c>
      <c r="AB141" t="str">
        <f>IFERROR(__xludf.DUMMYFUNCTION("""COMPUTED_VALUE"""),"Good")</f>
        <v>Good</v>
      </c>
      <c r="AC141" t="str">
        <f>IFERROR(__xludf.DUMMYFUNCTION("""COMPUTED_VALUE"""),"Good")</f>
        <v>Good</v>
      </c>
      <c r="AE141" s="11"/>
      <c r="AF141" t="s">
        <v>218</v>
      </c>
      <c r="AG141" s="17" t="s">
        <v>18</v>
      </c>
      <c r="AH141" s="12">
        <v>1450.0</v>
      </c>
      <c r="AI141" s="12" t="s">
        <v>367</v>
      </c>
      <c r="AJ141" s="19" t="s">
        <v>368</v>
      </c>
      <c r="AK141" s="20" t="str">
        <f>HYPERLINK("https://docs.google.com/document/d/1kJHcvyhgyIpKw8P9mBqauadO_E-MGaX1yx9HngVDcEU/edit?usp=drivesdk","Pamela Marcum - 9/5/2018 9:30 AM")</f>
        <v>Pamela Marcum - 9/5/2018 9:30 AM</v>
      </c>
      <c r="AL141" s="12" t="s">
        <v>369</v>
      </c>
    </row>
    <row r="142">
      <c r="A142" s="10">
        <f>IFERROR(__xludf.DUMMYFUNCTION("""COMPUTED_VALUE"""),43348.33764722222)</f>
        <v>43348.33765</v>
      </c>
      <c r="B142" s="11" t="str">
        <f>IFERROR(__xludf.DUMMYFUNCTION("""COMPUTED_VALUE"""),"Ben Mowbray")</f>
        <v>Ben Mowbray</v>
      </c>
      <c r="C142" t="str">
        <f>IFERROR(__xludf.DUMMYFUNCTION("""COMPUTED_VALUE"""),"ben.mowbray@dep.state.fl.us")</f>
        <v>ben.mowbray@dep.state.fl.us</v>
      </c>
      <c r="D142" t="str">
        <f>IFERROR(__xludf.DUMMYFUNCTION("""COMPUTED_VALUE"""),"Research/Pam")</f>
        <v>Research/Pam</v>
      </c>
      <c r="E142" t="str">
        <f>IFERROR(__xludf.DUMMYFUNCTION("""COMPUTED_VALUE"""),"Aunt Kate's")</f>
        <v>Aunt Kate's</v>
      </c>
      <c r="F142" s="13">
        <f>IFERROR(__xludf.DUMMYFUNCTION("""COMPUTED_VALUE"""),0.38888888889050577)</f>
        <v>0.3888888889</v>
      </c>
      <c r="G142" s="14">
        <f>IFERROR(__xludf.DUMMYFUNCTION("""COMPUTED_VALUE"""),43348.0)</f>
        <v>43348</v>
      </c>
      <c r="H142" t="str">
        <f>IFERROR(__xludf.DUMMYFUNCTION("""COMPUTED_VALUE"""),"Kimbro Reefs in TR, GR")</f>
        <v>Kimbro Reefs in TR, GR</v>
      </c>
      <c r="I142" s="15">
        <f>IFERROR(__xludf.DUMMYFUNCTION("""COMPUTED_VALUE"""),0.5625)</f>
        <v>0.5625</v>
      </c>
      <c r="J142" s="16">
        <f>IFERROR(__xludf.DUMMYFUNCTION("""COMPUTED_VALUE"""),43348.59027777778)</f>
        <v>43348.59028</v>
      </c>
      <c r="K142" t="str">
        <f>IFERROR(__xludf.DUMMYFUNCTION("""COMPUTED_VALUE"""),"20ft Sea Ark FL5351SJ UNF 2015")</f>
        <v>20ft Sea Ark FL5351SJ UNF 2015</v>
      </c>
      <c r="M142" t="str">
        <f>IFERROR(__xludf.DUMMYFUNCTION("""COMPUTED_VALUE"""),"DEP07668 Ford F150 2010")</f>
        <v>DEP07668 Ford F150 2010</v>
      </c>
      <c r="N142" t="str">
        <f>IFERROR(__xludf.DUMMYFUNCTION("""COMPUTED_VALUE"""),"Ben Mowbray, (407) 962-8782")</f>
        <v>Ben Mowbray, (407) 962-8782</v>
      </c>
      <c r="O142" t="str">
        <f>IFERROR(__xludf.DUMMYFUNCTION("""COMPUTED_VALUE"""),"Craig Tinus, Nicole, Adrienne, Rodrigo")</f>
        <v>Craig Tinus, Nicole, Adrienne, Rodrigo</v>
      </c>
      <c r="P142" t="str">
        <f>IFERROR(__xludf.DUMMYFUNCTION("""COMPUTED_VALUE"""),"Ben")</f>
        <v>Ben</v>
      </c>
      <c r="Q142" t="str">
        <f>IFERROR(__xludf.DUMMYFUNCTION("""COMPUTED_VALUE"""),"Good")</f>
        <v>Good</v>
      </c>
      <c r="R142" t="str">
        <f>IFERROR(__xludf.DUMMYFUNCTION("""COMPUTED_VALUE"""),"Good")</f>
        <v>Good</v>
      </c>
      <c r="S142" t="str">
        <f>IFERROR(__xludf.DUMMYFUNCTION("""COMPUTED_VALUE"""),"Good")</f>
        <v>Good</v>
      </c>
      <c r="T142" t="str">
        <f>IFERROR(__xludf.DUMMYFUNCTION("""COMPUTED_VALUE"""),"Good")</f>
        <v>Good</v>
      </c>
      <c r="U142" t="str">
        <f>IFERROR(__xludf.DUMMYFUNCTION("""COMPUTED_VALUE"""),"Good")</f>
        <v>Good</v>
      </c>
      <c r="V142" t="str">
        <f>IFERROR(__xludf.DUMMYFUNCTION("""COMPUTED_VALUE"""),"Good")</f>
        <v>Good</v>
      </c>
      <c r="W142" t="str">
        <f>IFERROR(__xludf.DUMMYFUNCTION("""COMPUTED_VALUE"""),"Good")</f>
        <v>Good</v>
      </c>
      <c r="X142" t="str">
        <f>IFERROR(__xludf.DUMMYFUNCTION("""COMPUTED_VALUE"""),"Good")</f>
        <v>Good</v>
      </c>
      <c r="Y142" t="str">
        <f>IFERROR(__xludf.DUMMYFUNCTION("""COMPUTED_VALUE"""),"Good")</f>
        <v>Good</v>
      </c>
      <c r="Z142" t="str">
        <f>IFERROR(__xludf.DUMMYFUNCTION("""COMPUTED_VALUE"""),"Good")</f>
        <v>Good</v>
      </c>
      <c r="AA142" t="str">
        <f>IFERROR(__xludf.DUMMYFUNCTION("""COMPUTED_VALUE"""),"Good")</f>
        <v>Good</v>
      </c>
      <c r="AB142" t="str">
        <f>IFERROR(__xludf.DUMMYFUNCTION("""COMPUTED_VALUE"""),"Good")</f>
        <v>Good</v>
      </c>
      <c r="AC142" t="str">
        <f>IFERROR(__xludf.DUMMYFUNCTION("""COMPUTED_VALUE"""),"Good")</f>
        <v>Good</v>
      </c>
      <c r="AE142" s="11"/>
      <c r="AF142" t="s">
        <v>262</v>
      </c>
      <c r="AG142" s="17" t="s">
        <v>18</v>
      </c>
      <c r="AH142" s="12">
        <v>1307.0</v>
      </c>
      <c r="AI142" s="12" t="s">
        <v>370</v>
      </c>
      <c r="AJ142" s="19" t="s">
        <v>371</v>
      </c>
      <c r="AK142" s="20" t="str">
        <f>HYPERLINK("https://docs.google.com/document/d/1hlaZ7sS4mysE6nV8d7dJ53WrBvYx2rjjVBaLtrkEUXE/edit?usp=drivesdk","Ben Mowbray - 9/5/2018 9:20 AM")</f>
        <v>Ben Mowbray - 9/5/2018 9:20 AM</v>
      </c>
      <c r="AL142" s="12" t="s">
        <v>372</v>
      </c>
    </row>
    <row r="143">
      <c r="A143" s="10">
        <f>IFERROR(__xludf.DUMMYFUNCTION("""COMPUTED_VALUE"""),43348.60891362269)</f>
        <v>43348.60891</v>
      </c>
      <c r="B143" s="11" t="str">
        <f>IFERROR(__xludf.DUMMYFUNCTION("""COMPUTED_VALUE"""),"Jimmy Tomazinis")</f>
        <v>Jimmy Tomazinis</v>
      </c>
      <c r="C143" t="str">
        <f>IFERROR(__xludf.DUMMYFUNCTION("""COMPUTED_VALUE"""),"james.tomazinis@floridadep.gov")</f>
        <v>james.tomazinis@floridadep.gov</v>
      </c>
      <c r="D143" t="str">
        <f>IFERROR(__xludf.DUMMYFUNCTION("""COMPUTED_VALUE"""),"Stewardship (Aquatic)")</f>
        <v>Stewardship (Aquatic)</v>
      </c>
      <c r="E143" t="str">
        <f>IFERROR(__xludf.DUMMYFUNCTION("""COMPUTED_VALUE"""),"Guana Dam")</f>
        <v>Guana Dam</v>
      </c>
      <c r="F143" s="13">
        <f>IFERROR(__xludf.DUMMYFUNCTION("""COMPUTED_VALUE"""),0.3020833333321207)</f>
        <v>0.3020833333</v>
      </c>
      <c r="G143" s="14">
        <f>IFERROR(__xludf.DUMMYFUNCTION("""COMPUTED_VALUE"""),43349.0)</f>
        <v>43349</v>
      </c>
      <c r="H143" t="str">
        <f>IFERROR(__xludf.DUMMYFUNCTION("""COMPUTED_VALUE"""),"Guana River WQ Sampling sites")</f>
        <v>Guana River WQ Sampling sites</v>
      </c>
      <c r="I143" s="15">
        <f>IFERROR(__xludf.DUMMYFUNCTION("""COMPUTED_VALUE"""),0.375)</f>
        <v>0.375</v>
      </c>
      <c r="J143" s="16"/>
      <c r="K143" t="str">
        <f>IFERROR(__xludf.DUMMYFUNCTION("""COMPUTED_VALUE"""),"Jon Boat FL0484NP DEP06819")</f>
        <v>Jon Boat FL0484NP DEP06819</v>
      </c>
      <c r="M143" t="str">
        <f>IFERROR(__xludf.DUMMYFUNCTION("""COMPUTED_VALUE"""),"Ford F150 2008 - DEP18041 (SWMP Thing)")</f>
        <v>Ford F150 2008 - DEP18041 (SWMP Thing)</v>
      </c>
      <c r="N143" t="str">
        <f>IFERROR(__xludf.DUMMYFUNCTION("""COMPUTED_VALUE"""),"Jimmy Tomazinis, (904) 547-0094")</f>
        <v>Jimmy Tomazinis, (904) 547-0094</v>
      </c>
      <c r="O143" t="str">
        <f>IFERROR(__xludf.DUMMYFUNCTION("""COMPUTED_VALUE"""),"Hunter Mathews")</f>
        <v>Hunter Mathews</v>
      </c>
      <c r="P143" t="str">
        <f>IFERROR(__xludf.DUMMYFUNCTION("""COMPUTED_VALUE"""),"Jimmy")</f>
        <v>Jimmy</v>
      </c>
      <c r="Q143" t="str">
        <f>IFERROR(__xludf.DUMMYFUNCTION("""COMPUTED_VALUE"""),"Good")</f>
        <v>Good</v>
      </c>
      <c r="R143" t="str">
        <f>IFERROR(__xludf.DUMMYFUNCTION("""COMPUTED_VALUE"""),"Good")</f>
        <v>Good</v>
      </c>
      <c r="S143" t="str">
        <f>IFERROR(__xludf.DUMMYFUNCTION("""COMPUTED_VALUE"""),"Good")</f>
        <v>Good</v>
      </c>
      <c r="T143" t="str">
        <f>IFERROR(__xludf.DUMMYFUNCTION("""COMPUTED_VALUE"""),"Good")</f>
        <v>Good</v>
      </c>
      <c r="U143" t="str">
        <f>IFERROR(__xludf.DUMMYFUNCTION("""COMPUTED_VALUE"""),"Good")</f>
        <v>Good</v>
      </c>
      <c r="V143" t="str">
        <f>IFERROR(__xludf.DUMMYFUNCTION("""COMPUTED_VALUE"""),"Good")</f>
        <v>Good</v>
      </c>
      <c r="W143" t="str">
        <f>IFERROR(__xludf.DUMMYFUNCTION("""COMPUTED_VALUE"""),"Good")</f>
        <v>Good</v>
      </c>
      <c r="X143" t="str">
        <f>IFERROR(__xludf.DUMMYFUNCTION("""COMPUTED_VALUE"""),"Good")</f>
        <v>Good</v>
      </c>
      <c r="Y143" t="str">
        <f>IFERROR(__xludf.DUMMYFUNCTION("""COMPUTED_VALUE"""),"Good")</f>
        <v>Good</v>
      </c>
      <c r="Z143" t="str">
        <f>IFERROR(__xludf.DUMMYFUNCTION("""COMPUTED_VALUE"""),"Good")</f>
        <v>Good</v>
      </c>
      <c r="AA143" t="str">
        <f>IFERROR(__xludf.DUMMYFUNCTION("""COMPUTED_VALUE"""),"Good")</f>
        <v>Good</v>
      </c>
      <c r="AB143" t="str">
        <f>IFERROR(__xludf.DUMMYFUNCTION("""COMPUTED_VALUE"""),"Good")</f>
        <v>Good</v>
      </c>
      <c r="AC143" t="str">
        <f>IFERROR(__xludf.DUMMYFUNCTION("""COMPUTED_VALUE"""),"Good")</f>
        <v>Good</v>
      </c>
      <c r="AE143" s="11"/>
      <c r="AF143" t="s">
        <v>32</v>
      </c>
      <c r="AG143" s="17" t="s">
        <v>18</v>
      </c>
      <c r="AH143" s="12">
        <v>1050.0</v>
      </c>
      <c r="AI143" s="12" t="s">
        <v>373</v>
      </c>
      <c r="AJ143" s="19" t="s">
        <v>374</v>
      </c>
      <c r="AK143" s="20" t="str">
        <f>HYPERLINK("https://docs.google.com/document/d/1uWaH_X62R2Liuv1Udb-7AgjTcZgYdkQkjrG1FW0qql4/edit?usp=drivesdk","Jimmy Tomazinis - 9/6/2018 7:15 AM")</f>
        <v>Jimmy Tomazinis - 9/6/2018 7:15 AM</v>
      </c>
      <c r="AL143" s="12" t="s">
        <v>375</v>
      </c>
    </row>
    <row r="144">
      <c r="A144" s="10">
        <f>IFERROR(__xludf.DUMMYFUNCTION("""COMPUTED_VALUE"""),43349.33683384259)</f>
        <v>43349.33683</v>
      </c>
      <c r="B144" s="11" t="str">
        <f>IFERROR(__xludf.DUMMYFUNCTION("""COMPUTED_VALUE"""),"Ben Mowbray")</f>
        <v>Ben Mowbray</v>
      </c>
      <c r="C144" t="str">
        <f>IFERROR(__xludf.DUMMYFUNCTION("""COMPUTED_VALUE"""),"Ben.mowbray@dep.state.fl.us")</f>
        <v>Ben.mowbray@dep.state.fl.us</v>
      </c>
      <c r="D144" t="str">
        <f>IFERROR(__xludf.DUMMYFUNCTION("""COMPUTED_VALUE"""),"Research/Pam")</f>
        <v>Research/Pam</v>
      </c>
      <c r="E144" t="str">
        <f>IFERROR(__xludf.DUMMYFUNCTION("""COMPUTED_VALUE"""),"Shore Dr. =&gt; Aunt Kate's")</f>
        <v>Shore Dr. =&gt; Aunt Kate's</v>
      </c>
      <c r="F144" s="13">
        <f>IFERROR(__xludf.DUMMYFUNCTION("""COMPUTED_VALUE"""),0.38888888889050577)</f>
        <v>0.3888888889</v>
      </c>
      <c r="G144" s="14">
        <f>IFERROR(__xludf.DUMMYFUNCTION("""COMPUTED_VALUE"""),43349.0)</f>
        <v>43349</v>
      </c>
      <c r="H144" t="str">
        <f>IFERROR(__xludf.DUMMYFUNCTION("""COMPUTED_VALUE"""),"Kimbro Reefs SA, RC, GR, PI")</f>
        <v>Kimbro Reefs SA, RC, GR, PI</v>
      </c>
      <c r="I144" s="15">
        <f>IFERROR(__xludf.DUMMYFUNCTION("""COMPUTED_VALUE"""),0.5833333333321207)</f>
        <v>0.5833333333</v>
      </c>
      <c r="J144" s="16">
        <f>IFERROR(__xludf.DUMMYFUNCTION("""COMPUTED_VALUE"""),43349.625)</f>
        <v>43349.625</v>
      </c>
      <c r="K144" t="str">
        <f>IFERROR(__xludf.DUMMYFUNCTION("""COMPUTED_VALUE"""),"23ft Skiff (Bertha) FL7972LJ DEP07613")</f>
        <v>23ft Skiff (Bertha) FL7972LJ DEP07613</v>
      </c>
      <c r="M144" t="str">
        <f>IFERROR(__xludf.DUMMYFUNCTION("""COMPUTED_VALUE"""),"Ford F250 2017 (Moby Dix) - DEP0021578")</f>
        <v>Ford F250 2017 (Moby Dix) - DEP0021578</v>
      </c>
      <c r="N144" t="str">
        <f>IFERROR(__xludf.DUMMYFUNCTION("""COMPUTED_VALUE"""),"Ben Mowbray, (407) 962-8782")</f>
        <v>Ben Mowbray, (407) 962-8782</v>
      </c>
      <c r="O144" t="str">
        <f>IFERROR(__xludf.DUMMYFUNCTION("""COMPUTED_VALUE"""),"Nicole, Rodrigo, Adrienne")</f>
        <v>Nicole, Rodrigo, Adrienne</v>
      </c>
      <c r="P144" t="str">
        <f>IFERROR(__xludf.DUMMYFUNCTION("""COMPUTED_VALUE"""),"Ben")</f>
        <v>Ben</v>
      </c>
      <c r="Q144" t="str">
        <f>IFERROR(__xludf.DUMMYFUNCTION("""COMPUTED_VALUE"""),"Good")</f>
        <v>Good</v>
      </c>
      <c r="R144" t="str">
        <f>IFERROR(__xludf.DUMMYFUNCTION("""COMPUTED_VALUE"""),"Good")</f>
        <v>Good</v>
      </c>
      <c r="S144" t="str">
        <f>IFERROR(__xludf.DUMMYFUNCTION("""COMPUTED_VALUE"""),"Good")</f>
        <v>Good</v>
      </c>
      <c r="T144" t="str">
        <f>IFERROR(__xludf.DUMMYFUNCTION("""COMPUTED_VALUE"""),"Good")</f>
        <v>Good</v>
      </c>
      <c r="U144" t="str">
        <f>IFERROR(__xludf.DUMMYFUNCTION("""COMPUTED_VALUE"""),"Good")</f>
        <v>Good</v>
      </c>
      <c r="V144" t="str">
        <f>IFERROR(__xludf.DUMMYFUNCTION("""COMPUTED_VALUE"""),"Good")</f>
        <v>Good</v>
      </c>
      <c r="W144" t="str">
        <f>IFERROR(__xludf.DUMMYFUNCTION("""COMPUTED_VALUE"""),"Good")</f>
        <v>Good</v>
      </c>
      <c r="X144" t="str">
        <f>IFERROR(__xludf.DUMMYFUNCTION("""COMPUTED_VALUE"""),"Good")</f>
        <v>Good</v>
      </c>
      <c r="Y144" t="str">
        <f>IFERROR(__xludf.DUMMYFUNCTION("""COMPUTED_VALUE"""),"Good")</f>
        <v>Good</v>
      </c>
      <c r="Z144" t="str">
        <f>IFERROR(__xludf.DUMMYFUNCTION("""COMPUTED_VALUE"""),"Good")</f>
        <v>Good</v>
      </c>
      <c r="AA144" t="str">
        <f>IFERROR(__xludf.DUMMYFUNCTION("""COMPUTED_VALUE"""),"Good")</f>
        <v>Good</v>
      </c>
      <c r="AB144" t="str">
        <f>IFERROR(__xludf.DUMMYFUNCTION("""COMPUTED_VALUE"""),"Good")</f>
        <v>Good</v>
      </c>
      <c r="AC144" t="str">
        <f>IFERROR(__xludf.DUMMYFUNCTION("""COMPUTED_VALUE"""),"Good")</f>
        <v>Good</v>
      </c>
      <c r="AE144" s="11"/>
      <c r="AF144" t="s">
        <v>262</v>
      </c>
      <c r="AG144" s="17" t="s">
        <v>18</v>
      </c>
      <c r="AH144" s="12">
        <v>1420.0</v>
      </c>
      <c r="AI144" s="12" t="s">
        <v>376</v>
      </c>
      <c r="AJ144" s="19" t="s">
        <v>377</v>
      </c>
      <c r="AK144" s="20" t="str">
        <f>HYPERLINK("https://docs.google.com/document/d/1yedKFixA69V0VtSDY7-I0SVCLPtcIuBrNsPWlFA5t0Q/edit?usp=drivesdk","Ben Mowbray - 9/6/2018 9:20 AM")</f>
        <v>Ben Mowbray - 9/6/2018 9:20 AM</v>
      </c>
      <c r="AL144" s="12" t="s">
        <v>378</v>
      </c>
    </row>
    <row r="145">
      <c r="A145" s="10">
        <f>IFERROR(__xludf.DUMMYFUNCTION("""COMPUTED_VALUE"""),43349.379244537035)</f>
        <v>43349.37924</v>
      </c>
      <c r="B145" s="11" t="str">
        <f>IFERROR(__xludf.DUMMYFUNCTION("""COMPUTED_VALUE"""),"Pamela Marcum")</f>
        <v>Pamela Marcum</v>
      </c>
      <c r="C145" t="str">
        <f>IFERROR(__xludf.DUMMYFUNCTION("""COMPUTED_VALUE"""),"Pamela.Marcum@Dep.state.fl.us")</f>
        <v>Pamela.Marcum@Dep.state.fl.us</v>
      </c>
      <c r="D145" t="str">
        <f>IFERROR(__xludf.DUMMYFUNCTION("""COMPUTED_VALUE"""),"Research/Nikki")</f>
        <v>Research/Nikki</v>
      </c>
      <c r="E145" t="str">
        <f>IFERROR(__xludf.DUMMYFUNCTION("""COMPUTED_VALUE"""),"Whitney Lab")</f>
        <v>Whitney Lab</v>
      </c>
      <c r="F145" s="13">
        <f>IFERROR(__xludf.DUMMYFUNCTION("""COMPUTED_VALUE"""),0.4375)</f>
        <v>0.4375</v>
      </c>
      <c r="G145" s="14">
        <f>IFERROR(__xludf.DUMMYFUNCTION("""COMPUTED_VALUE"""),43349.0)</f>
        <v>43349</v>
      </c>
      <c r="H145" t="str">
        <f>IFERROR(__xludf.DUMMYFUNCTION("""COMPUTED_VALUE"""),"Summerhaven Bridge/Whitney Reefs")</f>
        <v>Summerhaven Bridge/Whitney Reefs</v>
      </c>
      <c r="I145" s="15">
        <f>IFERROR(__xludf.DUMMYFUNCTION("""COMPUTED_VALUE"""),0.625)</f>
        <v>0.625</v>
      </c>
      <c r="J145" s="16">
        <f>IFERROR(__xludf.DUMMYFUNCTION("""COMPUTED_VALUE"""),43348.66666666667)</f>
        <v>43348.66667</v>
      </c>
      <c r="K145" t="str">
        <f>IFERROR(__xludf.DUMMYFUNCTION("""COMPUTED_VALUE"""),"F 20ft Sea Ark (Easy 200) FL8534PY DEP21451")</f>
        <v>F 20ft Sea Ark (Easy 200) FL8534PY DEP21451</v>
      </c>
      <c r="M145" t="str">
        <f>IFERROR(__xludf.DUMMYFUNCTION("""COMPUTED_VALUE"""),"Ford F150 2015 (White) - DEP21448")</f>
        <v>Ford F150 2015 (White) - DEP21448</v>
      </c>
      <c r="N145" t="str">
        <f>IFERROR(__xludf.DUMMYFUNCTION("""COMPUTED_VALUE"""),"Pam Marcum, (480) 332-5414")</f>
        <v>Pam Marcum, (480) 332-5414</v>
      </c>
      <c r="O145" t="str">
        <f>IFERROR(__xludf.DUMMYFUNCTION("""COMPUTED_VALUE"""),"Tim Coons, Alle Knoell, Jeff Stephenson, George Morgan, Ron Coyne")</f>
        <v>Tim Coons, Alle Knoell, Jeff Stephenson, George Morgan, Ron Coyne</v>
      </c>
      <c r="P145" t="str">
        <f>IFERROR(__xludf.DUMMYFUNCTION("""COMPUTED_VALUE"""),"Pamela Marcum")</f>
        <v>Pamela Marcum</v>
      </c>
      <c r="Q145" t="str">
        <f>IFERROR(__xludf.DUMMYFUNCTION("""COMPUTED_VALUE"""),"Good")</f>
        <v>Good</v>
      </c>
      <c r="R145" t="str">
        <f>IFERROR(__xludf.DUMMYFUNCTION("""COMPUTED_VALUE"""),"Good")</f>
        <v>Good</v>
      </c>
      <c r="S145" t="str">
        <f>IFERROR(__xludf.DUMMYFUNCTION("""COMPUTED_VALUE"""),"Good")</f>
        <v>Good</v>
      </c>
      <c r="T145" t="str">
        <f>IFERROR(__xludf.DUMMYFUNCTION("""COMPUTED_VALUE"""),"Good")</f>
        <v>Good</v>
      </c>
      <c r="U145" t="str">
        <f>IFERROR(__xludf.DUMMYFUNCTION("""COMPUTED_VALUE"""),"Good")</f>
        <v>Good</v>
      </c>
      <c r="V145" t="str">
        <f>IFERROR(__xludf.DUMMYFUNCTION("""COMPUTED_VALUE"""),"Good")</f>
        <v>Good</v>
      </c>
      <c r="W145" t="str">
        <f>IFERROR(__xludf.DUMMYFUNCTION("""COMPUTED_VALUE"""),"Good")</f>
        <v>Good</v>
      </c>
      <c r="X145" t="str">
        <f>IFERROR(__xludf.DUMMYFUNCTION("""COMPUTED_VALUE"""),"Good")</f>
        <v>Good</v>
      </c>
      <c r="Y145" t="str">
        <f>IFERROR(__xludf.DUMMYFUNCTION("""COMPUTED_VALUE"""),"Good")</f>
        <v>Good</v>
      </c>
      <c r="Z145" t="str">
        <f>IFERROR(__xludf.DUMMYFUNCTION("""COMPUTED_VALUE"""),"Good")</f>
        <v>Good</v>
      </c>
      <c r="AA145" t="str">
        <f>IFERROR(__xludf.DUMMYFUNCTION("""COMPUTED_VALUE"""),"Good")</f>
        <v>Good</v>
      </c>
      <c r="AB145" t="str">
        <f>IFERROR(__xludf.DUMMYFUNCTION("""COMPUTED_VALUE"""),"Good")</f>
        <v>Good</v>
      </c>
      <c r="AC145" t="str">
        <f>IFERROR(__xludf.DUMMYFUNCTION("""COMPUTED_VALUE"""),"Good")</f>
        <v>Good</v>
      </c>
      <c r="AE145" s="11"/>
      <c r="AF145" t="s">
        <v>218</v>
      </c>
      <c r="AG145" s="17" t="s">
        <v>18</v>
      </c>
      <c r="AH145" s="12">
        <v>1505.0</v>
      </c>
      <c r="AI145" s="12" t="s">
        <v>379</v>
      </c>
      <c r="AJ145" s="19" t="s">
        <v>380</v>
      </c>
      <c r="AK145" s="20" t="str">
        <f>HYPERLINK("https://docs.google.com/document/d/17DVNObsevh1PglvOtUWG2_f9xR1DhwO97Kb9C_lXeyg/edit?usp=drivesdk","Pamela Marcum - 9/6/2018 10:30 AM")</f>
        <v>Pamela Marcum - 9/6/2018 10:30 AM</v>
      </c>
      <c r="AL145" s="12" t="s">
        <v>381</v>
      </c>
    </row>
    <row r="146">
      <c r="A146" s="10">
        <f>IFERROR(__xludf.DUMMYFUNCTION("""COMPUTED_VALUE"""),43350.373606030094)</f>
        <v>43350.37361</v>
      </c>
      <c r="B146" s="11" t="str">
        <f>IFERROR(__xludf.DUMMYFUNCTION("""COMPUTED_VALUE"""),"Ben Mowbray")</f>
        <v>Ben Mowbray</v>
      </c>
      <c r="C146" t="str">
        <f>IFERROR(__xludf.DUMMYFUNCTION("""COMPUTED_VALUE"""),"ben.mowbray@dep.state.fl.us")</f>
        <v>ben.mowbray@dep.state.fl.us</v>
      </c>
      <c r="D146" t="str">
        <f>IFERROR(__xludf.DUMMYFUNCTION("""COMPUTED_VALUE"""),"Research/Pam")</f>
        <v>Research/Pam</v>
      </c>
      <c r="E146" t="str">
        <f>IFERROR(__xludf.DUMMYFUNCTION("""COMPUTED_VALUE"""),"Green Rd. =&gt; Anastasia Lighthouse")</f>
        <v>Green Rd. =&gt; Anastasia Lighthouse</v>
      </c>
      <c r="F146" s="13">
        <f>IFERROR(__xludf.DUMMYFUNCTION("""COMPUTED_VALUE"""),0.4375)</f>
        <v>0.4375</v>
      </c>
      <c r="G146" s="14">
        <f>IFERROR(__xludf.DUMMYFUNCTION("""COMPUTED_VALUE"""),43350.0)</f>
        <v>43350</v>
      </c>
      <c r="H146" t="str">
        <f>IFERROR(__xludf.DUMMYFUNCTION("""COMPUTED_VALUE"""),"FM, SR Reefs")</f>
        <v>FM, SR Reefs</v>
      </c>
      <c r="I146" s="15">
        <f>IFERROR(__xludf.DUMMYFUNCTION("""COMPUTED_VALUE"""),0.5416666666678793)</f>
        <v>0.5416666667</v>
      </c>
      <c r="J146" s="16">
        <f>IFERROR(__xludf.DUMMYFUNCTION("""COMPUTED_VALUE"""),43350.569444444445)</f>
        <v>43350.56944</v>
      </c>
      <c r="K146" t="str">
        <f>IFERROR(__xludf.DUMMYFUNCTION("""COMPUTED_VALUE"""),"23ft Skiff (Bertha) FL7972LJ DEP07613")</f>
        <v>23ft Skiff (Bertha) FL7972LJ DEP07613</v>
      </c>
      <c r="M146" t="str">
        <f>IFERROR(__xludf.DUMMYFUNCTION("""COMPUTED_VALUE"""),"Ford F250 2017 (Moby Dix) - DEP0021578")</f>
        <v>Ford F250 2017 (Moby Dix) - DEP0021578</v>
      </c>
      <c r="N146" t="str">
        <f>IFERROR(__xludf.DUMMYFUNCTION("""COMPUTED_VALUE"""),"Ben Mowbray, (407) 962-8782")</f>
        <v>Ben Mowbray, (407) 962-8782</v>
      </c>
      <c r="O146" t="str">
        <f>IFERROR(__xludf.DUMMYFUNCTION("""COMPUTED_VALUE"""),"Alicia")</f>
        <v>Alicia</v>
      </c>
      <c r="P146" t="str">
        <f>IFERROR(__xludf.DUMMYFUNCTION("""COMPUTED_VALUE"""),"Ben")</f>
        <v>Ben</v>
      </c>
      <c r="Q146" t="str">
        <f>IFERROR(__xludf.DUMMYFUNCTION("""COMPUTED_VALUE"""),"Good")</f>
        <v>Good</v>
      </c>
      <c r="R146" t="str">
        <f>IFERROR(__xludf.DUMMYFUNCTION("""COMPUTED_VALUE"""),"Good")</f>
        <v>Good</v>
      </c>
      <c r="S146" t="str">
        <f>IFERROR(__xludf.DUMMYFUNCTION("""COMPUTED_VALUE"""),"Good")</f>
        <v>Good</v>
      </c>
      <c r="T146" t="str">
        <f>IFERROR(__xludf.DUMMYFUNCTION("""COMPUTED_VALUE"""),"Good")</f>
        <v>Good</v>
      </c>
      <c r="U146" t="str">
        <f>IFERROR(__xludf.DUMMYFUNCTION("""COMPUTED_VALUE"""),"Good")</f>
        <v>Good</v>
      </c>
      <c r="V146" t="str">
        <f>IFERROR(__xludf.DUMMYFUNCTION("""COMPUTED_VALUE"""),"Good")</f>
        <v>Good</v>
      </c>
      <c r="W146" t="str">
        <f>IFERROR(__xludf.DUMMYFUNCTION("""COMPUTED_VALUE"""),"Good")</f>
        <v>Good</v>
      </c>
      <c r="X146" t="str">
        <f>IFERROR(__xludf.DUMMYFUNCTION("""COMPUTED_VALUE"""),"Good")</f>
        <v>Good</v>
      </c>
      <c r="Y146" t="str">
        <f>IFERROR(__xludf.DUMMYFUNCTION("""COMPUTED_VALUE"""),"Good")</f>
        <v>Good</v>
      </c>
      <c r="Z146" t="str">
        <f>IFERROR(__xludf.DUMMYFUNCTION("""COMPUTED_VALUE"""),"Good")</f>
        <v>Good</v>
      </c>
      <c r="AA146" t="str">
        <f>IFERROR(__xludf.DUMMYFUNCTION("""COMPUTED_VALUE"""),"Good")</f>
        <v>Good</v>
      </c>
      <c r="AB146" t="str">
        <f>IFERROR(__xludf.DUMMYFUNCTION("""COMPUTED_VALUE"""),"Good")</f>
        <v>Good</v>
      </c>
      <c r="AC146" t="str">
        <f>IFERROR(__xludf.DUMMYFUNCTION("""COMPUTED_VALUE"""),"Good")</f>
        <v>Good</v>
      </c>
      <c r="AE146" s="11"/>
      <c r="AF146" t="s">
        <v>262</v>
      </c>
      <c r="AG146" s="17" t="s">
        <v>43</v>
      </c>
      <c r="AH146" s="12">
        <v>1255.0</v>
      </c>
      <c r="AI146" s="12" t="s">
        <v>382</v>
      </c>
      <c r="AJ146" s="19" t="s">
        <v>383</v>
      </c>
      <c r="AK146" s="20" t="str">
        <f>HYPERLINK("https://docs.google.com/document/d/1vK2OVKgBHmbnDyydJiI28-r72XA9d-1diz04IeBEKo4/edit?usp=drivesdk","Ben Mowbray - 9/7/2018 10:30 AM")</f>
        <v>Ben Mowbray - 9/7/2018 10:30 AM</v>
      </c>
      <c r="AL146" s="12" t="s">
        <v>384</v>
      </c>
    </row>
    <row r="147">
      <c r="A147" s="10">
        <f>IFERROR(__xludf.DUMMYFUNCTION("""COMPUTED_VALUE"""),43350.48477306713)</f>
        <v>43350.48477</v>
      </c>
      <c r="B147" s="11" t="str">
        <f>IFERROR(__xludf.DUMMYFUNCTION("""COMPUTED_VALUE"""),"Pam Marcum")</f>
        <v>Pam Marcum</v>
      </c>
      <c r="C147" t="str">
        <f>IFERROR(__xludf.DUMMYFUNCTION("""COMPUTED_VALUE"""),"pamela.marcum@dep.state.fl.us")</f>
        <v>pamela.marcum@dep.state.fl.us</v>
      </c>
      <c r="D147" t="str">
        <f>IFERROR(__xludf.DUMMYFUNCTION("""COMPUTED_VALUE"""),"Research/Nikki")</f>
        <v>Research/Nikki</v>
      </c>
      <c r="E147" t="str">
        <f>IFERROR(__xludf.DUMMYFUNCTION("""COMPUTED_VALUE"""),"Whitney lab")</f>
        <v>Whitney lab</v>
      </c>
      <c r="F147" s="13">
        <f>IFERROR(__xludf.DUMMYFUNCTION("""COMPUTED_VALUE"""),0.4791666666678793)</f>
        <v>0.4791666667</v>
      </c>
      <c r="G147" s="14">
        <f>IFERROR(__xludf.DUMMYFUNCTION("""COMPUTED_VALUE"""),43350.0)</f>
        <v>43350</v>
      </c>
      <c r="H147" t="str">
        <f>IFERROR(__xludf.DUMMYFUNCTION("""COMPUTED_VALUE"""),"Whitney reefs and pellicer spat")</f>
        <v>Whitney reefs and pellicer spat</v>
      </c>
      <c r="I147" s="15">
        <f>IFERROR(__xludf.DUMMYFUNCTION("""COMPUTED_VALUE"""),0.625)</f>
        <v>0.625</v>
      </c>
      <c r="J147" s="16">
        <f>IFERROR(__xludf.DUMMYFUNCTION("""COMPUTED_VALUE"""),43350.66666666667)</f>
        <v>43350.66667</v>
      </c>
      <c r="K147" t="str">
        <f>IFERROR(__xludf.DUMMYFUNCTION("""COMPUTED_VALUE"""),"F 20ft Sea Ark (Easy 200) FL8534PY DEP21451")</f>
        <v>F 20ft Sea Ark (Easy 200) FL8534PY DEP21451</v>
      </c>
      <c r="M147" t="str">
        <f>IFERROR(__xludf.DUMMYFUNCTION("""COMPUTED_VALUE"""),"Ford F150 2015 (White) - DEP21448")</f>
        <v>Ford F150 2015 (White) - DEP21448</v>
      </c>
      <c r="N147" t="str">
        <f>IFERROR(__xludf.DUMMYFUNCTION("""COMPUTED_VALUE"""),"Pam Marcum, (480) 332-5414")</f>
        <v>Pam Marcum, (480) 332-5414</v>
      </c>
      <c r="O147" t="str">
        <f>IFERROR(__xludf.DUMMYFUNCTION("""COMPUTED_VALUE"""),"Chris Kurtz, Julie Edwards, Diane ")</f>
        <v>Chris Kurtz, Julie Edwards, Diane </v>
      </c>
      <c r="P147" t="str">
        <f>IFERROR(__xludf.DUMMYFUNCTION("""COMPUTED_VALUE"""),"Pam")</f>
        <v>Pam</v>
      </c>
      <c r="Q147" t="str">
        <f>IFERROR(__xludf.DUMMYFUNCTION("""COMPUTED_VALUE"""),"Good")</f>
        <v>Good</v>
      </c>
      <c r="R147" t="str">
        <f>IFERROR(__xludf.DUMMYFUNCTION("""COMPUTED_VALUE"""),"Good")</f>
        <v>Good</v>
      </c>
      <c r="S147" t="str">
        <f>IFERROR(__xludf.DUMMYFUNCTION("""COMPUTED_VALUE"""),"Good")</f>
        <v>Good</v>
      </c>
      <c r="T147" t="str">
        <f>IFERROR(__xludf.DUMMYFUNCTION("""COMPUTED_VALUE"""),"Good")</f>
        <v>Good</v>
      </c>
      <c r="U147" t="str">
        <f>IFERROR(__xludf.DUMMYFUNCTION("""COMPUTED_VALUE"""),"Good")</f>
        <v>Good</v>
      </c>
      <c r="V147" t="str">
        <f>IFERROR(__xludf.DUMMYFUNCTION("""COMPUTED_VALUE"""),"Good")</f>
        <v>Good</v>
      </c>
      <c r="W147" t="str">
        <f>IFERROR(__xludf.DUMMYFUNCTION("""COMPUTED_VALUE"""),"Good")</f>
        <v>Good</v>
      </c>
      <c r="X147" t="str">
        <f>IFERROR(__xludf.DUMMYFUNCTION("""COMPUTED_VALUE"""),"Good")</f>
        <v>Good</v>
      </c>
      <c r="Y147" t="str">
        <f>IFERROR(__xludf.DUMMYFUNCTION("""COMPUTED_VALUE"""),"Good")</f>
        <v>Good</v>
      </c>
      <c r="Z147" t="str">
        <f>IFERROR(__xludf.DUMMYFUNCTION("""COMPUTED_VALUE"""),"Good")</f>
        <v>Good</v>
      </c>
      <c r="AA147" t="str">
        <f>IFERROR(__xludf.DUMMYFUNCTION("""COMPUTED_VALUE"""),"Good")</f>
        <v>Good</v>
      </c>
      <c r="AB147" t="str">
        <f>IFERROR(__xludf.DUMMYFUNCTION("""COMPUTED_VALUE"""),"Good")</f>
        <v>Good</v>
      </c>
      <c r="AC147" t="str">
        <f>IFERROR(__xludf.DUMMYFUNCTION("""COMPUTED_VALUE"""),"Good")</f>
        <v>Good</v>
      </c>
      <c r="AE147" s="11"/>
      <c r="AF147" t="s">
        <v>218</v>
      </c>
      <c r="AG147" s="17" t="s">
        <v>18</v>
      </c>
      <c r="AH147" s="12">
        <v>1520.0</v>
      </c>
      <c r="AI147" s="12" t="s">
        <v>385</v>
      </c>
      <c r="AJ147" s="19" t="s">
        <v>386</v>
      </c>
      <c r="AK147" s="20" t="str">
        <f>HYPERLINK("https://docs.google.com/document/d/1pOCINOcEnSuc-joWQ1QIg6quFm4xBtL_1Iljg7H-ldU/edit?usp=drivesdk","Pam Marcum - 9/7/2018 11:30 AM")</f>
        <v>Pam Marcum - 9/7/2018 11:30 AM</v>
      </c>
      <c r="AL147" s="12" t="s">
        <v>387</v>
      </c>
    </row>
    <row r="148">
      <c r="A148" s="10">
        <f>IFERROR(__xludf.DUMMYFUNCTION("""COMPUTED_VALUE"""),43352.41985236111)</f>
        <v>43352.41985</v>
      </c>
      <c r="B148" s="11" t="str">
        <f>IFERROR(__xludf.DUMMYFUNCTION("""COMPUTED_VALUE"""),"Pam Marcum")</f>
        <v>Pam Marcum</v>
      </c>
      <c r="C148" t="str">
        <f>IFERROR(__xludf.DUMMYFUNCTION("""COMPUTED_VALUE"""),"Pamela.Marcum@dep.state.fl.us")</f>
        <v>Pamela.Marcum@dep.state.fl.us</v>
      </c>
      <c r="D148" t="str">
        <f>IFERROR(__xludf.DUMMYFUNCTION("""COMPUTED_VALUE"""),"Research/Nikki")</f>
        <v>Research/Nikki</v>
      </c>
      <c r="E148" t="str">
        <f>IFERROR(__xludf.DUMMYFUNCTION("""COMPUTED_VALUE"""),"Princess Place")</f>
        <v>Princess Place</v>
      </c>
      <c r="F148" s="13">
        <f>IFERROR(__xludf.DUMMYFUNCTION("""COMPUTED_VALUE"""),0.5416666666678793)</f>
        <v>0.5416666667</v>
      </c>
      <c r="G148" s="14">
        <f>IFERROR(__xludf.DUMMYFUNCTION("""COMPUTED_VALUE"""),43352.0)</f>
        <v>43352</v>
      </c>
      <c r="H148" t="str">
        <f>IFERROR(__xludf.DUMMYFUNCTION("""COMPUTED_VALUE"""),"Pellicer Flats")</f>
        <v>Pellicer Flats</v>
      </c>
      <c r="I148" s="15">
        <f>IFERROR(__xludf.DUMMYFUNCTION("""COMPUTED_VALUE"""),0.7916666666678793)</f>
        <v>0.7916666667</v>
      </c>
      <c r="J148" s="16">
        <f>IFERROR(__xludf.DUMMYFUNCTION("""COMPUTED_VALUE"""),43352.83333333333)</f>
        <v>43352.83333</v>
      </c>
      <c r="K148" t="str">
        <f>IFERROR(__xludf.DUMMYFUNCTION("""COMPUTED_VALUE"""),"Jon Boat FL0484NP DEP06819")</f>
        <v>Jon Boat FL0484NP DEP06819</v>
      </c>
      <c r="M148" t="str">
        <f>IFERROR(__xludf.DUMMYFUNCTION("""COMPUTED_VALUE"""),"Ford F150 2008 - DEP18041 (SWMP Thing)")</f>
        <v>Ford F150 2008 - DEP18041 (SWMP Thing)</v>
      </c>
      <c r="N148" t="str">
        <f>IFERROR(__xludf.DUMMYFUNCTION("""COMPUTED_VALUE"""),"Pam Marcum, (480) 332-5414")</f>
        <v>Pam Marcum, (480) 332-5414</v>
      </c>
      <c r="O148" t="str">
        <f>IFERROR(__xludf.DUMMYFUNCTION("""COMPUTED_VALUE"""),"Steve Durham, Cheryl Clark")</f>
        <v>Steve Durham, Cheryl Clark</v>
      </c>
      <c r="P148" t="str">
        <f>IFERROR(__xludf.DUMMYFUNCTION("""COMPUTED_VALUE"""),"Pam")</f>
        <v>Pam</v>
      </c>
      <c r="Q148" t="str">
        <f>IFERROR(__xludf.DUMMYFUNCTION("""COMPUTED_VALUE"""),"Good")</f>
        <v>Good</v>
      </c>
      <c r="R148" t="str">
        <f>IFERROR(__xludf.DUMMYFUNCTION("""COMPUTED_VALUE"""),"Good")</f>
        <v>Good</v>
      </c>
      <c r="S148" t="str">
        <f>IFERROR(__xludf.DUMMYFUNCTION("""COMPUTED_VALUE"""),"Good")</f>
        <v>Good</v>
      </c>
      <c r="T148" t="str">
        <f>IFERROR(__xludf.DUMMYFUNCTION("""COMPUTED_VALUE"""),"Good")</f>
        <v>Good</v>
      </c>
      <c r="U148" t="str">
        <f>IFERROR(__xludf.DUMMYFUNCTION("""COMPUTED_VALUE"""),"Good")</f>
        <v>Good</v>
      </c>
      <c r="V148" t="str">
        <f>IFERROR(__xludf.DUMMYFUNCTION("""COMPUTED_VALUE"""),"Good")</f>
        <v>Good</v>
      </c>
      <c r="W148" t="str">
        <f>IFERROR(__xludf.DUMMYFUNCTION("""COMPUTED_VALUE"""),"Good")</f>
        <v>Good</v>
      </c>
      <c r="X148" t="str">
        <f>IFERROR(__xludf.DUMMYFUNCTION("""COMPUTED_VALUE"""),"Good")</f>
        <v>Good</v>
      </c>
      <c r="Y148" t="str">
        <f>IFERROR(__xludf.DUMMYFUNCTION("""COMPUTED_VALUE"""),"Good")</f>
        <v>Good</v>
      </c>
      <c r="Z148" t="str">
        <f>IFERROR(__xludf.DUMMYFUNCTION("""COMPUTED_VALUE"""),"Good")</f>
        <v>Good</v>
      </c>
      <c r="AA148" t="str">
        <f>IFERROR(__xludf.DUMMYFUNCTION("""COMPUTED_VALUE"""),"Good")</f>
        <v>Good</v>
      </c>
      <c r="AB148" t="str">
        <f>IFERROR(__xludf.DUMMYFUNCTION("""COMPUTED_VALUE"""),"Good")</f>
        <v>Good</v>
      </c>
      <c r="AC148" t="str">
        <f>IFERROR(__xludf.DUMMYFUNCTION("""COMPUTED_VALUE"""),"Good")</f>
        <v>Good</v>
      </c>
      <c r="AE148" s="11"/>
      <c r="AF148" t="s">
        <v>218</v>
      </c>
      <c r="AG148" s="17" t="s">
        <v>43</v>
      </c>
      <c r="AH148" s="12">
        <v>1900.0</v>
      </c>
      <c r="AI148" s="12" t="s">
        <v>388</v>
      </c>
      <c r="AJ148" s="19" t="s">
        <v>389</v>
      </c>
      <c r="AK148" s="20" t="str">
        <f>HYPERLINK("https://docs.google.com/document/d/1horU_i0hM4yRqRXVdDj8o-byRvvnkNKOrgAhhkzyH94/edit?usp=drivesdk","Pam Marcum - 9/9/2018 1:00 PM")</f>
        <v>Pam Marcum - 9/9/2018 1:00 PM</v>
      </c>
      <c r="AL148" s="12" t="s">
        <v>390</v>
      </c>
    </row>
    <row r="149">
      <c r="A149" s="10">
        <f>IFERROR(__xludf.DUMMYFUNCTION("""COMPUTED_VALUE"""),43352.5349496875)</f>
        <v>43352.53495</v>
      </c>
      <c r="B149" s="11" t="str">
        <f>IFERROR(__xludf.DUMMYFUNCTION("""COMPUTED_VALUE"""),"Ben Mowbray")</f>
        <v>Ben Mowbray</v>
      </c>
      <c r="C149" t="str">
        <f>IFERROR(__xludf.DUMMYFUNCTION("""COMPUTED_VALUE"""),"ben.mowbray@dep.state.fl.us")</f>
        <v>ben.mowbray@dep.state.fl.us</v>
      </c>
      <c r="D149" t="str">
        <f>IFERROR(__xludf.DUMMYFUNCTION("""COMPUTED_VALUE"""),"Research/Nikki")</f>
        <v>Research/Nikki</v>
      </c>
      <c r="E149" t="str">
        <f>IFERROR(__xludf.DUMMYFUNCTION("""COMPUTED_VALUE"""),"Faver Dykes")</f>
        <v>Faver Dykes</v>
      </c>
      <c r="F149" s="13">
        <f>IFERROR(__xludf.DUMMYFUNCTION("""COMPUTED_VALUE"""),0.5833333333321207)</f>
        <v>0.5833333333</v>
      </c>
      <c r="G149" s="14">
        <f>IFERROR(__xludf.DUMMYFUNCTION("""COMPUTED_VALUE"""),43352.0)</f>
        <v>43352</v>
      </c>
      <c r="H149" t="str">
        <f>IFERROR(__xludf.DUMMYFUNCTION("""COMPUTED_VALUE"""),"Pellicer Reefs")</f>
        <v>Pellicer Reefs</v>
      </c>
      <c r="I149" s="15">
        <f>IFERROR(__xludf.DUMMYFUNCTION("""COMPUTED_VALUE"""),0.75)</f>
        <v>0.75</v>
      </c>
      <c r="J149" s="16">
        <f>IFERROR(__xludf.DUMMYFUNCTION("""COMPUTED_VALUE"""),43352.79166666667)</f>
        <v>43352.79167</v>
      </c>
      <c r="K149" t="str">
        <f>IFERROR(__xludf.DUMMYFUNCTION("""COMPUTED_VALUE"""),"20ft Sea Ark FL5351SJ UNF 2015")</f>
        <v>20ft Sea Ark FL5351SJ UNF 2015</v>
      </c>
      <c r="M149" t="str">
        <f>IFERROR(__xludf.DUMMYFUNCTION("""COMPUTED_VALUE"""),"Ford F250 2017 (Moby Dix) - DEP0021578")</f>
        <v>Ford F250 2017 (Moby Dix) - DEP0021578</v>
      </c>
      <c r="N149" t="str">
        <f>IFERROR(__xludf.DUMMYFUNCTION("""COMPUTED_VALUE"""),"Ben Mowbray, (407) 962-8782")</f>
        <v>Ben Mowbray, (407) 962-8782</v>
      </c>
      <c r="O149" t="str">
        <f>IFERROR(__xludf.DUMMYFUNCTION("""COMPUTED_VALUE"""),"Marissa Raymond, Mason Schilling, Anna Thorness, Dawn Thorsness")</f>
        <v>Marissa Raymond, Mason Schilling, Anna Thorness, Dawn Thorsness</v>
      </c>
      <c r="P149" t="str">
        <f>IFERROR(__xludf.DUMMYFUNCTION("""COMPUTED_VALUE"""),"Ben")</f>
        <v>Ben</v>
      </c>
      <c r="Q149" t="str">
        <f>IFERROR(__xludf.DUMMYFUNCTION("""COMPUTED_VALUE"""),"Good")</f>
        <v>Good</v>
      </c>
      <c r="R149" t="str">
        <f>IFERROR(__xludf.DUMMYFUNCTION("""COMPUTED_VALUE"""),"Good")</f>
        <v>Good</v>
      </c>
      <c r="S149" t="str">
        <f>IFERROR(__xludf.DUMMYFUNCTION("""COMPUTED_VALUE"""),"Good")</f>
        <v>Good</v>
      </c>
      <c r="T149" t="str">
        <f>IFERROR(__xludf.DUMMYFUNCTION("""COMPUTED_VALUE"""),"Good")</f>
        <v>Good</v>
      </c>
      <c r="U149" t="str">
        <f>IFERROR(__xludf.DUMMYFUNCTION("""COMPUTED_VALUE"""),"Good")</f>
        <v>Good</v>
      </c>
      <c r="V149" t="str">
        <f>IFERROR(__xludf.DUMMYFUNCTION("""COMPUTED_VALUE"""),"Good")</f>
        <v>Good</v>
      </c>
      <c r="W149" t="str">
        <f>IFERROR(__xludf.DUMMYFUNCTION("""COMPUTED_VALUE"""),"Good")</f>
        <v>Good</v>
      </c>
      <c r="X149" t="str">
        <f>IFERROR(__xludf.DUMMYFUNCTION("""COMPUTED_VALUE"""),"Good")</f>
        <v>Good</v>
      </c>
      <c r="Y149" t="str">
        <f>IFERROR(__xludf.DUMMYFUNCTION("""COMPUTED_VALUE"""),"Good")</f>
        <v>Good</v>
      </c>
      <c r="Z149" t="str">
        <f>IFERROR(__xludf.DUMMYFUNCTION("""COMPUTED_VALUE"""),"Good")</f>
        <v>Good</v>
      </c>
      <c r="AA149" t="str">
        <f>IFERROR(__xludf.DUMMYFUNCTION("""COMPUTED_VALUE"""),"Good")</f>
        <v>Good</v>
      </c>
      <c r="AB149" t="str">
        <f>IFERROR(__xludf.DUMMYFUNCTION("""COMPUTED_VALUE"""),"Good")</f>
        <v>Good</v>
      </c>
      <c r="AC149" t="str">
        <f>IFERROR(__xludf.DUMMYFUNCTION("""COMPUTED_VALUE"""),"Good")</f>
        <v>Good</v>
      </c>
      <c r="AE149" s="11"/>
      <c r="AF149" t="s">
        <v>218</v>
      </c>
      <c r="AG149" s="17" t="s">
        <v>43</v>
      </c>
      <c r="AH149" s="12">
        <v>1930.0</v>
      </c>
      <c r="AI149" s="12" t="s">
        <v>391</v>
      </c>
      <c r="AJ149" s="19" t="s">
        <v>392</v>
      </c>
      <c r="AK149" s="20" t="str">
        <f>HYPERLINK("https://docs.google.com/document/d/1cwuPEokQaH8ROzsr7i8PtwhzKFzoCSG6aC6VvMPnr4c/edit?usp=drivesdk","Ben Mowbray - 9/9/2018 2:00 PM")</f>
        <v>Ben Mowbray - 9/9/2018 2:00 PM</v>
      </c>
      <c r="AL149" s="12" t="s">
        <v>393</v>
      </c>
    </row>
    <row r="150">
      <c r="A150" s="10">
        <f>IFERROR(__xludf.DUMMYFUNCTION("""COMPUTED_VALUE"""),43353.46825475695)</f>
        <v>43353.46825</v>
      </c>
      <c r="B150" s="11" t="str">
        <f>IFERROR(__xludf.DUMMYFUNCTION("""COMPUTED_VALUE"""),"Ben Mowbray")</f>
        <v>Ben Mowbray</v>
      </c>
      <c r="C150" t="str">
        <f>IFERROR(__xludf.DUMMYFUNCTION("""COMPUTED_VALUE"""),"ben.mowbray@dep.state.fl.us")</f>
        <v>ben.mowbray@dep.state.fl.us</v>
      </c>
      <c r="D150" t="str">
        <f>IFERROR(__xludf.DUMMYFUNCTION("""COMPUTED_VALUE"""),"Research/Nikki")</f>
        <v>Research/Nikki</v>
      </c>
      <c r="E150" t="str">
        <f>IFERROR(__xludf.DUMMYFUNCTION("""COMPUTED_VALUE"""),"Green Rd.")</f>
        <v>Green Rd.</v>
      </c>
      <c r="F150" s="13">
        <f>IFERROR(__xludf.DUMMYFUNCTION("""COMPUTED_VALUE"""),0.5555555555547471)</f>
        <v>0.5555555556</v>
      </c>
      <c r="G150" s="14">
        <f>IFERROR(__xludf.DUMMYFUNCTION("""COMPUTED_VALUE"""),43353.0)</f>
        <v>43353</v>
      </c>
      <c r="H150" t="str">
        <f>IFERROR(__xludf.DUMMYFUNCTION("""COMPUTED_VALUE"""),"Durham Reef")</f>
        <v>Durham Reef</v>
      </c>
      <c r="I150" s="15">
        <f>IFERROR(__xludf.DUMMYFUNCTION("""COMPUTED_VALUE"""),0.7916666666678793)</f>
        <v>0.7916666667</v>
      </c>
      <c r="J150" s="16">
        <f>IFERROR(__xludf.DUMMYFUNCTION("""COMPUTED_VALUE"""),43353.83333333333)</f>
        <v>43353.83333</v>
      </c>
      <c r="K150" t="str">
        <f>IFERROR(__xludf.DUMMYFUNCTION("""COMPUTED_VALUE"""),"23ft Skiff (Bertha) FL7972LJ DEP07613")</f>
        <v>23ft Skiff (Bertha) FL7972LJ DEP07613</v>
      </c>
      <c r="M150" t="str">
        <f>IFERROR(__xludf.DUMMYFUNCTION("""COMPUTED_VALUE"""),"Ford F250 2017 (Moby Dix) - DEP0021578")</f>
        <v>Ford F250 2017 (Moby Dix) - DEP0021578</v>
      </c>
      <c r="N150" t="str">
        <f>IFERROR(__xludf.DUMMYFUNCTION("""COMPUTED_VALUE"""),"Pam Marcum, (480) 332-5414, Ben Mowbray, (407) 962-8782")</f>
        <v>Pam Marcum, (480) 332-5414, Ben Mowbray, (407) 962-8782</v>
      </c>
      <c r="O150" t="str">
        <f>IFERROR(__xludf.DUMMYFUNCTION("""COMPUTED_VALUE"""),"Steve Durham, Cheryl, Alicia")</f>
        <v>Steve Durham, Cheryl, Alicia</v>
      </c>
      <c r="P150" t="str">
        <f>IFERROR(__xludf.DUMMYFUNCTION("""COMPUTED_VALUE"""),"Pam")</f>
        <v>Pam</v>
      </c>
      <c r="Q150" t="str">
        <f>IFERROR(__xludf.DUMMYFUNCTION("""COMPUTED_VALUE"""),"Good")</f>
        <v>Good</v>
      </c>
      <c r="R150" t="str">
        <f>IFERROR(__xludf.DUMMYFUNCTION("""COMPUTED_VALUE"""),"Good")</f>
        <v>Good</v>
      </c>
      <c r="S150" t="str">
        <f>IFERROR(__xludf.DUMMYFUNCTION("""COMPUTED_VALUE"""),"Good")</f>
        <v>Good</v>
      </c>
      <c r="T150" t="str">
        <f>IFERROR(__xludf.DUMMYFUNCTION("""COMPUTED_VALUE"""),"Good")</f>
        <v>Good</v>
      </c>
      <c r="U150" t="str">
        <f>IFERROR(__xludf.DUMMYFUNCTION("""COMPUTED_VALUE"""),"Good")</f>
        <v>Good</v>
      </c>
      <c r="V150" t="str">
        <f>IFERROR(__xludf.DUMMYFUNCTION("""COMPUTED_VALUE"""),"Good")</f>
        <v>Good</v>
      </c>
      <c r="W150" t="str">
        <f>IFERROR(__xludf.DUMMYFUNCTION("""COMPUTED_VALUE"""),"Good")</f>
        <v>Good</v>
      </c>
      <c r="X150" t="str">
        <f>IFERROR(__xludf.DUMMYFUNCTION("""COMPUTED_VALUE"""),"Good")</f>
        <v>Good</v>
      </c>
      <c r="Y150" t="str">
        <f>IFERROR(__xludf.DUMMYFUNCTION("""COMPUTED_VALUE"""),"Good")</f>
        <v>Good</v>
      </c>
      <c r="Z150" t="str">
        <f>IFERROR(__xludf.DUMMYFUNCTION("""COMPUTED_VALUE"""),"Good")</f>
        <v>Good</v>
      </c>
      <c r="AA150" t="str">
        <f>IFERROR(__xludf.DUMMYFUNCTION("""COMPUTED_VALUE"""),"Good")</f>
        <v>Good</v>
      </c>
      <c r="AB150" t="str">
        <f>IFERROR(__xludf.DUMMYFUNCTION("""COMPUTED_VALUE"""),"Good")</f>
        <v>Good</v>
      </c>
      <c r="AC150" t="str">
        <f>IFERROR(__xludf.DUMMYFUNCTION("""COMPUTED_VALUE"""),"Good")</f>
        <v>Good</v>
      </c>
      <c r="AE150" s="11"/>
      <c r="AF150" t="s">
        <v>218</v>
      </c>
      <c r="AG150" s="17" t="s">
        <v>43</v>
      </c>
      <c r="AH150" s="12">
        <v>2006.0</v>
      </c>
      <c r="AI150" s="12" t="s">
        <v>394</v>
      </c>
      <c r="AJ150" s="19" t="s">
        <v>395</v>
      </c>
      <c r="AK150" s="20" t="str">
        <f>HYPERLINK("https://docs.google.com/document/d/18a8HUQtBa0oDSzts9fdeoJSPbEzLp3lUXgyOK0PBc3I/edit?usp=drivesdk","Ben Mowbray - 9/10/2018 1:20 PM")</f>
        <v>Ben Mowbray - 9/10/2018 1:20 PM</v>
      </c>
      <c r="AL150" s="12" t="s">
        <v>396</v>
      </c>
    </row>
    <row r="151">
      <c r="A151" s="10">
        <f>IFERROR(__xludf.DUMMYFUNCTION("""COMPUTED_VALUE"""),43353.549159016206)</f>
        <v>43353.54916</v>
      </c>
      <c r="B151" s="11" t="str">
        <f>IFERROR(__xludf.DUMMYFUNCTION("""COMPUTED_VALUE"""),"Pamela Marcum")</f>
        <v>Pamela Marcum</v>
      </c>
      <c r="C151" t="str">
        <f>IFERROR(__xludf.DUMMYFUNCTION("""COMPUTED_VALUE"""),"Pamela.Marcum@dep.state.fl.us")</f>
        <v>Pamela.Marcum@dep.state.fl.us</v>
      </c>
      <c r="D151" t="str">
        <f>IFERROR(__xludf.DUMMYFUNCTION("""COMPUTED_VALUE"""),"Research/Nikki")</f>
        <v>Research/Nikki</v>
      </c>
      <c r="E151" t="str">
        <f>IFERROR(__xludf.DUMMYFUNCTION("""COMPUTED_VALUE"""),"Green Rd")</f>
        <v>Green Rd</v>
      </c>
      <c r="F151" s="13">
        <f>IFERROR(__xludf.DUMMYFUNCTION("""COMPUTED_VALUE"""),0.5833333333321207)</f>
        <v>0.5833333333</v>
      </c>
      <c r="G151" s="14">
        <f>IFERROR(__xludf.DUMMYFUNCTION("""COMPUTED_VALUE"""),43353.0)</f>
        <v>43353</v>
      </c>
      <c r="H151" t="str">
        <f>IFERROR(__xludf.DUMMYFUNCTION("""COMPUTED_VALUE"""),"Devil's Elbow")</f>
        <v>Devil's Elbow</v>
      </c>
      <c r="I151" s="15">
        <f>IFERROR(__xludf.DUMMYFUNCTION("""COMPUTED_VALUE"""),0.75)</f>
        <v>0.75</v>
      </c>
      <c r="J151" s="16">
        <f>IFERROR(__xludf.DUMMYFUNCTION("""COMPUTED_VALUE"""),43353.79166666667)</f>
        <v>43353.79167</v>
      </c>
      <c r="K151" t="str">
        <f>IFERROR(__xludf.DUMMYFUNCTION("""COMPUTED_VALUE"""),"23ft Skiff (Bertha) FL7972LJ DEP07613")</f>
        <v>23ft Skiff (Bertha) FL7972LJ DEP07613</v>
      </c>
      <c r="M151" t="str">
        <f>IFERROR(__xludf.DUMMYFUNCTION("""COMPUTED_VALUE"""),"Ford F250 2017 (Moby Dix) - DEP0021578")</f>
        <v>Ford F250 2017 (Moby Dix) - DEP0021578</v>
      </c>
      <c r="N151" t="str">
        <f>IFERROR(__xludf.DUMMYFUNCTION("""COMPUTED_VALUE"""),"Pam Marcum, (480) 332-5414, Ben Mowbray, (407) 962-8782")</f>
        <v>Pam Marcum, (480) 332-5414, Ben Mowbray, (407) 962-8782</v>
      </c>
      <c r="O151" t="str">
        <f>IFERROR(__xludf.DUMMYFUNCTION("""COMPUTED_VALUE"""),"Alicia Bishop, Stephen Durham, Cheryl Clark")</f>
        <v>Alicia Bishop, Stephen Durham, Cheryl Clark</v>
      </c>
      <c r="P151" t="str">
        <f>IFERROR(__xludf.DUMMYFUNCTION("""COMPUTED_VALUE"""),"Pam Marcum")</f>
        <v>Pam Marcum</v>
      </c>
      <c r="Q151" t="str">
        <f>IFERROR(__xludf.DUMMYFUNCTION("""COMPUTED_VALUE"""),"Good")</f>
        <v>Good</v>
      </c>
      <c r="R151" t="str">
        <f>IFERROR(__xludf.DUMMYFUNCTION("""COMPUTED_VALUE"""),"Good")</f>
        <v>Good</v>
      </c>
      <c r="S151" t="str">
        <f>IFERROR(__xludf.DUMMYFUNCTION("""COMPUTED_VALUE"""),"Good")</f>
        <v>Good</v>
      </c>
      <c r="T151" t="str">
        <f>IFERROR(__xludf.DUMMYFUNCTION("""COMPUTED_VALUE"""),"Good")</f>
        <v>Good</v>
      </c>
      <c r="U151" t="str">
        <f>IFERROR(__xludf.DUMMYFUNCTION("""COMPUTED_VALUE"""),"Good")</f>
        <v>Good</v>
      </c>
      <c r="V151" t="str">
        <f>IFERROR(__xludf.DUMMYFUNCTION("""COMPUTED_VALUE"""),"Good")</f>
        <v>Good</v>
      </c>
      <c r="W151" t="str">
        <f>IFERROR(__xludf.DUMMYFUNCTION("""COMPUTED_VALUE"""),"Good")</f>
        <v>Good</v>
      </c>
      <c r="X151" t="str">
        <f>IFERROR(__xludf.DUMMYFUNCTION("""COMPUTED_VALUE"""),"Good")</f>
        <v>Good</v>
      </c>
      <c r="Y151" t="str">
        <f>IFERROR(__xludf.DUMMYFUNCTION("""COMPUTED_VALUE"""),"Good")</f>
        <v>Good</v>
      </c>
      <c r="Z151" t="str">
        <f>IFERROR(__xludf.DUMMYFUNCTION("""COMPUTED_VALUE"""),"Good")</f>
        <v>Good</v>
      </c>
      <c r="AA151" t="str">
        <f>IFERROR(__xludf.DUMMYFUNCTION("""COMPUTED_VALUE"""),"Good")</f>
        <v>Good</v>
      </c>
      <c r="AB151" t="str">
        <f>IFERROR(__xludf.DUMMYFUNCTION("""COMPUTED_VALUE"""),"Good")</f>
        <v>Good</v>
      </c>
      <c r="AC151" t="str">
        <f>IFERROR(__xludf.DUMMYFUNCTION("""COMPUTED_VALUE"""),"Good")</f>
        <v>Good</v>
      </c>
      <c r="AE151" s="11"/>
      <c r="AF151" t="s">
        <v>218</v>
      </c>
      <c r="AG151" s="17" t="s">
        <v>43</v>
      </c>
      <c r="AH151" s="12">
        <v>1930.0</v>
      </c>
      <c r="AI151" s="12" t="s">
        <v>397</v>
      </c>
      <c r="AJ151" s="19" t="s">
        <v>398</v>
      </c>
      <c r="AK151" s="20" t="str">
        <f>HYPERLINK("https://docs.google.com/document/d/1o5u6URG4eEL0bZO7Pcc_tA0H2uas6Y_qmD-HJgPbqg4/edit?usp=drivesdk","Pamela Marcum - 9/10/2018 2:00 PM")</f>
        <v>Pamela Marcum - 9/10/2018 2:00 PM</v>
      </c>
      <c r="AL151" s="12" t="s">
        <v>399</v>
      </c>
    </row>
    <row r="152">
      <c r="A152" s="10">
        <f>IFERROR(__xludf.DUMMYFUNCTION("""COMPUTED_VALUE"""),43354.26965054398)</f>
        <v>43354.26965</v>
      </c>
      <c r="B152" s="11" t="str">
        <f>IFERROR(__xludf.DUMMYFUNCTION("""COMPUTED_VALUE"""),"Pam Marcum")</f>
        <v>Pam Marcum</v>
      </c>
      <c r="C152" t="str">
        <f>IFERROR(__xludf.DUMMYFUNCTION("""COMPUTED_VALUE"""),"Pamela.Marcum@de.state.fl.us")</f>
        <v>Pamela.Marcum@de.state.fl.us</v>
      </c>
      <c r="D152" t="str">
        <f>IFERROR(__xludf.DUMMYFUNCTION("""COMPUTED_VALUE"""),"Research/Nikki")</f>
        <v>Research/Nikki</v>
      </c>
      <c r="E152" t="str">
        <f>IFERROR(__xludf.DUMMYFUNCTION("""COMPUTED_VALUE"""),"Faver-Dykes")</f>
        <v>Faver-Dykes</v>
      </c>
      <c r="F152" s="13">
        <f>IFERROR(__xludf.DUMMYFUNCTION("""COMPUTED_VALUE"""),0.28125)</f>
        <v>0.28125</v>
      </c>
      <c r="G152" s="14">
        <f>IFERROR(__xludf.DUMMYFUNCTION("""COMPUTED_VALUE"""),43354.0)</f>
        <v>43354</v>
      </c>
      <c r="H152" t="str">
        <f>IFERROR(__xludf.DUMMYFUNCTION("""COMPUTED_VALUE"""),"Pellicer Flats")</f>
        <v>Pellicer Flats</v>
      </c>
      <c r="I152" s="15">
        <f>IFERROR(__xludf.DUMMYFUNCTION("""COMPUTED_VALUE"""),0.3541666666678793)</f>
        <v>0.3541666667</v>
      </c>
      <c r="J152" s="16">
        <f>IFERROR(__xludf.DUMMYFUNCTION("""COMPUTED_VALUE"""),43354.41666666667)</f>
        <v>43354.41667</v>
      </c>
      <c r="K152" t="str">
        <f>IFERROR(__xludf.DUMMYFUNCTION("""COMPUTED_VALUE"""),"23ft Skiff (Bertha) FL7972LJ DEP07613")</f>
        <v>23ft Skiff (Bertha) FL7972LJ DEP07613</v>
      </c>
      <c r="M152" t="str">
        <f>IFERROR(__xludf.DUMMYFUNCTION("""COMPUTED_VALUE"""),"Ford F250 2017 (Moby Dix) - DEP0021578")</f>
        <v>Ford F250 2017 (Moby Dix) - DEP0021578</v>
      </c>
      <c r="N152" t="str">
        <f>IFERROR(__xludf.DUMMYFUNCTION("""COMPUTED_VALUE"""),"Pam Marcum, (480) 332-5414")</f>
        <v>Pam Marcum, (480) 332-5414</v>
      </c>
      <c r="O152" t="str">
        <f>IFERROR(__xludf.DUMMYFUNCTION("""COMPUTED_VALUE"""),"Cheryl Clark, Steve Durham")</f>
        <v>Cheryl Clark, Steve Durham</v>
      </c>
      <c r="P152" t="str">
        <f>IFERROR(__xludf.DUMMYFUNCTION("""COMPUTED_VALUE"""),"Pam")</f>
        <v>Pam</v>
      </c>
      <c r="Q152" t="str">
        <f>IFERROR(__xludf.DUMMYFUNCTION("""COMPUTED_VALUE"""),"Good")</f>
        <v>Good</v>
      </c>
      <c r="R152" t="str">
        <f>IFERROR(__xludf.DUMMYFUNCTION("""COMPUTED_VALUE"""),"Good")</f>
        <v>Good</v>
      </c>
      <c r="S152" t="str">
        <f>IFERROR(__xludf.DUMMYFUNCTION("""COMPUTED_VALUE"""),"Good")</f>
        <v>Good</v>
      </c>
      <c r="T152" t="str">
        <f>IFERROR(__xludf.DUMMYFUNCTION("""COMPUTED_VALUE"""),"Good")</f>
        <v>Good</v>
      </c>
      <c r="U152" t="str">
        <f>IFERROR(__xludf.DUMMYFUNCTION("""COMPUTED_VALUE"""),"Good")</f>
        <v>Good</v>
      </c>
      <c r="V152" t="str">
        <f>IFERROR(__xludf.DUMMYFUNCTION("""COMPUTED_VALUE"""),"Good")</f>
        <v>Good</v>
      </c>
      <c r="W152" t="str">
        <f>IFERROR(__xludf.DUMMYFUNCTION("""COMPUTED_VALUE"""),"Good")</f>
        <v>Good</v>
      </c>
      <c r="X152" t="str">
        <f>IFERROR(__xludf.DUMMYFUNCTION("""COMPUTED_VALUE"""),"Good")</f>
        <v>Good</v>
      </c>
      <c r="Y152" t="str">
        <f>IFERROR(__xludf.DUMMYFUNCTION("""COMPUTED_VALUE"""),"Good")</f>
        <v>Good</v>
      </c>
      <c r="Z152" t="str">
        <f>IFERROR(__xludf.DUMMYFUNCTION("""COMPUTED_VALUE"""),"Good")</f>
        <v>Good</v>
      </c>
      <c r="AA152" t="str">
        <f>IFERROR(__xludf.DUMMYFUNCTION("""COMPUTED_VALUE"""),"Good")</f>
        <v>Good</v>
      </c>
      <c r="AB152" t="str">
        <f>IFERROR(__xludf.DUMMYFUNCTION("""COMPUTED_VALUE"""),"Good")</f>
        <v>Good</v>
      </c>
      <c r="AC152" t="str">
        <f>IFERROR(__xludf.DUMMYFUNCTION("""COMPUTED_VALUE"""),"Good")</f>
        <v>Good</v>
      </c>
      <c r="AE152" s="11"/>
      <c r="AF152" t="s">
        <v>218</v>
      </c>
      <c r="AG152" s="17" t="s">
        <v>18</v>
      </c>
      <c r="AH152" s="12">
        <v>850.0</v>
      </c>
      <c r="AI152" s="12" t="s">
        <v>400</v>
      </c>
      <c r="AJ152" s="19" t="s">
        <v>401</v>
      </c>
      <c r="AK152" s="20" t="str">
        <f>HYPERLINK("https://docs.google.com/document/d/13cBA5zcD8QJszQ_sgnLYt3r_hQFmNxCM9ctlDrF2yaI/edit?usp=drivesdk","Pam Marcum - 9/11/2018 6:45 AM")</f>
        <v>Pam Marcum - 9/11/2018 6:45 AM</v>
      </c>
      <c r="AL152" s="12" t="s">
        <v>402</v>
      </c>
    </row>
    <row r="153">
      <c r="A153" s="10">
        <f>IFERROR(__xludf.DUMMYFUNCTION("""COMPUTED_VALUE"""),43354.45976626158)</f>
        <v>43354.45977</v>
      </c>
      <c r="B153" s="11" t="str">
        <f>IFERROR(__xludf.DUMMYFUNCTION("""COMPUTED_VALUE"""),"Shannon Dunnigan")</f>
        <v>Shannon Dunnigan</v>
      </c>
      <c r="C153" t="str">
        <f>IFERROR(__xludf.DUMMYFUNCTION("""COMPUTED_VALUE"""),"shannon.dunnigan@floridadep.gov")</f>
        <v>shannon.dunnigan@floridadep.gov</v>
      </c>
      <c r="D153" t="str">
        <f>IFERROR(__xludf.DUMMYFUNCTION("""COMPUTED_VALUE"""),"Research/Nikki")</f>
        <v>Research/Nikki</v>
      </c>
      <c r="E153" t="str">
        <f>IFERROR(__xludf.DUMMYFUNCTION("""COMPUTED_VALUE"""),"Bings")</f>
        <v>Bings</v>
      </c>
      <c r="F153" s="13">
        <f>IFERROR(__xludf.DUMMYFUNCTION("""COMPUTED_VALUE"""),0.4895833333321207)</f>
        <v>0.4895833333</v>
      </c>
      <c r="G153" s="14">
        <f>IFERROR(__xludf.DUMMYFUNCTION("""COMPUTED_VALUE"""),43355.0)</f>
        <v>43355</v>
      </c>
      <c r="H153" t="str">
        <f>IFERROR(__xludf.DUMMYFUNCTION("""COMPUTED_VALUE"""),"ICW FM")</f>
        <v>ICW FM</v>
      </c>
      <c r="I153" s="15">
        <f>IFERROR(__xludf.DUMMYFUNCTION("""COMPUTED_VALUE"""),0.625)</f>
        <v>0.625</v>
      </c>
      <c r="J153" s="16">
        <f>IFERROR(__xludf.DUMMYFUNCTION("""COMPUTED_VALUE"""),43355.6875)</f>
        <v>43355.6875</v>
      </c>
      <c r="K153" t="str">
        <f>IFERROR(__xludf.DUMMYFUNCTION("""COMPUTED_VALUE"""),"20ft Sea Ark FL5351SJ UNF 2015")</f>
        <v>20ft Sea Ark FL5351SJ UNF 2015</v>
      </c>
      <c r="M153" t="str">
        <f>IFERROR(__xludf.DUMMYFUNCTION("""COMPUTED_VALUE"""),"Ford F150 2015 (White) - DEP21448")</f>
        <v>Ford F150 2015 (White) - DEP21448</v>
      </c>
      <c r="N153" t="str">
        <f>IFERROR(__xludf.DUMMYFUNCTION("""COMPUTED_VALUE"""),"Shannon Dunnigan, (803) 727-5734")</f>
        <v>Shannon Dunnigan, (803) 727-5734</v>
      </c>
      <c r="O153" t="str">
        <f>IFERROR(__xludf.DUMMYFUNCTION("""COMPUTED_VALUE"""),"Jessica Lee, Hunter Mathews, Westly Woodward")</f>
        <v>Jessica Lee, Hunter Mathews, Westly Woodward</v>
      </c>
      <c r="P153" t="str">
        <f>IFERROR(__xludf.DUMMYFUNCTION("""COMPUTED_VALUE"""),"shannon")</f>
        <v>shannon</v>
      </c>
      <c r="Q153" t="str">
        <f>IFERROR(__xludf.DUMMYFUNCTION("""COMPUTED_VALUE"""),"Good")</f>
        <v>Good</v>
      </c>
      <c r="R153" t="str">
        <f>IFERROR(__xludf.DUMMYFUNCTION("""COMPUTED_VALUE"""),"Good")</f>
        <v>Good</v>
      </c>
      <c r="S153" t="str">
        <f>IFERROR(__xludf.DUMMYFUNCTION("""COMPUTED_VALUE"""),"Good")</f>
        <v>Good</v>
      </c>
      <c r="T153" t="str">
        <f>IFERROR(__xludf.DUMMYFUNCTION("""COMPUTED_VALUE"""),"Good")</f>
        <v>Good</v>
      </c>
      <c r="U153" t="str">
        <f>IFERROR(__xludf.DUMMYFUNCTION("""COMPUTED_VALUE"""),"Good")</f>
        <v>Good</v>
      </c>
      <c r="V153" t="str">
        <f>IFERROR(__xludf.DUMMYFUNCTION("""COMPUTED_VALUE"""),"Good")</f>
        <v>Good</v>
      </c>
      <c r="W153" t="str">
        <f>IFERROR(__xludf.DUMMYFUNCTION("""COMPUTED_VALUE"""),"Good")</f>
        <v>Good</v>
      </c>
      <c r="X153" t="str">
        <f>IFERROR(__xludf.DUMMYFUNCTION("""COMPUTED_VALUE"""),"Good")</f>
        <v>Good</v>
      </c>
      <c r="Y153" t="str">
        <f>IFERROR(__xludf.DUMMYFUNCTION("""COMPUTED_VALUE"""),"Good")</f>
        <v>Good</v>
      </c>
      <c r="Z153" t="str">
        <f>IFERROR(__xludf.DUMMYFUNCTION("""COMPUTED_VALUE"""),"Good")</f>
        <v>Good</v>
      </c>
      <c r="AA153" t="str">
        <f>IFERROR(__xludf.DUMMYFUNCTION("""COMPUTED_VALUE"""),"Good")</f>
        <v>Good</v>
      </c>
      <c r="AB153" t="str">
        <f>IFERROR(__xludf.DUMMYFUNCTION("""COMPUTED_VALUE"""),"Good")</f>
        <v>Good</v>
      </c>
      <c r="AC153" t="str">
        <f>IFERROR(__xludf.DUMMYFUNCTION("""COMPUTED_VALUE"""),"Good")</f>
        <v>Good</v>
      </c>
      <c r="AE153" s="11"/>
      <c r="AF153" t="s">
        <v>218</v>
      </c>
      <c r="AG153" s="17" t="s">
        <v>18</v>
      </c>
      <c r="AH153" s="12">
        <v>1504.0</v>
      </c>
      <c r="AI153" s="12" t="s">
        <v>403</v>
      </c>
      <c r="AJ153" s="19" t="s">
        <v>404</v>
      </c>
      <c r="AK153" s="20" t="str">
        <f>HYPERLINK("https://docs.google.com/document/d/1LQqlIwHGCF52aRRtJim0ILCgeeS8U4NH2xgD9iHPfTc/edit?usp=drivesdk","Shannon Dunnigan - 9/12/2018 11:45 AM")</f>
        <v>Shannon Dunnigan - 9/12/2018 11:45 AM</v>
      </c>
      <c r="AL153" s="12" t="s">
        <v>405</v>
      </c>
    </row>
    <row r="154">
      <c r="A154" s="10">
        <f>IFERROR(__xludf.DUMMYFUNCTION("""COMPUTED_VALUE"""),43354.49469997685)</f>
        <v>43354.4947</v>
      </c>
      <c r="B154" s="11" t="str">
        <f>IFERROR(__xludf.DUMMYFUNCTION("""COMPUTED_VALUE"""),"Ben Mowbray")</f>
        <v>Ben Mowbray</v>
      </c>
      <c r="C154" t="str">
        <f>IFERROR(__xludf.DUMMYFUNCTION("""COMPUTED_VALUE"""),"ben.mowbray@dep.state.fl.us")</f>
        <v>ben.mowbray@dep.state.fl.us</v>
      </c>
      <c r="D154" t="str">
        <f>IFERROR(__xludf.DUMMYFUNCTION("""COMPUTED_VALUE"""),"Research/Pam")</f>
        <v>Research/Pam</v>
      </c>
      <c r="E154" t="str">
        <f>IFERROR(__xludf.DUMMYFUNCTION("""COMPUTED_VALUE"""),"Shore Dr.")</f>
        <v>Shore Dr.</v>
      </c>
      <c r="F154" s="13">
        <f>IFERROR(__xludf.DUMMYFUNCTION("""COMPUTED_VALUE"""),0.3958333333321207)</f>
        <v>0.3958333333</v>
      </c>
      <c r="G154" s="14">
        <f>IFERROR(__xludf.DUMMYFUNCTION("""COMPUTED_VALUE"""),43354.0)</f>
        <v>43354</v>
      </c>
      <c r="H154" t="str">
        <f>IFERROR(__xludf.DUMMYFUNCTION("""COMPUTED_VALUE"""),"Gabby's Creek")</f>
        <v>Gabby's Creek</v>
      </c>
      <c r="I154" s="15">
        <f>IFERROR(__xludf.DUMMYFUNCTION("""COMPUTED_VALUE"""),0.6041666666678793)</f>
        <v>0.6041666667</v>
      </c>
      <c r="J154" s="16">
        <f>IFERROR(__xludf.DUMMYFUNCTION("""COMPUTED_VALUE"""),43354.64583333333)</f>
        <v>43354.64583</v>
      </c>
      <c r="K154" t="str">
        <f>IFERROR(__xludf.DUMMYFUNCTION("""COMPUTED_VALUE"""),"20ft Sea Ark FL5351SJ UNF 2015")</f>
        <v>20ft Sea Ark FL5351SJ UNF 2015</v>
      </c>
      <c r="M154" t="str">
        <f>IFERROR(__xludf.DUMMYFUNCTION("""COMPUTED_VALUE"""),"Ford F150 2015 (White) - DEP21448")</f>
        <v>Ford F150 2015 (White) - DEP21448</v>
      </c>
      <c r="N154" t="str">
        <f>IFERROR(__xludf.DUMMYFUNCTION("""COMPUTED_VALUE"""),"Ben Mowbray, (407) 962-8782")</f>
        <v>Ben Mowbray, (407) 962-8782</v>
      </c>
      <c r="O154" t="str">
        <f>IFERROR(__xludf.DUMMYFUNCTION("""COMPUTED_VALUE"""),"Gabriela Canas, (904) 891-9743, Mike Dickson")</f>
        <v>Gabriela Canas, (904) 891-9743, Mike Dickson</v>
      </c>
      <c r="P154" t="str">
        <f>IFERROR(__xludf.DUMMYFUNCTION("""COMPUTED_VALUE"""),"Ben")</f>
        <v>Ben</v>
      </c>
      <c r="Q154" t="str">
        <f>IFERROR(__xludf.DUMMYFUNCTION("""COMPUTED_VALUE"""),"Good")</f>
        <v>Good</v>
      </c>
      <c r="R154" t="str">
        <f>IFERROR(__xludf.DUMMYFUNCTION("""COMPUTED_VALUE"""),"Good")</f>
        <v>Good</v>
      </c>
      <c r="S154" t="str">
        <f>IFERROR(__xludf.DUMMYFUNCTION("""COMPUTED_VALUE"""),"Good")</f>
        <v>Good</v>
      </c>
      <c r="T154" t="str">
        <f>IFERROR(__xludf.DUMMYFUNCTION("""COMPUTED_VALUE"""),"Good")</f>
        <v>Good</v>
      </c>
      <c r="U154" t="str">
        <f>IFERROR(__xludf.DUMMYFUNCTION("""COMPUTED_VALUE"""),"Good")</f>
        <v>Good</v>
      </c>
      <c r="V154" t="str">
        <f>IFERROR(__xludf.DUMMYFUNCTION("""COMPUTED_VALUE"""),"Good")</f>
        <v>Good</v>
      </c>
      <c r="W154" t="str">
        <f>IFERROR(__xludf.DUMMYFUNCTION("""COMPUTED_VALUE"""),"Good")</f>
        <v>Good</v>
      </c>
      <c r="X154" t="str">
        <f>IFERROR(__xludf.DUMMYFUNCTION("""COMPUTED_VALUE"""),"Good")</f>
        <v>Good</v>
      </c>
      <c r="Y154" t="str">
        <f>IFERROR(__xludf.DUMMYFUNCTION("""COMPUTED_VALUE"""),"Good")</f>
        <v>Good</v>
      </c>
      <c r="Z154" t="str">
        <f>IFERROR(__xludf.DUMMYFUNCTION("""COMPUTED_VALUE"""),"Good")</f>
        <v>Good</v>
      </c>
      <c r="AA154" t="str">
        <f>IFERROR(__xludf.DUMMYFUNCTION("""COMPUTED_VALUE"""),"Good")</f>
        <v>Good</v>
      </c>
      <c r="AB154" t="str">
        <f>IFERROR(__xludf.DUMMYFUNCTION("""COMPUTED_VALUE"""),"Good")</f>
        <v>Good</v>
      </c>
      <c r="AC154" t="str">
        <f>IFERROR(__xludf.DUMMYFUNCTION("""COMPUTED_VALUE"""),"Good")</f>
        <v>Good</v>
      </c>
      <c r="AE154" s="11"/>
      <c r="AF154" t="s">
        <v>262</v>
      </c>
      <c r="AG154" s="17" t="s">
        <v>18</v>
      </c>
      <c r="AH154" s="12">
        <v>1400.0</v>
      </c>
      <c r="AI154" s="12" t="s">
        <v>406</v>
      </c>
      <c r="AJ154" s="19" t="s">
        <v>407</v>
      </c>
      <c r="AK154" s="20" t="str">
        <f>HYPERLINK("https://docs.google.com/document/d/19gtAry6vLFmaQvsDWVMoI53O_6Z53p6xfjK01wQTQ_Y/edit?usp=drivesdk","Ben Mowbray - 9/11/2018 9:30 AM")</f>
        <v>Ben Mowbray - 9/11/2018 9:30 AM</v>
      </c>
      <c r="AL154" s="12" t="s">
        <v>408</v>
      </c>
    </row>
    <row r="155">
      <c r="A155" s="10">
        <f>IFERROR(__xludf.DUMMYFUNCTION("""COMPUTED_VALUE"""),43354.50310383102)</f>
        <v>43354.5031</v>
      </c>
      <c r="B155" s="11" t="str">
        <f>IFERROR(__xludf.DUMMYFUNCTION("""COMPUTED_VALUE"""),"Pam Marcum")</f>
        <v>Pam Marcum</v>
      </c>
      <c r="C155" t="str">
        <f>IFERROR(__xludf.DUMMYFUNCTION("""COMPUTED_VALUE"""),"Pamela.Marcum@dep.state.fl.us")</f>
        <v>Pamela.Marcum@dep.state.fl.us</v>
      </c>
      <c r="D155" t="str">
        <f>IFERROR(__xludf.DUMMYFUNCTION("""COMPUTED_VALUE"""),"Research/Nikki")</f>
        <v>Research/Nikki</v>
      </c>
      <c r="E155" t="str">
        <f>IFERROR(__xludf.DUMMYFUNCTION("""COMPUTED_VALUE"""),"Aunt Kate's")</f>
        <v>Aunt Kate's</v>
      </c>
      <c r="F155" s="13">
        <f>IFERROR(__xludf.DUMMYFUNCTION("""COMPUTED_VALUE"""),0.5833333333321207)</f>
        <v>0.5833333333</v>
      </c>
      <c r="G155" s="14">
        <f>IFERROR(__xludf.DUMMYFUNCTION("""COMPUTED_VALUE"""),43354.0)</f>
        <v>43354</v>
      </c>
      <c r="H155" t="str">
        <f>IFERROR(__xludf.DUMMYFUNCTION("""COMPUTED_VALUE"""),"Guana River")</f>
        <v>Guana River</v>
      </c>
      <c r="I155" s="15">
        <f>IFERROR(__xludf.DUMMYFUNCTION("""COMPUTED_VALUE"""),0.8333333333321207)</f>
        <v>0.8333333333</v>
      </c>
      <c r="J155" s="16">
        <f>IFERROR(__xludf.DUMMYFUNCTION("""COMPUTED_VALUE"""),43354.85416666667)</f>
        <v>43354.85417</v>
      </c>
      <c r="K155" t="str">
        <f>IFERROR(__xludf.DUMMYFUNCTION("""COMPUTED_VALUE"""),"23ft Skiff (Bertha) FL7972LJ DEP07613")</f>
        <v>23ft Skiff (Bertha) FL7972LJ DEP07613</v>
      </c>
      <c r="M155" t="str">
        <f>IFERROR(__xludf.DUMMYFUNCTION("""COMPUTED_VALUE"""),"Ford F250 2017 (Moby Dix) - DEP0021578")</f>
        <v>Ford F250 2017 (Moby Dix) - DEP0021578</v>
      </c>
      <c r="N155" t="str">
        <f>IFERROR(__xludf.DUMMYFUNCTION("""COMPUTED_VALUE"""),"Nikki Dix, (352) 219-4079, Pam Marcum, (480) 332-5414, Cheryl Clark, Remo Mondazzi")</f>
        <v>Nikki Dix, (352) 219-4079, Pam Marcum, (480) 332-5414, Cheryl Clark, Remo Mondazzi</v>
      </c>
      <c r="O155" t="str">
        <f>IFERROR(__xludf.DUMMYFUNCTION("""COMPUTED_VALUE"""),"Steve Durham, Greg Dietl")</f>
        <v>Steve Durham, Greg Dietl</v>
      </c>
      <c r="P155" t="str">
        <f>IFERROR(__xludf.DUMMYFUNCTION("""COMPUTED_VALUE"""),"Pam")</f>
        <v>Pam</v>
      </c>
      <c r="Q155" t="str">
        <f>IFERROR(__xludf.DUMMYFUNCTION("""COMPUTED_VALUE"""),"Good")</f>
        <v>Good</v>
      </c>
      <c r="R155" t="str">
        <f>IFERROR(__xludf.DUMMYFUNCTION("""COMPUTED_VALUE"""),"Good")</f>
        <v>Good</v>
      </c>
      <c r="S155" t="str">
        <f>IFERROR(__xludf.DUMMYFUNCTION("""COMPUTED_VALUE"""),"Good")</f>
        <v>Good</v>
      </c>
      <c r="T155" t="str">
        <f>IFERROR(__xludf.DUMMYFUNCTION("""COMPUTED_VALUE"""),"Good")</f>
        <v>Good</v>
      </c>
      <c r="U155" t="str">
        <f>IFERROR(__xludf.DUMMYFUNCTION("""COMPUTED_VALUE"""),"Good")</f>
        <v>Good</v>
      </c>
      <c r="V155" t="str">
        <f>IFERROR(__xludf.DUMMYFUNCTION("""COMPUTED_VALUE"""),"Good")</f>
        <v>Good</v>
      </c>
      <c r="W155" t="str">
        <f>IFERROR(__xludf.DUMMYFUNCTION("""COMPUTED_VALUE"""),"Good")</f>
        <v>Good</v>
      </c>
      <c r="X155" t="str">
        <f>IFERROR(__xludf.DUMMYFUNCTION("""COMPUTED_VALUE"""),"Good")</f>
        <v>Good</v>
      </c>
      <c r="Y155" t="str">
        <f>IFERROR(__xludf.DUMMYFUNCTION("""COMPUTED_VALUE"""),"Good")</f>
        <v>Good</v>
      </c>
      <c r="Z155" t="str">
        <f>IFERROR(__xludf.DUMMYFUNCTION("""COMPUTED_VALUE"""),"Good")</f>
        <v>Good</v>
      </c>
      <c r="AA155" t="str">
        <f>IFERROR(__xludf.DUMMYFUNCTION("""COMPUTED_VALUE"""),"Good")</f>
        <v>Good</v>
      </c>
      <c r="AB155" t="str">
        <f>IFERROR(__xludf.DUMMYFUNCTION("""COMPUTED_VALUE"""),"Good")</f>
        <v>Good</v>
      </c>
      <c r="AC155" t="str">
        <f>IFERROR(__xludf.DUMMYFUNCTION("""COMPUTED_VALUE"""),"Good")</f>
        <v>Good</v>
      </c>
      <c r="AE155" s="11"/>
      <c r="AF155" t="s">
        <v>218</v>
      </c>
      <c r="AG155" s="17" t="s">
        <v>43</v>
      </c>
      <c r="AH155" s="12">
        <v>1940.0</v>
      </c>
      <c r="AI155" s="12" t="s">
        <v>409</v>
      </c>
      <c r="AJ155" s="19" t="s">
        <v>410</v>
      </c>
      <c r="AK155" s="20" t="str">
        <f>HYPERLINK("https://docs.google.com/document/d/1cwjqEBUaX4TZ2uiNweLlEFnrIqkIxDij-KCrl3jgdSs/edit?usp=drivesdk","Pam Marcum - 9/11/2018 2:00 PM")</f>
        <v>Pam Marcum - 9/11/2018 2:00 PM</v>
      </c>
      <c r="AL155" s="12" t="s">
        <v>411</v>
      </c>
    </row>
    <row r="156">
      <c r="A156" s="10">
        <f>IFERROR(__xludf.DUMMYFUNCTION("""COMPUTED_VALUE"""),43355.342063055556)</f>
        <v>43355.34206</v>
      </c>
      <c r="B156" s="11" t="str">
        <f>IFERROR(__xludf.DUMMYFUNCTION("""COMPUTED_VALUE"""),"Silas Tanner")</f>
        <v>Silas Tanner</v>
      </c>
      <c r="C156" t="str">
        <f>IFERROR(__xludf.DUMMYFUNCTION("""COMPUTED_VALUE"""),"silas.tanner@floridadep.gov")</f>
        <v>silas.tanner@floridadep.gov</v>
      </c>
      <c r="D156" t="str">
        <f>IFERROR(__xludf.DUMMYFUNCTION("""COMPUTED_VALUE"""),"Research/Nikki")</f>
        <v>Research/Nikki</v>
      </c>
      <c r="E156" t="str">
        <f>IFERROR(__xludf.DUMMYFUNCTION("""COMPUTED_VALUE"""),"Vilano County ramp")</f>
        <v>Vilano County ramp</v>
      </c>
      <c r="F156" s="13">
        <f>IFERROR(__xludf.DUMMYFUNCTION("""COMPUTED_VALUE"""),0.4270833333321207)</f>
        <v>0.4270833333</v>
      </c>
      <c r="G156" s="14">
        <f>IFERROR(__xludf.DUMMYFUNCTION("""COMPUTED_VALUE"""),43355.0)</f>
        <v>43355</v>
      </c>
      <c r="H156" t="str">
        <f>IFERROR(__xludf.DUMMYFUNCTION("""COMPUTED_VALUE"""),"ICW SWMP sites - Pine Island and San Sebastian")</f>
        <v>ICW SWMP sites - Pine Island and San Sebastian</v>
      </c>
      <c r="I156" s="15">
        <f>IFERROR(__xludf.DUMMYFUNCTION("""COMPUTED_VALUE"""),0.5729166666678793)</f>
        <v>0.5729166667</v>
      </c>
      <c r="J156" s="16">
        <f>IFERROR(__xludf.DUMMYFUNCTION("""COMPUTED_VALUE"""),43355.59375)</f>
        <v>43355.59375</v>
      </c>
      <c r="K156" t="str">
        <f>IFERROR(__xludf.DUMMYFUNCTION("""COMPUTED_VALUE"""),"23ft Skiff (Bertha) FL7972LJ DEP07613")</f>
        <v>23ft Skiff (Bertha) FL7972LJ DEP07613</v>
      </c>
      <c r="M156" t="str">
        <f>IFERROR(__xludf.DUMMYFUNCTION("""COMPUTED_VALUE"""),"Ford F250 2017 (Moby Dix) - DEP0021578")</f>
        <v>Ford F250 2017 (Moby Dix) - DEP0021578</v>
      </c>
      <c r="N156" t="str">
        <f>IFERROR(__xludf.DUMMYFUNCTION("""COMPUTED_VALUE"""),"Silas Tanner, (904) 483-8423")</f>
        <v>Silas Tanner, (904) 483-8423</v>
      </c>
      <c r="O156" t="str">
        <f>IFERROR(__xludf.DUMMYFUNCTION("""COMPUTED_VALUE"""),"Hunter Mathews")</f>
        <v>Hunter Mathews</v>
      </c>
      <c r="P156" t="str">
        <f>IFERROR(__xludf.DUMMYFUNCTION("""COMPUTED_VALUE"""),"Silas Tanner")</f>
        <v>Silas Tanner</v>
      </c>
      <c r="Q156" t="str">
        <f>IFERROR(__xludf.DUMMYFUNCTION("""COMPUTED_VALUE"""),"Good")</f>
        <v>Good</v>
      </c>
      <c r="R156" t="str">
        <f>IFERROR(__xludf.DUMMYFUNCTION("""COMPUTED_VALUE"""),"Good")</f>
        <v>Good</v>
      </c>
      <c r="S156" t="str">
        <f>IFERROR(__xludf.DUMMYFUNCTION("""COMPUTED_VALUE"""),"Good")</f>
        <v>Good</v>
      </c>
      <c r="T156" t="str">
        <f>IFERROR(__xludf.DUMMYFUNCTION("""COMPUTED_VALUE"""),"Good")</f>
        <v>Good</v>
      </c>
      <c r="U156" t="str">
        <f>IFERROR(__xludf.DUMMYFUNCTION("""COMPUTED_VALUE"""),"Good")</f>
        <v>Good</v>
      </c>
      <c r="V156" t="str">
        <f>IFERROR(__xludf.DUMMYFUNCTION("""COMPUTED_VALUE"""),"Good")</f>
        <v>Good</v>
      </c>
      <c r="W156" t="str">
        <f>IFERROR(__xludf.DUMMYFUNCTION("""COMPUTED_VALUE"""),"Good")</f>
        <v>Good</v>
      </c>
      <c r="X156" t="str">
        <f>IFERROR(__xludf.DUMMYFUNCTION("""COMPUTED_VALUE"""),"Good")</f>
        <v>Good</v>
      </c>
      <c r="Y156" t="str">
        <f>IFERROR(__xludf.DUMMYFUNCTION("""COMPUTED_VALUE"""),"Good")</f>
        <v>Good</v>
      </c>
      <c r="Z156" t="str">
        <f>IFERROR(__xludf.DUMMYFUNCTION("""COMPUTED_VALUE"""),"Good")</f>
        <v>Good</v>
      </c>
      <c r="AA156" t="str">
        <f>IFERROR(__xludf.DUMMYFUNCTION("""COMPUTED_VALUE"""),"Good")</f>
        <v>Good</v>
      </c>
      <c r="AB156" t="str">
        <f>IFERROR(__xludf.DUMMYFUNCTION("""COMPUTED_VALUE"""),"Good")</f>
        <v>Good</v>
      </c>
      <c r="AC156" t="str">
        <f>IFERROR(__xludf.DUMMYFUNCTION("""COMPUTED_VALUE"""),"Good")</f>
        <v>Good</v>
      </c>
      <c r="AE156" s="11"/>
      <c r="AF156" t="s">
        <v>218</v>
      </c>
      <c r="AG156" s="17" t="s">
        <v>18</v>
      </c>
      <c r="AH156" s="12">
        <v>1155.0</v>
      </c>
      <c r="AI156" s="12" t="s">
        <v>412</v>
      </c>
      <c r="AJ156" s="19" t="s">
        <v>413</v>
      </c>
      <c r="AK156" s="20" t="str">
        <f>HYPERLINK("https://docs.google.com/document/d/1dbUQc-0YRcUCWv4ZLuAiuh-szs2P71qMm4cR0NVclQw/edit?usp=drivesdk","Silas Tanner - 9/12/2018 10:15 AM")</f>
        <v>Silas Tanner - 9/12/2018 10:15 AM</v>
      </c>
      <c r="AL156" s="12" t="s">
        <v>414</v>
      </c>
    </row>
    <row r="157">
      <c r="A157" s="10">
        <f>IFERROR(__xludf.DUMMYFUNCTION("""COMPUTED_VALUE"""),43356.70110957176)</f>
        <v>43356.70111</v>
      </c>
      <c r="B157" s="11" t="str">
        <f>IFERROR(__xludf.DUMMYFUNCTION("""COMPUTED_VALUE"""),"James Tomazinis")</f>
        <v>James Tomazinis</v>
      </c>
      <c r="C157" t="str">
        <f>IFERROR(__xludf.DUMMYFUNCTION("""COMPUTED_VALUE"""),"james.tomazinis@dep.state.fl.us")</f>
        <v>james.tomazinis@dep.state.fl.us</v>
      </c>
      <c r="D157" t="str">
        <f>IFERROR(__xludf.DUMMYFUNCTION("""COMPUTED_VALUE"""),"Stewardship (Aquatic)")</f>
        <v>Stewardship (Aquatic)</v>
      </c>
      <c r="E157" t="str">
        <f>IFERROR(__xludf.DUMMYFUNCTION("""COMPUTED_VALUE"""),"Gamble Rogers")</f>
        <v>Gamble Rogers</v>
      </c>
      <c r="F157" s="13">
        <f>IFERROR(__xludf.DUMMYFUNCTION("""COMPUTED_VALUE"""),0.40277777777737356)</f>
        <v>0.4027777778</v>
      </c>
      <c r="G157" s="14">
        <f>IFERROR(__xludf.DUMMYFUNCTION("""COMPUTED_VALUE"""),43357.0)</f>
        <v>43357</v>
      </c>
      <c r="H157" t="str">
        <f>IFERROR(__xludf.DUMMYFUNCTION("""COMPUTED_VALUE"""),"Misquito Ditching in Tomoka")</f>
        <v>Misquito Ditching in Tomoka</v>
      </c>
      <c r="I157" s="15">
        <f>IFERROR(__xludf.DUMMYFUNCTION("""COMPUTED_VALUE"""),0.5416666666678793)</f>
        <v>0.5416666667</v>
      </c>
      <c r="J157" s="16"/>
      <c r="K157" t="str">
        <f>IFERROR(__xludf.DUMMYFUNCTION("""COMPUTED_VALUE"""),"F 20ft Sea Ark (Easy 200) FL8534PY DEP21451")</f>
        <v>F 20ft Sea Ark (Easy 200) FL8534PY DEP21451</v>
      </c>
      <c r="M157" t="str">
        <f>IFERROR(__xludf.DUMMYFUNCTION("""COMPUTED_VALUE"""),"Ford F150 2015 (White) - DEP21448")</f>
        <v>Ford F150 2015 (White) - DEP21448</v>
      </c>
      <c r="N157" t="str">
        <f>IFERROR(__xludf.DUMMYFUNCTION("""COMPUTED_VALUE"""),"Jimmy Tomazinis, (904) 547-0094")</f>
        <v>Jimmy Tomazinis, (904) 547-0094</v>
      </c>
      <c r="O157" t="str">
        <f>IFERROR(__xludf.DUMMYFUNCTION("""COMPUTED_VALUE"""),"Scott Eastman, (904) 501-9267, Kevin Claridge, Annie Otto, Mike Shirley")</f>
        <v>Scott Eastman, (904) 501-9267, Kevin Claridge, Annie Otto, Mike Shirley</v>
      </c>
      <c r="P157" t="str">
        <f>IFERROR(__xludf.DUMMYFUNCTION("""COMPUTED_VALUE"""),"Jimmy")</f>
        <v>Jimmy</v>
      </c>
      <c r="Q157" t="str">
        <f>IFERROR(__xludf.DUMMYFUNCTION("""COMPUTED_VALUE"""),"Good")</f>
        <v>Good</v>
      </c>
      <c r="R157" t="str">
        <f>IFERROR(__xludf.DUMMYFUNCTION("""COMPUTED_VALUE"""),"Good")</f>
        <v>Good</v>
      </c>
      <c r="S157" t="str">
        <f>IFERROR(__xludf.DUMMYFUNCTION("""COMPUTED_VALUE"""),"Good")</f>
        <v>Good</v>
      </c>
      <c r="T157" t="str">
        <f>IFERROR(__xludf.DUMMYFUNCTION("""COMPUTED_VALUE"""),"Good")</f>
        <v>Good</v>
      </c>
      <c r="U157" t="str">
        <f>IFERROR(__xludf.DUMMYFUNCTION("""COMPUTED_VALUE"""),"Good")</f>
        <v>Good</v>
      </c>
      <c r="V157" t="str">
        <f>IFERROR(__xludf.DUMMYFUNCTION("""COMPUTED_VALUE"""),"Good")</f>
        <v>Good</v>
      </c>
      <c r="W157" t="str">
        <f>IFERROR(__xludf.DUMMYFUNCTION("""COMPUTED_VALUE"""),"Good")</f>
        <v>Good</v>
      </c>
      <c r="X157" t="str">
        <f>IFERROR(__xludf.DUMMYFUNCTION("""COMPUTED_VALUE"""),"Good")</f>
        <v>Good</v>
      </c>
      <c r="Y157" t="str">
        <f>IFERROR(__xludf.DUMMYFUNCTION("""COMPUTED_VALUE"""),"Good")</f>
        <v>Good</v>
      </c>
      <c r="Z157" t="str">
        <f>IFERROR(__xludf.DUMMYFUNCTION("""COMPUTED_VALUE"""),"Good")</f>
        <v>Good</v>
      </c>
      <c r="AA157" t="str">
        <f>IFERROR(__xludf.DUMMYFUNCTION("""COMPUTED_VALUE"""),"Good")</f>
        <v>Good</v>
      </c>
      <c r="AB157" t="str">
        <f>IFERROR(__xludf.DUMMYFUNCTION("""COMPUTED_VALUE"""),"Good")</f>
        <v>Good</v>
      </c>
      <c r="AC157" t="str">
        <f>IFERROR(__xludf.DUMMYFUNCTION("""COMPUTED_VALUE"""),"Good")</f>
        <v>Good</v>
      </c>
      <c r="AE157" s="11"/>
      <c r="AF157" t="s">
        <v>32</v>
      </c>
      <c r="AG157" s="17" t="s">
        <v>22</v>
      </c>
      <c r="AH157" s="12">
        <v>1130.0</v>
      </c>
      <c r="AI157" s="12" t="s">
        <v>415</v>
      </c>
      <c r="AJ157" s="19" t="s">
        <v>416</v>
      </c>
      <c r="AK157" s="20" t="str">
        <f>HYPERLINK("https://docs.google.com/document/d/1vSRqTWP7CmpWxXBMw2pni-Z1VXWQUibiRPAhtbpU00M/edit?usp=drivesdk","James Tomazinis - 9/14/2018 9:40 AM")</f>
        <v>James Tomazinis - 9/14/2018 9:40 AM</v>
      </c>
      <c r="AL157" s="12" t="s">
        <v>417</v>
      </c>
    </row>
    <row r="158">
      <c r="A158" s="10">
        <f>IFERROR(__xludf.DUMMYFUNCTION("""COMPUTED_VALUE"""),43360.497623344905)</f>
        <v>43360.49762</v>
      </c>
      <c r="B158" s="11" t="str">
        <f>IFERROR(__xludf.DUMMYFUNCTION("""COMPUTED_VALUE"""),"Gabriela Canas")</f>
        <v>Gabriela Canas</v>
      </c>
      <c r="C158" t="str">
        <f>IFERROR(__xludf.DUMMYFUNCTION("""COMPUTED_VALUE"""),"gabriela.canas@dep.state.fl.us")</f>
        <v>gabriela.canas@dep.state.fl.us</v>
      </c>
      <c r="D158" t="str">
        <f>IFERROR(__xludf.DUMMYFUNCTION("""COMPUTED_VALUE"""),"Research/Nikki")</f>
        <v>Research/Nikki</v>
      </c>
      <c r="E158" t="str">
        <f>IFERROR(__xludf.DUMMYFUNCTION("""COMPUTED_VALUE"""),"Douglas crane")</f>
        <v>Douglas crane</v>
      </c>
      <c r="F158" s="13">
        <f>IFERROR(__xludf.DUMMYFUNCTION("""COMPUTED_VALUE"""),0.5208333333321207)</f>
        <v>0.5208333333</v>
      </c>
      <c r="G158" s="14">
        <f>IFERROR(__xludf.DUMMYFUNCTION("""COMPUTED_VALUE"""),43360.0)</f>
        <v>43360</v>
      </c>
      <c r="H158" t="str">
        <f>IFERROR(__xludf.DUMMYFUNCTION("""COMPUTED_VALUE"""),"Gabby’s creek")</f>
        <v>Gabby’s creek</v>
      </c>
      <c r="I158" s="15">
        <f>IFERROR(__xludf.DUMMYFUNCTION("""COMPUTED_VALUE"""),0.6041666666678793)</f>
        <v>0.6041666667</v>
      </c>
      <c r="J158" s="16">
        <f>IFERROR(__xludf.DUMMYFUNCTION("""COMPUTED_VALUE"""),43360.125)</f>
        <v>43360.125</v>
      </c>
      <c r="K158" t="str">
        <f>IFERROR(__xludf.DUMMYFUNCTION("""COMPUTED_VALUE"""),"20ft Sea Ark FL5351SJ UNF 2015")</f>
        <v>20ft Sea Ark FL5351SJ UNF 2015</v>
      </c>
      <c r="M158" t="str">
        <f>IFERROR(__xludf.DUMMYFUNCTION("""COMPUTED_VALUE"""),"Ford F250 2017 (Moby Dix) - DEP0021578")</f>
        <v>Ford F250 2017 (Moby Dix) - DEP0021578</v>
      </c>
      <c r="N158" t="str">
        <f>IFERROR(__xludf.DUMMYFUNCTION("""COMPUTED_VALUE"""),"Mike Dickson")</f>
        <v>Mike Dickson</v>
      </c>
      <c r="O158" t="str">
        <f>IFERROR(__xludf.DUMMYFUNCTION("""COMPUTED_VALUE"""),"Gabriela Canas, (904) 891-9743")</f>
        <v>Gabriela Canas, (904) 891-9743</v>
      </c>
      <c r="P158" t="str">
        <f>IFERROR(__xludf.DUMMYFUNCTION("""COMPUTED_VALUE"""),"Mike dickson")</f>
        <v>Mike dickson</v>
      </c>
      <c r="Q158" t="str">
        <f>IFERROR(__xludf.DUMMYFUNCTION("""COMPUTED_VALUE"""),"Good")</f>
        <v>Good</v>
      </c>
      <c r="R158" t="str">
        <f>IFERROR(__xludf.DUMMYFUNCTION("""COMPUTED_VALUE"""),"Good")</f>
        <v>Good</v>
      </c>
      <c r="S158" t="str">
        <f>IFERROR(__xludf.DUMMYFUNCTION("""COMPUTED_VALUE"""),"Good")</f>
        <v>Good</v>
      </c>
      <c r="T158" t="str">
        <f>IFERROR(__xludf.DUMMYFUNCTION("""COMPUTED_VALUE"""),"Good")</f>
        <v>Good</v>
      </c>
      <c r="U158" t="str">
        <f>IFERROR(__xludf.DUMMYFUNCTION("""COMPUTED_VALUE"""),"Good")</f>
        <v>Good</v>
      </c>
      <c r="V158" t="str">
        <f>IFERROR(__xludf.DUMMYFUNCTION("""COMPUTED_VALUE"""),"Good")</f>
        <v>Good</v>
      </c>
      <c r="W158" t="str">
        <f>IFERROR(__xludf.DUMMYFUNCTION("""COMPUTED_VALUE"""),"Good")</f>
        <v>Good</v>
      </c>
      <c r="X158" t="str">
        <f>IFERROR(__xludf.DUMMYFUNCTION("""COMPUTED_VALUE"""),"Good")</f>
        <v>Good</v>
      </c>
      <c r="Y158" t="str">
        <f>IFERROR(__xludf.DUMMYFUNCTION("""COMPUTED_VALUE"""),"Good")</f>
        <v>Good</v>
      </c>
      <c r="Z158" t="str">
        <f>IFERROR(__xludf.DUMMYFUNCTION("""COMPUTED_VALUE"""),"Good")</f>
        <v>Good</v>
      </c>
      <c r="AA158" t="str">
        <f>IFERROR(__xludf.DUMMYFUNCTION("""COMPUTED_VALUE"""),"Good")</f>
        <v>Good</v>
      </c>
      <c r="AB158" t="str">
        <f>IFERROR(__xludf.DUMMYFUNCTION("""COMPUTED_VALUE"""),"Good")</f>
        <v>Good</v>
      </c>
      <c r="AC158" t="str">
        <f>IFERROR(__xludf.DUMMYFUNCTION("""COMPUTED_VALUE"""),"Good")</f>
        <v>Good</v>
      </c>
      <c r="AE158" s="11"/>
      <c r="AF158" t="s">
        <v>218</v>
      </c>
      <c r="AG158" s="17" t="s">
        <v>18</v>
      </c>
      <c r="AH158" s="12">
        <v>1410.0</v>
      </c>
      <c r="AI158" s="12" t="s">
        <v>418</v>
      </c>
      <c r="AJ158" s="19" t="s">
        <v>419</v>
      </c>
      <c r="AK158" s="20" t="str">
        <f>HYPERLINK("https://docs.google.com/document/d/1L1Qa-gJZob4LNqDWn65q46mBvDTDwlLwU3zjXy1ncsw/edit?usp=drivesdk","Gabriela Canas - 9/17/2018 12:30 PM")</f>
        <v>Gabriela Canas - 9/17/2018 12:30 PM</v>
      </c>
      <c r="AL158" s="12" t="s">
        <v>420</v>
      </c>
    </row>
    <row r="159">
      <c r="A159" s="10">
        <f>IFERROR(__xludf.DUMMYFUNCTION("""COMPUTED_VALUE"""),43362.308713125)</f>
        <v>43362.30871</v>
      </c>
      <c r="B159" s="11" t="str">
        <f>IFERROR(__xludf.DUMMYFUNCTION("""COMPUTED_VALUE"""),"James Tomazinis")</f>
        <v>James Tomazinis</v>
      </c>
      <c r="C159" t="str">
        <f>IFERROR(__xludf.DUMMYFUNCTION("""COMPUTED_VALUE"""),"james.tomazinis@floridadep.gov")</f>
        <v>james.tomazinis@floridadep.gov</v>
      </c>
      <c r="D159" t="str">
        <f>IFERROR(__xludf.DUMMYFUNCTION("""COMPUTED_VALUE"""),"Stewardship (Aquatic)")</f>
        <v>Stewardship (Aquatic)</v>
      </c>
      <c r="E159" t="str">
        <f>IFERROR(__xludf.DUMMYFUNCTION("""COMPUTED_VALUE"""),"Faver Dykes")</f>
        <v>Faver Dykes</v>
      </c>
      <c r="F159" s="13">
        <f>IFERROR(__xludf.DUMMYFUNCTION("""COMPUTED_VALUE"""),0.375)</f>
        <v>0.375</v>
      </c>
      <c r="G159" s="14">
        <f>IFERROR(__xludf.DUMMYFUNCTION("""COMPUTED_VALUE"""),43362.0)</f>
        <v>43362</v>
      </c>
      <c r="H159" t="str">
        <f>IFERROR(__xludf.DUMMYFUNCTION("""COMPUTED_VALUE"""),"Pellicer Creek WQ sites")</f>
        <v>Pellicer Creek WQ sites</v>
      </c>
      <c r="I159" s="15">
        <f>IFERROR(__xludf.DUMMYFUNCTION("""COMPUTED_VALUE"""),0.5625)</f>
        <v>0.5625</v>
      </c>
      <c r="J159" s="16"/>
      <c r="K159" t="str">
        <f>IFERROR(__xludf.DUMMYFUNCTION("""COMPUTED_VALUE"""),"Jon Boat FL0484NP DEP06819")</f>
        <v>Jon Boat FL0484NP DEP06819</v>
      </c>
      <c r="M159" t="str">
        <f>IFERROR(__xludf.DUMMYFUNCTION("""COMPUTED_VALUE"""),"NEAP F150")</f>
        <v>NEAP F150</v>
      </c>
      <c r="N159" t="str">
        <f>IFERROR(__xludf.DUMMYFUNCTION("""COMPUTED_VALUE"""),"Jimmy Tomazinis, (904) 547-0094")</f>
        <v>Jimmy Tomazinis, (904) 547-0094</v>
      </c>
      <c r="O159" t="str">
        <f>IFERROR(__xludf.DUMMYFUNCTION("""COMPUTED_VALUE"""),"Scott Eastman, (904) 501-9267")</f>
        <v>Scott Eastman, (904) 501-9267</v>
      </c>
      <c r="P159" t="str">
        <f>IFERROR(__xludf.DUMMYFUNCTION("""COMPUTED_VALUE"""),"Jimmy")</f>
        <v>Jimmy</v>
      </c>
      <c r="Q159" t="str">
        <f>IFERROR(__xludf.DUMMYFUNCTION("""COMPUTED_VALUE"""),"Good")</f>
        <v>Good</v>
      </c>
      <c r="R159" t="str">
        <f>IFERROR(__xludf.DUMMYFUNCTION("""COMPUTED_VALUE"""),"Good")</f>
        <v>Good</v>
      </c>
      <c r="S159" t="str">
        <f>IFERROR(__xludf.DUMMYFUNCTION("""COMPUTED_VALUE"""),"Good")</f>
        <v>Good</v>
      </c>
      <c r="T159" t="str">
        <f>IFERROR(__xludf.DUMMYFUNCTION("""COMPUTED_VALUE"""),"Good")</f>
        <v>Good</v>
      </c>
      <c r="U159" t="str">
        <f>IFERROR(__xludf.DUMMYFUNCTION("""COMPUTED_VALUE"""),"Good")</f>
        <v>Good</v>
      </c>
      <c r="V159" t="str">
        <f>IFERROR(__xludf.DUMMYFUNCTION("""COMPUTED_VALUE"""),"Good")</f>
        <v>Good</v>
      </c>
      <c r="W159" t="str">
        <f>IFERROR(__xludf.DUMMYFUNCTION("""COMPUTED_VALUE"""),"Good")</f>
        <v>Good</v>
      </c>
      <c r="X159" t="str">
        <f>IFERROR(__xludf.DUMMYFUNCTION("""COMPUTED_VALUE"""),"Good")</f>
        <v>Good</v>
      </c>
      <c r="Y159" t="str">
        <f>IFERROR(__xludf.DUMMYFUNCTION("""COMPUTED_VALUE"""),"Good")</f>
        <v>Good</v>
      </c>
      <c r="Z159" t="str">
        <f>IFERROR(__xludf.DUMMYFUNCTION("""COMPUTED_VALUE"""),"Good")</f>
        <v>Good</v>
      </c>
      <c r="AA159" t="str">
        <f>IFERROR(__xludf.DUMMYFUNCTION("""COMPUTED_VALUE"""),"Good")</f>
        <v>Good</v>
      </c>
      <c r="AB159" t="str">
        <f>IFERROR(__xludf.DUMMYFUNCTION("""COMPUTED_VALUE"""),"Good")</f>
        <v>Good</v>
      </c>
      <c r="AC159" t="str">
        <f>IFERROR(__xludf.DUMMYFUNCTION("""COMPUTED_VALUE"""),"Good")</f>
        <v>Good</v>
      </c>
      <c r="AE159" s="11"/>
      <c r="AF159" t="s">
        <v>32</v>
      </c>
      <c r="AG159" s="17" t="s">
        <v>18</v>
      </c>
      <c r="AH159" s="12">
        <v>1400.0</v>
      </c>
      <c r="AI159" s="12" t="s">
        <v>421</v>
      </c>
      <c r="AJ159" s="19" t="s">
        <v>422</v>
      </c>
      <c r="AK159" s="20" t="str">
        <f>HYPERLINK("https://docs.google.com/document/d/1BEemg3yUgKS4kZmHueWdHy0Eq3TwI6BuvwXCR9oCHpE/edit?usp=drivesdk","James Tomazinis - 9/19/2018 9:00 AM")</f>
        <v>James Tomazinis - 9/19/2018 9:00 AM</v>
      </c>
      <c r="AL159" s="12" t="s">
        <v>423</v>
      </c>
    </row>
    <row r="160">
      <c r="A160" s="10">
        <f>IFERROR(__xludf.DUMMYFUNCTION("""COMPUTED_VALUE"""),43362.39120690973)</f>
        <v>43362.39121</v>
      </c>
      <c r="B160" s="11" t="str">
        <f>IFERROR(__xludf.DUMMYFUNCTION("""COMPUTED_VALUE"""),"Ben Mowbray")</f>
        <v>Ben Mowbray</v>
      </c>
      <c r="C160" t="str">
        <f>IFERROR(__xludf.DUMMYFUNCTION("""COMPUTED_VALUE"""),"ben.mowbray@dep.state.fl.us")</f>
        <v>ben.mowbray@dep.state.fl.us</v>
      </c>
      <c r="D160" t="str">
        <f>IFERROR(__xludf.DUMMYFUNCTION("""COMPUTED_VALUE"""),"Research/Pam")</f>
        <v>Research/Pam</v>
      </c>
      <c r="E160" t="str">
        <f>IFERROR(__xludf.DUMMYFUNCTION("""COMPUTED_VALUE"""),"Whitney")</f>
        <v>Whitney</v>
      </c>
      <c r="F160" s="13">
        <f>IFERROR(__xludf.DUMMYFUNCTION("""COMPUTED_VALUE"""),0.40972222222262644)</f>
        <v>0.4097222222</v>
      </c>
      <c r="G160" s="14">
        <f>IFERROR(__xludf.DUMMYFUNCTION("""COMPUTED_VALUE"""),43362.0)</f>
        <v>43362</v>
      </c>
      <c r="H160" t="str">
        <f>IFERROR(__xludf.DUMMYFUNCTION("""COMPUTED_VALUE"""),"Kimbro reefs in Pellicer Flats and near Whitney")</f>
        <v>Kimbro reefs in Pellicer Flats and near Whitney</v>
      </c>
      <c r="I160" s="15">
        <f>IFERROR(__xludf.DUMMYFUNCTION("""COMPUTED_VALUE"""),0.625)</f>
        <v>0.625</v>
      </c>
      <c r="J160" s="16">
        <f>IFERROR(__xludf.DUMMYFUNCTION("""COMPUTED_VALUE"""),43362.66666666667)</f>
        <v>43362.66667</v>
      </c>
      <c r="K160" t="str">
        <f>IFERROR(__xludf.DUMMYFUNCTION("""COMPUTED_VALUE"""),"20ft Sea Ark FL5351SJ UNF 2015")</f>
        <v>20ft Sea Ark FL5351SJ UNF 2015</v>
      </c>
      <c r="M160" t="str">
        <f>IFERROR(__xludf.DUMMYFUNCTION("""COMPUTED_VALUE"""),"Ford F150 2015 (White) - DEP21448")</f>
        <v>Ford F150 2015 (White) - DEP21448</v>
      </c>
      <c r="N160" t="str">
        <f>IFERROR(__xludf.DUMMYFUNCTION("""COMPUTED_VALUE"""),"Ben Mowbray, (407) 962-8782")</f>
        <v>Ben Mowbray, (407) 962-8782</v>
      </c>
      <c r="O160" t="str">
        <f>IFERROR(__xludf.DUMMYFUNCTION("""COMPUTED_VALUE"""),"Nicole, Rodrigo, Adrienne")</f>
        <v>Nicole, Rodrigo, Adrienne</v>
      </c>
      <c r="P160" t="str">
        <f>IFERROR(__xludf.DUMMYFUNCTION("""COMPUTED_VALUE"""),"Ben")</f>
        <v>Ben</v>
      </c>
      <c r="Q160" t="str">
        <f>IFERROR(__xludf.DUMMYFUNCTION("""COMPUTED_VALUE"""),"Good")</f>
        <v>Good</v>
      </c>
      <c r="R160" t="str">
        <f>IFERROR(__xludf.DUMMYFUNCTION("""COMPUTED_VALUE"""),"Good")</f>
        <v>Good</v>
      </c>
      <c r="S160" t="str">
        <f>IFERROR(__xludf.DUMMYFUNCTION("""COMPUTED_VALUE"""),"Good")</f>
        <v>Good</v>
      </c>
      <c r="T160" t="str">
        <f>IFERROR(__xludf.DUMMYFUNCTION("""COMPUTED_VALUE"""),"Good")</f>
        <v>Good</v>
      </c>
      <c r="U160" t="str">
        <f>IFERROR(__xludf.DUMMYFUNCTION("""COMPUTED_VALUE"""),"Good")</f>
        <v>Good</v>
      </c>
      <c r="V160" t="str">
        <f>IFERROR(__xludf.DUMMYFUNCTION("""COMPUTED_VALUE"""),"Good")</f>
        <v>Good</v>
      </c>
      <c r="W160" t="str">
        <f>IFERROR(__xludf.DUMMYFUNCTION("""COMPUTED_VALUE"""),"Good")</f>
        <v>Good</v>
      </c>
      <c r="X160" t="str">
        <f>IFERROR(__xludf.DUMMYFUNCTION("""COMPUTED_VALUE"""),"Good")</f>
        <v>Good</v>
      </c>
      <c r="Y160" t="str">
        <f>IFERROR(__xludf.DUMMYFUNCTION("""COMPUTED_VALUE"""),"Good")</f>
        <v>Good</v>
      </c>
      <c r="Z160" t="str">
        <f>IFERROR(__xludf.DUMMYFUNCTION("""COMPUTED_VALUE"""),"Good")</f>
        <v>Good</v>
      </c>
      <c r="AA160" t="str">
        <f>IFERROR(__xludf.DUMMYFUNCTION("""COMPUTED_VALUE"""),"Good")</f>
        <v>Good</v>
      </c>
      <c r="AB160" t="str">
        <f>IFERROR(__xludf.DUMMYFUNCTION("""COMPUTED_VALUE"""),"Good")</f>
        <v>Good</v>
      </c>
      <c r="AC160" t="str">
        <f>IFERROR(__xludf.DUMMYFUNCTION("""COMPUTED_VALUE"""),"Good")</f>
        <v>Good</v>
      </c>
      <c r="AE160" s="11"/>
      <c r="AF160" t="s">
        <v>262</v>
      </c>
      <c r="AG160" s="17" t="s">
        <v>18</v>
      </c>
      <c r="AH160" s="12">
        <v>1457.0</v>
      </c>
      <c r="AI160" s="12" t="s">
        <v>424</v>
      </c>
      <c r="AJ160" s="19" t="s">
        <v>425</v>
      </c>
      <c r="AK160" s="20" t="str">
        <f>HYPERLINK("https://docs.google.com/document/d/13L1BLRxELDJtkWSeTmCGPwxwpJo_bGihEn16D1Ndh94/edit?usp=drivesdk","Ben Mowbray - 9/19/2018 9:50 AM")</f>
        <v>Ben Mowbray - 9/19/2018 9:50 AM</v>
      </c>
      <c r="AL160" s="12" t="s">
        <v>426</v>
      </c>
    </row>
    <row r="161">
      <c r="A161" s="10">
        <f>IFERROR(__xludf.DUMMYFUNCTION("""COMPUTED_VALUE"""),43362.8456943287)</f>
        <v>43362.84569</v>
      </c>
      <c r="B161" s="11" t="str">
        <f>IFERROR(__xludf.DUMMYFUNCTION("""COMPUTED_VALUE"""),"Shannon Dunnigan")</f>
        <v>Shannon Dunnigan</v>
      </c>
      <c r="C161" t="str">
        <f>IFERROR(__xludf.DUMMYFUNCTION("""COMPUTED_VALUE"""),"shannon.dunnigan@floridadep.gov")</f>
        <v>shannon.dunnigan@floridadep.gov</v>
      </c>
      <c r="D161" t="str">
        <f>IFERROR(__xludf.DUMMYFUNCTION("""COMPUTED_VALUE"""),"Research/Nikki")</f>
        <v>Research/Nikki</v>
      </c>
      <c r="E161" t="str">
        <f>IFERROR(__xludf.DUMMYFUNCTION("""COMPUTED_VALUE"""),"Bings")</f>
        <v>Bings</v>
      </c>
      <c r="F161" s="13">
        <f>IFERROR(__xludf.DUMMYFUNCTION("""COMPUTED_VALUE"""),0.3541666666678793)</f>
        <v>0.3541666667</v>
      </c>
      <c r="G161" s="14">
        <f>IFERROR(__xludf.DUMMYFUNCTION("""COMPUTED_VALUE"""),43363.0)</f>
        <v>43363</v>
      </c>
      <c r="H161" t="str">
        <f>IFERROR(__xludf.DUMMYFUNCTION("""COMPUTED_VALUE"""),"Summerhaven River")</f>
        <v>Summerhaven River</v>
      </c>
      <c r="I161" s="15">
        <f>IFERROR(__xludf.DUMMYFUNCTION("""COMPUTED_VALUE"""),0.4583333333321207)</f>
        <v>0.4583333333</v>
      </c>
      <c r="J161" s="16">
        <f>IFERROR(__xludf.DUMMYFUNCTION("""COMPUTED_VALUE"""),43363.5625)</f>
        <v>43363.5625</v>
      </c>
      <c r="K161" t="str">
        <f>IFERROR(__xludf.DUMMYFUNCTION("""COMPUTED_VALUE"""),"20ft Sea Ark FL5351SJ UNF 2015")</f>
        <v>20ft Sea Ark FL5351SJ UNF 2015</v>
      </c>
      <c r="M161" t="str">
        <f>IFERROR(__xludf.DUMMYFUNCTION("""COMPUTED_VALUE"""),"Ford F150 2015 (White) - DEP21448")</f>
        <v>Ford F150 2015 (White) - DEP21448</v>
      </c>
      <c r="N161" t="str">
        <f>IFERROR(__xludf.DUMMYFUNCTION("""COMPUTED_VALUE"""),"Shannon Dunnigan, (803) 727-5734, Silas Tanner, (904) 483-8423")</f>
        <v>Shannon Dunnigan, (803) 727-5734, Silas Tanner, (904) 483-8423</v>
      </c>
      <c r="O161" t="str">
        <f>IFERROR(__xludf.DUMMYFUNCTION("""COMPUTED_VALUE"""),"Hunter Mathews and Westly Woodward")</f>
        <v>Hunter Mathews and Westly Woodward</v>
      </c>
      <c r="P161" t="str">
        <f>IFERROR(__xludf.DUMMYFUNCTION("""COMPUTED_VALUE"""),"Shannon Dunnigan")</f>
        <v>Shannon Dunnigan</v>
      </c>
      <c r="Q161" t="str">
        <f>IFERROR(__xludf.DUMMYFUNCTION("""COMPUTED_VALUE"""),"Good")</f>
        <v>Good</v>
      </c>
      <c r="R161" t="str">
        <f>IFERROR(__xludf.DUMMYFUNCTION("""COMPUTED_VALUE"""),"Good")</f>
        <v>Good</v>
      </c>
      <c r="S161" t="str">
        <f>IFERROR(__xludf.DUMMYFUNCTION("""COMPUTED_VALUE"""),"Good")</f>
        <v>Good</v>
      </c>
      <c r="T161" t="str">
        <f>IFERROR(__xludf.DUMMYFUNCTION("""COMPUTED_VALUE"""),"Good")</f>
        <v>Good</v>
      </c>
      <c r="U161" t="str">
        <f>IFERROR(__xludf.DUMMYFUNCTION("""COMPUTED_VALUE"""),"Good")</f>
        <v>Good</v>
      </c>
      <c r="V161" t="str">
        <f>IFERROR(__xludf.DUMMYFUNCTION("""COMPUTED_VALUE"""),"Good")</f>
        <v>Good</v>
      </c>
      <c r="W161" t="str">
        <f>IFERROR(__xludf.DUMMYFUNCTION("""COMPUTED_VALUE"""),"Good")</f>
        <v>Good</v>
      </c>
      <c r="X161" t="str">
        <f>IFERROR(__xludf.DUMMYFUNCTION("""COMPUTED_VALUE"""),"Good")</f>
        <v>Good</v>
      </c>
      <c r="Y161" t="str">
        <f>IFERROR(__xludf.DUMMYFUNCTION("""COMPUTED_VALUE"""),"Good")</f>
        <v>Good</v>
      </c>
      <c r="Z161" t="str">
        <f>IFERROR(__xludf.DUMMYFUNCTION("""COMPUTED_VALUE"""),"Good")</f>
        <v>Good</v>
      </c>
      <c r="AA161" t="str">
        <f>IFERROR(__xludf.DUMMYFUNCTION("""COMPUTED_VALUE"""),"Good")</f>
        <v>Good</v>
      </c>
      <c r="AB161" t="str">
        <f>IFERROR(__xludf.DUMMYFUNCTION("""COMPUTED_VALUE"""),"Good")</f>
        <v>Good</v>
      </c>
      <c r="AC161" t="str">
        <f>IFERROR(__xludf.DUMMYFUNCTION("""COMPUTED_VALUE"""),"Good")</f>
        <v>Good</v>
      </c>
      <c r="AE161" s="11"/>
      <c r="AF161" t="s">
        <v>218</v>
      </c>
      <c r="AG161" s="17" t="s">
        <v>18</v>
      </c>
      <c r="AH161" s="12">
        <v>1010.0</v>
      </c>
      <c r="AI161" s="12" t="s">
        <v>427</v>
      </c>
      <c r="AJ161" s="19" t="s">
        <v>428</v>
      </c>
      <c r="AK161" s="20" t="str">
        <f>HYPERLINK("https://docs.google.com/document/d/1XgPHyLVaetsiT9yAxWjsIn05pUXXzoUT6oXrjFlL0YY/edit?usp=drivesdk","Shannon Dunnigan - 9/20/2018 8:30 AM")</f>
        <v>Shannon Dunnigan - 9/20/2018 8:30 AM</v>
      </c>
      <c r="AL161" s="12" t="s">
        <v>429</v>
      </c>
    </row>
    <row r="162">
      <c r="A162" s="10">
        <f>IFERROR(__xludf.DUMMYFUNCTION("""COMPUTED_VALUE"""),43366.743190810186)</f>
        <v>43366.74319</v>
      </c>
      <c r="B162" s="11" t="str">
        <f>IFERROR(__xludf.DUMMYFUNCTION("""COMPUTED_VALUE"""),"Silas Tanner")</f>
        <v>Silas Tanner</v>
      </c>
      <c r="C162" t="str">
        <f>IFERROR(__xludf.DUMMYFUNCTION("""COMPUTED_VALUE"""),"silas.tanner@floridadep.gov")</f>
        <v>silas.tanner@floridadep.gov</v>
      </c>
      <c r="D162" t="str">
        <f>IFERROR(__xludf.DUMMYFUNCTION("""COMPUTED_VALUE"""),"Research/Nikki")</f>
        <v>Research/Nikki</v>
      </c>
      <c r="E162" t="str">
        <f>IFERROR(__xludf.DUMMYFUNCTION("""COMPUTED_VALUE"""),"Vilano county ramp")</f>
        <v>Vilano county ramp</v>
      </c>
      <c r="F162" s="13">
        <f>IFERROR(__xludf.DUMMYFUNCTION("""COMPUTED_VALUE"""),0.3645833333321207)</f>
        <v>0.3645833333</v>
      </c>
      <c r="G162" s="14">
        <f>IFERROR(__xludf.DUMMYFUNCTION("""COMPUTED_VALUE"""),43367.0)</f>
        <v>43367</v>
      </c>
      <c r="H162" t="str">
        <f>IFERROR(__xludf.DUMMYFUNCTION("""COMPUTED_VALUE"""),"ICW - SWMP sites")</f>
        <v>ICW - SWMP sites</v>
      </c>
      <c r="I162" s="15">
        <f>IFERROR(__xludf.DUMMYFUNCTION("""COMPUTED_VALUE"""),0.53125)</f>
        <v>0.53125</v>
      </c>
      <c r="J162" s="16">
        <f>IFERROR(__xludf.DUMMYFUNCTION("""COMPUTED_VALUE"""),43367.54166666667)</f>
        <v>43367.54167</v>
      </c>
      <c r="K162" t="str">
        <f>IFERROR(__xludf.DUMMYFUNCTION("""COMPUTED_VALUE"""),"23ft Skiff (Bertha) FL7972LJ DEP07613")</f>
        <v>23ft Skiff (Bertha) FL7972LJ DEP07613</v>
      </c>
      <c r="M162" t="str">
        <f>IFERROR(__xludf.DUMMYFUNCTION("""COMPUTED_VALUE"""),"Ford F250 2017 (Moby Dix) - DEP0021578")</f>
        <v>Ford F250 2017 (Moby Dix) - DEP0021578</v>
      </c>
      <c r="N162" t="str">
        <f>IFERROR(__xludf.DUMMYFUNCTION("""COMPUTED_VALUE"""),"Silas Tanner, (904) 483-8423")</f>
        <v>Silas Tanner, (904) 483-8423</v>
      </c>
      <c r="O162" t="str">
        <f>IFERROR(__xludf.DUMMYFUNCTION("""COMPUTED_VALUE"""),"Remo Mondazi, Terri Calleson")</f>
        <v>Remo Mondazi, Terri Calleson</v>
      </c>
      <c r="P162" t="str">
        <f>IFERROR(__xludf.DUMMYFUNCTION("""COMPUTED_VALUE"""),"Silas Tanner")</f>
        <v>Silas Tanner</v>
      </c>
      <c r="Q162" t="str">
        <f>IFERROR(__xludf.DUMMYFUNCTION("""COMPUTED_VALUE"""),"Good")</f>
        <v>Good</v>
      </c>
      <c r="R162" t="str">
        <f>IFERROR(__xludf.DUMMYFUNCTION("""COMPUTED_VALUE"""),"Good")</f>
        <v>Good</v>
      </c>
      <c r="S162" t="str">
        <f>IFERROR(__xludf.DUMMYFUNCTION("""COMPUTED_VALUE"""),"Good")</f>
        <v>Good</v>
      </c>
      <c r="T162" t="str">
        <f>IFERROR(__xludf.DUMMYFUNCTION("""COMPUTED_VALUE"""),"Good")</f>
        <v>Good</v>
      </c>
      <c r="U162" t="str">
        <f>IFERROR(__xludf.DUMMYFUNCTION("""COMPUTED_VALUE"""),"Good")</f>
        <v>Good</v>
      </c>
      <c r="V162" t="str">
        <f>IFERROR(__xludf.DUMMYFUNCTION("""COMPUTED_VALUE"""),"Good")</f>
        <v>Good</v>
      </c>
      <c r="W162" t="str">
        <f>IFERROR(__xludf.DUMMYFUNCTION("""COMPUTED_VALUE"""),"Good")</f>
        <v>Good</v>
      </c>
      <c r="X162" t="str">
        <f>IFERROR(__xludf.DUMMYFUNCTION("""COMPUTED_VALUE"""),"Good")</f>
        <v>Good</v>
      </c>
      <c r="Y162" t="str">
        <f>IFERROR(__xludf.DUMMYFUNCTION("""COMPUTED_VALUE"""),"Good")</f>
        <v>Good</v>
      </c>
      <c r="Z162" t="str">
        <f>IFERROR(__xludf.DUMMYFUNCTION("""COMPUTED_VALUE"""),"Good")</f>
        <v>Good</v>
      </c>
      <c r="AA162" t="str">
        <f>IFERROR(__xludf.DUMMYFUNCTION("""COMPUTED_VALUE"""),"Good")</f>
        <v>Good</v>
      </c>
      <c r="AB162" t="str">
        <f>IFERROR(__xludf.DUMMYFUNCTION("""COMPUTED_VALUE"""),"Good")</f>
        <v>Good</v>
      </c>
      <c r="AC162" t="str">
        <f>IFERROR(__xludf.DUMMYFUNCTION("""COMPUTED_VALUE"""),"Good")</f>
        <v>Good</v>
      </c>
      <c r="AE162" s="11"/>
      <c r="AF162" t="s">
        <v>218</v>
      </c>
      <c r="AG162" s="17" t="s">
        <v>56</v>
      </c>
      <c r="AH162" s="12" t="s">
        <v>282</v>
      </c>
      <c r="AI162" s="12" t="s">
        <v>430</v>
      </c>
      <c r="AJ162" s="19" t="s">
        <v>431</v>
      </c>
      <c r="AK162" s="20" t="str">
        <f>HYPERLINK("https://docs.google.com/document/d/19y2xBdaEYRCaUdOVOFVL8R13UVTXTgDmuMIsfnSUrpc/edit?usp=drivesdk","Silas Tanner - 9/24/2018 8:45 AM")</f>
        <v>Silas Tanner - 9/24/2018 8:45 AM</v>
      </c>
      <c r="AL162" s="12" t="s">
        <v>432</v>
      </c>
    </row>
    <row r="163">
      <c r="A163" s="10">
        <f>IFERROR(__xludf.DUMMYFUNCTION("""COMPUTED_VALUE"""),43367.63287653935)</f>
        <v>43367.63288</v>
      </c>
      <c r="B163" s="11" t="str">
        <f>IFERROR(__xludf.DUMMYFUNCTION("""COMPUTED_VALUE"""),"Ben Mowbray")</f>
        <v>Ben Mowbray</v>
      </c>
      <c r="C163" t="str">
        <f>IFERROR(__xludf.DUMMYFUNCTION("""COMPUTED_VALUE"""),"ben.mowbray@dep.state.fl.us")</f>
        <v>ben.mowbray@dep.state.fl.us</v>
      </c>
      <c r="D163" t="str">
        <f>IFERROR(__xludf.DUMMYFUNCTION("""COMPUTED_VALUE"""),"Research/Nikki")</f>
        <v>Research/Nikki</v>
      </c>
      <c r="E163" t="str">
        <f>IFERROR(__xludf.DUMMYFUNCTION("""COMPUTED_VALUE"""),"Bing's")</f>
        <v>Bing's</v>
      </c>
      <c r="F163" s="13">
        <f>IFERROR(__xludf.DUMMYFUNCTION("""COMPUTED_VALUE"""),0.3055555555547471)</f>
        <v>0.3055555556</v>
      </c>
      <c r="G163" s="14">
        <f>IFERROR(__xludf.DUMMYFUNCTION("""COMPUTED_VALUE"""),43370.0)</f>
        <v>43370</v>
      </c>
      <c r="H163" t="str">
        <f>IFERROR(__xludf.DUMMYFUNCTION("""COMPUTED_VALUE"""),"Washington Oaks marsh platforms")</f>
        <v>Washington Oaks marsh platforms</v>
      </c>
      <c r="I163" s="15">
        <f>IFERROR(__xludf.DUMMYFUNCTION("""COMPUTED_VALUE"""),0.5277777777773736)</f>
        <v>0.5277777778</v>
      </c>
      <c r="J163" s="16">
        <f>IFERROR(__xludf.DUMMYFUNCTION("""COMPUTED_VALUE"""),43370.58333333333)</f>
        <v>43370.58333</v>
      </c>
      <c r="K163" t="str">
        <f>IFERROR(__xludf.DUMMYFUNCTION("""COMPUTED_VALUE"""),"20ft Sea Ark FL5351SJ UNF 2015")</f>
        <v>20ft Sea Ark FL5351SJ UNF 2015</v>
      </c>
      <c r="M163" t="str">
        <f>IFERROR(__xludf.DUMMYFUNCTION("""COMPUTED_VALUE"""),"Ford F250 2017 (Moby Dix) - DEP0021578")</f>
        <v>Ford F250 2017 (Moby Dix) - DEP0021578</v>
      </c>
      <c r="N163" t="str">
        <f>IFERROR(__xludf.DUMMYFUNCTION("""COMPUTED_VALUE"""),"Silas Tanner, (904) 483-8423, Ben Mowbray, (407) 962-8782")</f>
        <v>Silas Tanner, (904) 483-8423, Ben Mowbray, (407) 962-8782</v>
      </c>
      <c r="O163" t="str">
        <f>IFERROR(__xludf.DUMMYFUNCTION("""COMPUTED_VALUE"""),"Remo, Jessica")</f>
        <v>Remo, Jessica</v>
      </c>
      <c r="P163" t="str">
        <f>IFERROR(__xludf.DUMMYFUNCTION("""COMPUTED_VALUE"""),"Silas")</f>
        <v>Silas</v>
      </c>
      <c r="Q163" t="str">
        <f>IFERROR(__xludf.DUMMYFUNCTION("""COMPUTED_VALUE"""),"Good")</f>
        <v>Good</v>
      </c>
      <c r="R163" t="str">
        <f>IFERROR(__xludf.DUMMYFUNCTION("""COMPUTED_VALUE"""),"Good")</f>
        <v>Good</v>
      </c>
      <c r="S163" t="str">
        <f>IFERROR(__xludf.DUMMYFUNCTION("""COMPUTED_VALUE"""),"Good")</f>
        <v>Good</v>
      </c>
      <c r="T163" t="str">
        <f>IFERROR(__xludf.DUMMYFUNCTION("""COMPUTED_VALUE"""),"Good")</f>
        <v>Good</v>
      </c>
      <c r="U163" t="str">
        <f>IFERROR(__xludf.DUMMYFUNCTION("""COMPUTED_VALUE"""),"Good")</f>
        <v>Good</v>
      </c>
      <c r="V163" t="str">
        <f>IFERROR(__xludf.DUMMYFUNCTION("""COMPUTED_VALUE"""),"Good")</f>
        <v>Good</v>
      </c>
      <c r="W163" t="str">
        <f>IFERROR(__xludf.DUMMYFUNCTION("""COMPUTED_VALUE"""),"Good")</f>
        <v>Good</v>
      </c>
      <c r="X163" t="str">
        <f>IFERROR(__xludf.DUMMYFUNCTION("""COMPUTED_VALUE"""),"Good")</f>
        <v>Good</v>
      </c>
      <c r="Y163" t="str">
        <f>IFERROR(__xludf.DUMMYFUNCTION("""COMPUTED_VALUE"""),"Good")</f>
        <v>Good</v>
      </c>
      <c r="Z163" t="str">
        <f>IFERROR(__xludf.DUMMYFUNCTION("""COMPUTED_VALUE"""),"Good")</f>
        <v>Good</v>
      </c>
      <c r="AA163" t="str">
        <f>IFERROR(__xludf.DUMMYFUNCTION("""COMPUTED_VALUE"""),"Good")</f>
        <v>Good</v>
      </c>
      <c r="AB163" t="str">
        <f>IFERROR(__xludf.DUMMYFUNCTION("""COMPUTED_VALUE"""),"Good")</f>
        <v>Good</v>
      </c>
      <c r="AC163" t="str">
        <f>IFERROR(__xludf.DUMMYFUNCTION("""COMPUTED_VALUE"""),"Good")</f>
        <v>Good</v>
      </c>
      <c r="AE163" s="11"/>
      <c r="AF163" t="s">
        <v>218</v>
      </c>
      <c r="AG163" s="17" t="s">
        <v>128</v>
      </c>
      <c r="AH163" s="23">
        <v>0.5277777777777778</v>
      </c>
      <c r="AI163" s="12" t="s">
        <v>433</v>
      </c>
      <c r="AJ163" s="19" t="s">
        <v>434</v>
      </c>
      <c r="AK163" s="20" t="str">
        <f>HYPERLINK("https://docs.google.com/document/d/1cZCSPnwhRfGhAyk0zgxcNQFgvBFuINflyXPMCG46zK4/edit?usp=drivesdk","Ben Mowbray - 9/27/2018 7:20 AM")</f>
        <v>Ben Mowbray - 9/27/2018 7:20 AM</v>
      </c>
      <c r="AL163" s="12" t="s">
        <v>435</v>
      </c>
    </row>
    <row r="164">
      <c r="A164" s="10">
        <f>IFERROR(__xludf.DUMMYFUNCTION("""COMPUTED_VALUE"""),43367.635299421294)</f>
        <v>43367.6353</v>
      </c>
      <c r="B164" s="11" t="str">
        <f>IFERROR(__xludf.DUMMYFUNCTION("""COMPUTED_VALUE"""),"Ben Mowbray")</f>
        <v>Ben Mowbray</v>
      </c>
      <c r="C164" t="str">
        <f>IFERROR(__xludf.DUMMYFUNCTION("""COMPUTED_VALUE"""),"ben.mowbray@dep.state.fl.us")</f>
        <v>ben.mowbray@dep.state.fl.us</v>
      </c>
      <c r="D164" t="str">
        <f>IFERROR(__xludf.DUMMYFUNCTION("""COMPUTED_VALUE"""),"Research/Nikki")</f>
        <v>Research/Nikki</v>
      </c>
      <c r="E164" t="str">
        <f>IFERROR(__xludf.DUMMYFUNCTION("""COMPUTED_VALUE"""),"Faver Dykes")</f>
        <v>Faver Dykes</v>
      </c>
      <c r="F164" s="13">
        <f>IFERROR(__xludf.DUMMYFUNCTION("""COMPUTED_VALUE"""),0.32638888889050577)</f>
        <v>0.3263888889</v>
      </c>
      <c r="G164" s="14">
        <f>IFERROR(__xludf.DUMMYFUNCTION("""COMPUTED_VALUE"""),43371.0)</f>
        <v>43371</v>
      </c>
      <c r="H164" t="str">
        <f>IFERROR(__xludf.DUMMYFUNCTION("""COMPUTED_VALUE"""),"Pellicer marsh platforms")</f>
        <v>Pellicer marsh platforms</v>
      </c>
      <c r="I164" s="15">
        <f>IFERROR(__xludf.DUMMYFUNCTION("""COMPUTED_VALUE"""),0.5277777777773736)</f>
        <v>0.5277777778</v>
      </c>
      <c r="J164" s="16">
        <f>IFERROR(__xludf.DUMMYFUNCTION("""COMPUTED_VALUE"""),43371.58333333333)</f>
        <v>43371.58333</v>
      </c>
      <c r="K164" t="str">
        <f>IFERROR(__xludf.DUMMYFUNCTION("""COMPUTED_VALUE"""),"20ft Sea Ark FL5351SJ UNF 2015")</f>
        <v>20ft Sea Ark FL5351SJ UNF 2015</v>
      </c>
      <c r="M164" t="str">
        <f>IFERROR(__xludf.DUMMYFUNCTION("""COMPUTED_VALUE"""),"Ford F250 2017 (Moby Dix) - DEP0021578")</f>
        <v>Ford F250 2017 (Moby Dix) - DEP0021578</v>
      </c>
      <c r="N164" t="str">
        <f>IFERROR(__xludf.DUMMYFUNCTION("""COMPUTED_VALUE"""),"Silas Tanner, (904) 483-8423, Ben Mowbray, (407) 962-8782")</f>
        <v>Silas Tanner, (904) 483-8423, Ben Mowbray, (407) 962-8782</v>
      </c>
      <c r="O164" t="str">
        <f>IFERROR(__xludf.DUMMYFUNCTION("""COMPUTED_VALUE"""),"Joan")</f>
        <v>Joan</v>
      </c>
      <c r="P164" t="str">
        <f>IFERROR(__xludf.DUMMYFUNCTION("""COMPUTED_VALUE"""),"Silas")</f>
        <v>Silas</v>
      </c>
      <c r="Q164" t="str">
        <f>IFERROR(__xludf.DUMMYFUNCTION("""COMPUTED_VALUE"""),"Good")</f>
        <v>Good</v>
      </c>
      <c r="R164" t="str">
        <f>IFERROR(__xludf.DUMMYFUNCTION("""COMPUTED_VALUE"""),"Good")</f>
        <v>Good</v>
      </c>
      <c r="S164" t="str">
        <f>IFERROR(__xludf.DUMMYFUNCTION("""COMPUTED_VALUE"""),"Good")</f>
        <v>Good</v>
      </c>
      <c r="T164" t="str">
        <f>IFERROR(__xludf.DUMMYFUNCTION("""COMPUTED_VALUE"""),"Good")</f>
        <v>Good</v>
      </c>
      <c r="U164" t="str">
        <f>IFERROR(__xludf.DUMMYFUNCTION("""COMPUTED_VALUE"""),"Good")</f>
        <v>Good</v>
      </c>
      <c r="V164" t="str">
        <f>IFERROR(__xludf.DUMMYFUNCTION("""COMPUTED_VALUE"""),"Good")</f>
        <v>Good</v>
      </c>
      <c r="W164" t="str">
        <f>IFERROR(__xludf.DUMMYFUNCTION("""COMPUTED_VALUE"""),"Good")</f>
        <v>Good</v>
      </c>
      <c r="X164" t="str">
        <f>IFERROR(__xludf.DUMMYFUNCTION("""COMPUTED_VALUE"""),"Good")</f>
        <v>Good</v>
      </c>
      <c r="Y164" t="str">
        <f>IFERROR(__xludf.DUMMYFUNCTION("""COMPUTED_VALUE"""),"Good")</f>
        <v>Good</v>
      </c>
      <c r="Z164" t="str">
        <f>IFERROR(__xludf.DUMMYFUNCTION("""COMPUTED_VALUE"""),"Good")</f>
        <v>Good</v>
      </c>
      <c r="AA164" t="str">
        <f>IFERROR(__xludf.DUMMYFUNCTION("""COMPUTED_VALUE"""),"Good")</f>
        <v>Good</v>
      </c>
      <c r="AB164" t="str">
        <f>IFERROR(__xludf.DUMMYFUNCTION("""COMPUTED_VALUE"""),"Good")</f>
        <v>Good</v>
      </c>
      <c r="AC164" t="str">
        <f>IFERROR(__xludf.DUMMYFUNCTION("""COMPUTED_VALUE"""),"Good")</f>
        <v>Good</v>
      </c>
      <c r="AE164" s="11"/>
      <c r="AF164" t="s">
        <v>218</v>
      </c>
      <c r="AG164" s="17" t="s">
        <v>18</v>
      </c>
      <c r="AH164" s="23">
        <v>0.5208333333333334</v>
      </c>
      <c r="AI164" s="12" t="s">
        <v>436</v>
      </c>
      <c r="AJ164" s="19" t="s">
        <v>437</v>
      </c>
      <c r="AK164" s="20" t="str">
        <f>HYPERLINK("https://docs.google.com/document/d/10rU4XDlqfzQWaY9r_oxgwKKaIF7s4-1zNcxL46nYc7c/edit?usp=drivesdk","Ben Mowbray - 9/28/2018 7:50 AM")</f>
        <v>Ben Mowbray - 9/28/2018 7:50 AM</v>
      </c>
      <c r="AL164" s="12" t="s">
        <v>438</v>
      </c>
    </row>
    <row r="165">
      <c r="A165" s="10">
        <f>IFERROR(__xludf.DUMMYFUNCTION("""COMPUTED_VALUE"""),43368.30057486111)</f>
        <v>43368.30057</v>
      </c>
      <c r="B165" s="11" t="str">
        <f>IFERROR(__xludf.DUMMYFUNCTION("""COMPUTED_VALUE"""),"Silas Tanner")</f>
        <v>Silas Tanner</v>
      </c>
      <c r="C165" t="str">
        <f>IFERROR(__xludf.DUMMYFUNCTION("""COMPUTED_VALUE"""),"Silas.Tanner@floridadep.gov")</f>
        <v>Silas.Tanner@floridadep.gov</v>
      </c>
      <c r="D165" t="str">
        <f>IFERROR(__xludf.DUMMYFUNCTION("""COMPUTED_VALUE"""),"Research/Nikki")</f>
        <v>Research/Nikki</v>
      </c>
      <c r="E165" t="str">
        <f>IFERROR(__xludf.DUMMYFUNCTION("""COMPUTED_VALUE"""),"Vilano county ramp")</f>
        <v>Vilano county ramp</v>
      </c>
      <c r="F165" s="13">
        <f>IFERROR(__xludf.DUMMYFUNCTION("""COMPUTED_VALUE"""),0.34375)</f>
        <v>0.34375</v>
      </c>
      <c r="G165" s="14">
        <f>IFERROR(__xludf.DUMMYFUNCTION("""COMPUTED_VALUE"""),43368.0)</f>
        <v>43368</v>
      </c>
      <c r="H165" t="str">
        <f>IFERROR(__xludf.DUMMYFUNCTION("""COMPUTED_VALUE"""),"ICW SWMP sites ")</f>
        <v>ICW SWMP sites </v>
      </c>
      <c r="I165" s="15">
        <f>IFERROR(__xludf.DUMMYFUNCTION("""COMPUTED_VALUE"""),0.5104166666678793)</f>
        <v>0.5104166667</v>
      </c>
      <c r="J165" s="16">
        <f>IFERROR(__xludf.DUMMYFUNCTION("""COMPUTED_VALUE"""),43368.52083333333)</f>
        <v>43368.52083</v>
      </c>
      <c r="K165" t="str">
        <f>IFERROR(__xludf.DUMMYFUNCTION("""COMPUTED_VALUE"""),"23ft Skiff (Bertha) FL7972LJ DEP07613")</f>
        <v>23ft Skiff (Bertha) FL7972LJ DEP07613</v>
      </c>
      <c r="M165" t="str">
        <f>IFERROR(__xludf.DUMMYFUNCTION("""COMPUTED_VALUE"""),"Ford F250 2017 (Moby Dix) - DEP0021578")</f>
        <v>Ford F250 2017 (Moby Dix) - DEP0021578</v>
      </c>
      <c r="N165" t="str">
        <f>IFERROR(__xludf.DUMMYFUNCTION("""COMPUTED_VALUE"""),"Silas Tanner, (904) 483-8423, Remo Mondazi")</f>
        <v>Silas Tanner, (904) 483-8423, Remo Mondazi</v>
      </c>
      <c r="P165" t="str">
        <f>IFERROR(__xludf.DUMMYFUNCTION("""COMPUTED_VALUE"""),"Silas Tanner")</f>
        <v>Silas Tanner</v>
      </c>
      <c r="Q165" t="str">
        <f>IFERROR(__xludf.DUMMYFUNCTION("""COMPUTED_VALUE"""),"Good")</f>
        <v>Good</v>
      </c>
      <c r="R165" t="str">
        <f>IFERROR(__xludf.DUMMYFUNCTION("""COMPUTED_VALUE"""),"Good")</f>
        <v>Good</v>
      </c>
      <c r="S165" t="str">
        <f>IFERROR(__xludf.DUMMYFUNCTION("""COMPUTED_VALUE"""),"Good")</f>
        <v>Good</v>
      </c>
      <c r="T165" t="str">
        <f>IFERROR(__xludf.DUMMYFUNCTION("""COMPUTED_VALUE"""),"Good")</f>
        <v>Good</v>
      </c>
      <c r="U165" t="str">
        <f>IFERROR(__xludf.DUMMYFUNCTION("""COMPUTED_VALUE"""),"Good")</f>
        <v>Good</v>
      </c>
      <c r="V165" t="str">
        <f>IFERROR(__xludf.DUMMYFUNCTION("""COMPUTED_VALUE"""),"Good")</f>
        <v>Good</v>
      </c>
      <c r="W165" t="str">
        <f>IFERROR(__xludf.DUMMYFUNCTION("""COMPUTED_VALUE"""),"Good")</f>
        <v>Good</v>
      </c>
      <c r="X165" t="str">
        <f>IFERROR(__xludf.DUMMYFUNCTION("""COMPUTED_VALUE"""),"Good")</f>
        <v>Good</v>
      </c>
      <c r="Y165" t="str">
        <f>IFERROR(__xludf.DUMMYFUNCTION("""COMPUTED_VALUE"""),"Good")</f>
        <v>Good</v>
      </c>
      <c r="Z165" t="str">
        <f>IFERROR(__xludf.DUMMYFUNCTION("""COMPUTED_VALUE"""),"Good")</f>
        <v>Good</v>
      </c>
      <c r="AA165" t="str">
        <f>IFERROR(__xludf.DUMMYFUNCTION("""COMPUTED_VALUE"""),"Good")</f>
        <v>Good</v>
      </c>
      <c r="AB165" t="str">
        <f>IFERROR(__xludf.DUMMYFUNCTION("""COMPUTED_VALUE"""),"Good")</f>
        <v>Good</v>
      </c>
      <c r="AC165" t="str">
        <f>IFERROR(__xludf.DUMMYFUNCTION("""COMPUTED_VALUE"""),"Good")</f>
        <v>Good</v>
      </c>
      <c r="AE165" s="11"/>
      <c r="AF165" t="s">
        <v>218</v>
      </c>
      <c r="AG165" s="17" t="s">
        <v>128</v>
      </c>
      <c r="AH165" s="12">
        <v>1125.0</v>
      </c>
      <c r="AI165" s="12" t="s">
        <v>439</v>
      </c>
      <c r="AJ165" s="19" t="s">
        <v>440</v>
      </c>
      <c r="AK165" s="20" t="str">
        <f>HYPERLINK("https://docs.google.com/document/d/1KDK2Lyv_0BANy_IEzxkUFIoBnnXj9uvp7TxHIpYvUyk/edit?usp=drivesdk","Silas Tanner - 9/25/2018 8:15 AM")</f>
        <v>Silas Tanner - 9/25/2018 8:15 AM</v>
      </c>
      <c r="AL165" s="12" t="s">
        <v>441</v>
      </c>
    </row>
    <row r="166">
      <c r="A166" s="10">
        <f>IFERROR(__xludf.DUMMYFUNCTION("""COMPUTED_VALUE"""),43369.3821318287)</f>
        <v>43369.38213</v>
      </c>
      <c r="B166" s="11" t="str">
        <f>IFERROR(__xludf.DUMMYFUNCTION("""COMPUTED_VALUE"""),"Pamela Marcum")</f>
        <v>Pamela Marcum</v>
      </c>
      <c r="C166" t="str">
        <f>IFERROR(__xludf.DUMMYFUNCTION("""COMPUTED_VALUE"""),"Pamela.Marcum@Dep.state.fl.us")</f>
        <v>Pamela.Marcum@Dep.state.fl.us</v>
      </c>
      <c r="D166" t="str">
        <f>IFERROR(__xludf.DUMMYFUNCTION("""COMPUTED_VALUE"""),"Research/Nikki")</f>
        <v>Research/Nikki</v>
      </c>
      <c r="E166" t="str">
        <f>IFERROR(__xludf.DUMMYFUNCTION("""COMPUTED_VALUE"""),"Faver-Dykes")</f>
        <v>Faver-Dykes</v>
      </c>
      <c r="F166" s="13">
        <f>IFERROR(__xludf.DUMMYFUNCTION("""COMPUTED_VALUE"""),0.4375)</f>
        <v>0.4375</v>
      </c>
      <c r="G166" s="14">
        <f>IFERROR(__xludf.DUMMYFUNCTION("""COMPUTED_VALUE"""),43369.0)</f>
        <v>43369</v>
      </c>
      <c r="H166" t="str">
        <f>IFERROR(__xludf.DUMMYFUNCTION("""COMPUTED_VALUE"""),"Pellicer Creek Middle Platform")</f>
        <v>Pellicer Creek Middle Platform</v>
      </c>
      <c r="I166" s="15">
        <f>IFERROR(__xludf.DUMMYFUNCTION("""COMPUTED_VALUE"""),0.625)</f>
        <v>0.625</v>
      </c>
      <c r="J166" s="16">
        <f>IFERROR(__xludf.DUMMYFUNCTION("""COMPUTED_VALUE"""),43369.66666666667)</f>
        <v>43369.66667</v>
      </c>
      <c r="K166" t="str">
        <f>IFERROR(__xludf.DUMMYFUNCTION("""COMPUTED_VALUE"""),"23ft Skiff (Bertha) FL7972LJ DEP07613")</f>
        <v>23ft Skiff (Bertha) FL7972LJ DEP07613</v>
      </c>
      <c r="M166" t="str">
        <f>IFERROR(__xludf.DUMMYFUNCTION("""COMPUTED_VALUE"""),"Ford F250 2017 (Moby Dix) - DEP0021578")</f>
        <v>Ford F250 2017 (Moby Dix) - DEP0021578</v>
      </c>
      <c r="N166" t="str">
        <f>IFERROR(__xludf.DUMMYFUNCTION("""COMPUTED_VALUE"""),"Pam Marcum, (480) 332-5414, Ben Mowbray, (407) 962-8782")</f>
        <v>Pam Marcum, (480) 332-5414, Ben Mowbray, (407) 962-8782</v>
      </c>
      <c r="O166" t="str">
        <f>IFERROR(__xludf.DUMMYFUNCTION("""COMPUTED_VALUE"""),"Stephen Cabanillas")</f>
        <v>Stephen Cabanillas</v>
      </c>
      <c r="P166" t="str">
        <f>IFERROR(__xludf.DUMMYFUNCTION("""COMPUTED_VALUE"""),"Pam Marcum")</f>
        <v>Pam Marcum</v>
      </c>
      <c r="Q166" t="str">
        <f>IFERROR(__xludf.DUMMYFUNCTION("""COMPUTED_VALUE"""),"Good")</f>
        <v>Good</v>
      </c>
      <c r="R166" t="str">
        <f>IFERROR(__xludf.DUMMYFUNCTION("""COMPUTED_VALUE"""),"Good")</f>
        <v>Good</v>
      </c>
      <c r="S166" t="str">
        <f>IFERROR(__xludf.DUMMYFUNCTION("""COMPUTED_VALUE"""),"Good")</f>
        <v>Good</v>
      </c>
      <c r="T166" t="str">
        <f>IFERROR(__xludf.DUMMYFUNCTION("""COMPUTED_VALUE"""),"Good")</f>
        <v>Good</v>
      </c>
      <c r="U166" t="str">
        <f>IFERROR(__xludf.DUMMYFUNCTION("""COMPUTED_VALUE"""),"Good")</f>
        <v>Good</v>
      </c>
      <c r="V166" t="str">
        <f>IFERROR(__xludf.DUMMYFUNCTION("""COMPUTED_VALUE"""),"Good")</f>
        <v>Good</v>
      </c>
      <c r="W166" t="str">
        <f>IFERROR(__xludf.DUMMYFUNCTION("""COMPUTED_VALUE"""),"Good")</f>
        <v>Good</v>
      </c>
      <c r="X166" t="str">
        <f>IFERROR(__xludf.DUMMYFUNCTION("""COMPUTED_VALUE"""),"Good")</f>
        <v>Good</v>
      </c>
      <c r="Y166" t="str">
        <f>IFERROR(__xludf.DUMMYFUNCTION("""COMPUTED_VALUE"""),"Good")</f>
        <v>Good</v>
      </c>
      <c r="Z166" t="str">
        <f>IFERROR(__xludf.DUMMYFUNCTION("""COMPUTED_VALUE"""),"Good")</f>
        <v>Good</v>
      </c>
      <c r="AA166" t="str">
        <f>IFERROR(__xludf.DUMMYFUNCTION("""COMPUTED_VALUE"""),"Good")</f>
        <v>Good</v>
      </c>
      <c r="AB166" t="str">
        <f>IFERROR(__xludf.DUMMYFUNCTION("""COMPUTED_VALUE"""),"Good")</f>
        <v>Good</v>
      </c>
      <c r="AC166" t="str">
        <f>IFERROR(__xludf.DUMMYFUNCTION("""COMPUTED_VALUE"""),"Good")</f>
        <v>Good</v>
      </c>
      <c r="AE166" s="11"/>
      <c r="AF166" t="s">
        <v>218</v>
      </c>
      <c r="AG166" s="17" t="s">
        <v>43</v>
      </c>
      <c r="AH166" s="12">
        <v>1330.0</v>
      </c>
      <c r="AI166" s="12" t="s">
        <v>442</v>
      </c>
      <c r="AJ166" s="19" t="s">
        <v>443</v>
      </c>
      <c r="AK166" s="20" t="str">
        <f>HYPERLINK("https://docs.google.com/document/d/1YbcgZerdP1LVsxnkBb1fZoOvlgu2Id6KK0LNMU632hw/edit?usp=drivesdk","Pamela Marcum - 9/26/2018 10:30 AM")</f>
        <v>Pamela Marcum - 9/26/2018 10:30 AM</v>
      </c>
      <c r="AL166" s="12" t="s">
        <v>444</v>
      </c>
    </row>
    <row r="167">
      <c r="A167" s="10">
        <f>IFERROR(__xludf.DUMMYFUNCTION("""COMPUTED_VALUE"""),43374.31260996528)</f>
        <v>43374.31261</v>
      </c>
      <c r="B167" s="11" t="str">
        <f>IFERROR(__xludf.DUMMYFUNCTION("""COMPUTED_VALUE"""),"Ben Mowbray")</f>
        <v>Ben Mowbray</v>
      </c>
      <c r="C167" t="str">
        <f>IFERROR(__xludf.DUMMYFUNCTION("""COMPUTED_VALUE"""),"ben.mowbray@dep.state.fl.us")</f>
        <v>ben.mowbray@dep.state.fl.us</v>
      </c>
      <c r="D167" t="str">
        <f>IFERROR(__xludf.DUMMYFUNCTION("""COMPUTED_VALUE"""),"Research/Pam")</f>
        <v>Research/Pam</v>
      </c>
      <c r="E167" t="str">
        <f>IFERROR(__xludf.DUMMYFUNCTION("""COMPUTED_VALUE"""),"Palm Valley")</f>
        <v>Palm Valley</v>
      </c>
      <c r="F167" s="13">
        <f>IFERROR(__xludf.DUMMYFUNCTION("""COMPUTED_VALUE"""),0.3541666666678793)</f>
        <v>0.3541666667</v>
      </c>
      <c r="G167" s="14">
        <f>IFERROR(__xludf.DUMMYFUNCTION("""COMPUTED_VALUE"""),43374.0)</f>
        <v>43374</v>
      </c>
      <c r="H167" t="str">
        <f>IFERROR(__xludf.DUMMYFUNCTION("""COMPUTED_VALUE"""),"Pine Island Marsh Platforms")</f>
        <v>Pine Island Marsh Platforms</v>
      </c>
      <c r="I167" s="15">
        <f>IFERROR(__xludf.DUMMYFUNCTION("""COMPUTED_VALUE"""),0.5625)</f>
        <v>0.5625</v>
      </c>
      <c r="J167" s="16">
        <f>IFERROR(__xludf.DUMMYFUNCTION("""COMPUTED_VALUE"""),43374.58333333333)</f>
        <v>43374.58333</v>
      </c>
      <c r="K167" t="str">
        <f>IFERROR(__xludf.DUMMYFUNCTION("""COMPUTED_VALUE"""),"20ft Sea Ark FL5351SJ UNF 2015")</f>
        <v>20ft Sea Ark FL5351SJ UNF 2015</v>
      </c>
      <c r="M167" t="str">
        <f>IFERROR(__xludf.DUMMYFUNCTION("""COMPUTED_VALUE"""),"Ford F250 2017 (Moby Dix) - DEP0021578")</f>
        <v>Ford F250 2017 (Moby Dix) - DEP0021578</v>
      </c>
      <c r="N167" t="str">
        <f>IFERROR(__xludf.DUMMYFUNCTION("""COMPUTED_VALUE"""),"Silas Tanner, (904) 483-8423, Ben Mowbray, (407) 962-8782")</f>
        <v>Silas Tanner, (904) 483-8423, Ben Mowbray, (407) 962-8782</v>
      </c>
      <c r="O167" t="str">
        <f>IFERROR(__xludf.DUMMYFUNCTION("""COMPUTED_VALUE"""),"Remo")</f>
        <v>Remo</v>
      </c>
      <c r="P167" t="str">
        <f>IFERROR(__xludf.DUMMYFUNCTION("""COMPUTED_VALUE"""),"Silas")</f>
        <v>Silas</v>
      </c>
      <c r="Q167" t="str">
        <f>IFERROR(__xludf.DUMMYFUNCTION("""COMPUTED_VALUE"""),"Good")</f>
        <v>Good</v>
      </c>
      <c r="R167" t="str">
        <f>IFERROR(__xludf.DUMMYFUNCTION("""COMPUTED_VALUE"""),"Good")</f>
        <v>Good</v>
      </c>
      <c r="S167" t="str">
        <f>IFERROR(__xludf.DUMMYFUNCTION("""COMPUTED_VALUE"""),"Good")</f>
        <v>Good</v>
      </c>
      <c r="T167" t="str">
        <f>IFERROR(__xludf.DUMMYFUNCTION("""COMPUTED_VALUE"""),"Good")</f>
        <v>Good</v>
      </c>
      <c r="U167" t="str">
        <f>IFERROR(__xludf.DUMMYFUNCTION("""COMPUTED_VALUE"""),"Good")</f>
        <v>Good</v>
      </c>
      <c r="V167" t="str">
        <f>IFERROR(__xludf.DUMMYFUNCTION("""COMPUTED_VALUE"""),"Good")</f>
        <v>Good</v>
      </c>
      <c r="W167" t="str">
        <f>IFERROR(__xludf.DUMMYFUNCTION("""COMPUTED_VALUE"""),"Good")</f>
        <v>Good</v>
      </c>
      <c r="X167" t="str">
        <f>IFERROR(__xludf.DUMMYFUNCTION("""COMPUTED_VALUE"""),"Good")</f>
        <v>Good</v>
      </c>
      <c r="Y167" t="str">
        <f>IFERROR(__xludf.DUMMYFUNCTION("""COMPUTED_VALUE"""),"Good")</f>
        <v>Good</v>
      </c>
      <c r="Z167" t="str">
        <f>IFERROR(__xludf.DUMMYFUNCTION("""COMPUTED_VALUE"""),"Good")</f>
        <v>Good</v>
      </c>
      <c r="AA167" t="str">
        <f>IFERROR(__xludf.DUMMYFUNCTION("""COMPUTED_VALUE"""),"Good")</f>
        <v>Good</v>
      </c>
      <c r="AB167" t="str">
        <f>IFERROR(__xludf.DUMMYFUNCTION("""COMPUTED_VALUE"""),"Good")</f>
        <v>Good</v>
      </c>
      <c r="AC167" t="str">
        <f>IFERROR(__xludf.DUMMYFUNCTION("""COMPUTED_VALUE"""),"Good")</f>
        <v>Good</v>
      </c>
      <c r="AE167" s="11"/>
      <c r="AF167" t="s">
        <v>262</v>
      </c>
      <c r="AG167" s="17" t="s">
        <v>18</v>
      </c>
      <c r="AH167" s="12">
        <v>1215.0</v>
      </c>
      <c r="AI167" s="12" t="s">
        <v>445</v>
      </c>
      <c r="AJ167" s="19" t="s">
        <v>446</v>
      </c>
      <c r="AK167" s="20" t="str">
        <f>HYPERLINK("https://docs.google.com/document/d/10B-Y9mtzPJLK-Vl1R2A-xzT2AB0jOcgS4S3pnj8j_Ks/edit?usp=drivesdk","Ben Mowbray - 10/1/2018 8:30 AM")</f>
        <v>Ben Mowbray - 10/1/2018 8:30 AM</v>
      </c>
      <c r="AL167" s="12" t="s">
        <v>447</v>
      </c>
    </row>
    <row r="168">
      <c r="A168" s="10">
        <f>IFERROR(__xludf.DUMMYFUNCTION("""COMPUTED_VALUE"""),43375.23217944444)</f>
        <v>43375.23218</v>
      </c>
      <c r="B168" s="11" t="str">
        <f>IFERROR(__xludf.DUMMYFUNCTION("""COMPUTED_VALUE"""),"Pamela Marcum")</f>
        <v>Pamela Marcum</v>
      </c>
      <c r="C168" t="str">
        <f>IFERROR(__xludf.DUMMYFUNCTION("""COMPUTED_VALUE"""),"Pamela.Marcum@dep.state.fl.us")</f>
        <v>Pamela.Marcum@dep.state.fl.us</v>
      </c>
      <c r="D168" t="str">
        <f>IFERROR(__xludf.DUMMYFUNCTION("""COMPUTED_VALUE"""),"Research/Nikki")</f>
        <v>Research/Nikki</v>
      </c>
      <c r="E168" t="str">
        <f>IFERROR(__xludf.DUMMYFUNCTION("""COMPUTED_VALUE"""),"Vilano")</f>
        <v>Vilano</v>
      </c>
      <c r="F168" s="13">
        <f>IFERROR(__xludf.DUMMYFUNCTION("""COMPUTED_VALUE"""),0.2708333333321207)</f>
        <v>0.2708333333</v>
      </c>
      <c r="G168" s="14">
        <f>IFERROR(__xludf.DUMMYFUNCTION("""COMPUTED_VALUE"""),43375.0)</f>
        <v>43375</v>
      </c>
      <c r="H168" t="str">
        <f>IFERROR(__xludf.DUMMYFUNCTION("""COMPUTED_VALUE"""),"Salt Run, St. Augustine spat sites")</f>
        <v>Salt Run, St. Augustine spat sites</v>
      </c>
      <c r="I168" s="15">
        <f>IFERROR(__xludf.DUMMYFUNCTION("""COMPUTED_VALUE"""),0.4583333333321207)</f>
        <v>0.4583333333</v>
      </c>
      <c r="J168" s="16">
        <f>IFERROR(__xludf.DUMMYFUNCTION("""COMPUTED_VALUE"""),43375.5)</f>
        <v>43375.5</v>
      </c>
      <c r="K168" t="str">
        <f>IFERROR(__xludf.DUMMYFUNCTION("""COMPUTED_VALUE"""),"23ft Skiff (Bertha) FL7972LJ DEP07613")</f>
        <v>23ft Skiff (Bertha) FL7972LJ DEP07613</v>
      </c>
      <c r="M168" t="str">
        <f>IFERROR(__xludf.DUMMYFUNCTION("""COMPUTED_VALUE"""),"Ford F150 2008 - DEP18041 (SWMP Thing)")</f>
        <v>Ford F150 2008 - DEP18041 (SWMP Thing)</v>
      </c>
      <c r="N168" t="str">
        <f>IFERROR(__xludf.DUMMYFUNCTION("""COMPUTED_VALUE"""),"Pam Marcum, (480) 332-5414")</f>
        <v>Pam Marcum, (480) 332-5414</v>
      </c>
      <c r="O168" t="str">
        <f>IFERROR(__xludf.DUMMYFUNCTION("""COMPUTED_VALUE"""),"Rodrigo Pavani, Nicole Peckham, Adrienne Breef-Pilz")</f>
        <v>Rodrigo Pavani, Nicole Peckham, Adrienne Breef-Pilz</v>
      </c>
      <c r="P168" t="str">
        <f>IFERROR(__xludf.DUMMYFUNCTION("""COMPUTED_VALUE"""),"Pam")</f>
        <v>Pam</v>
      </c>
      <c r="Q168" t="str">
        <f>IFERROR(__xludf.DUMMYFUNCTION("""COMPUTED_VALUE"""),"Good")</f>
        <v>Good</v>
      </c>
      <c r="R168" t="str">
        <f>IFERROR(__xludf.DUMMYFUNCTION("""COMPUTED_VALUE"""),"Good")</f>
        <v>Good</v>
      </c>
      <c r="S168" t="str">
        <f>IFERROR(__xludf.DUMMYFUNCTION("""COMPUTED_VALUE"""),"Good")</f>
        <v>Good</v>
      </c>
      <c r="T168" t="str">
        <f>IFERROR(__xludf.DUMMYFUNCTION("""COMPUTED_VALUE"""),"Good")</f>
        <v>Good</v>
      </c>
      <c r="U168" t="str">
        <f>IFERROR(__xludf.DUMMYFUNCTION("""COMPUTED_VALUE"""),"Good")</f>
        <v>Good</v>
      </c>
      <c r="V168" t="str">
        <f>IFERROR(__xludf.DUMMYFUNCTION("""COMPUTED_VALUE"""),"Good")</f>
        <v>Good</v>
      </c>
      <c r="W168" t="str">
        <f>IFERROR(__xludf.DUMMYFUNCTION("""COMPUTED_VALUE"""),"Good")</f>
        <v>Good</v>
      </c>
      <c r="X168" t="str">
        <f>IFERROR(__xludf.DUMMYFUNCTION("""COMPUTED_VALUE"""),"Good")</f>
        <v>Good</v>
      </c>
      <c r="Y168" t="str">
        <f>IFERROR(__xludf.DUMMYFUNCTION("""COMPUTED_VALUE"""),"Good")</f>
        <v>Good</v>
      </c>
      <c r="Z168" t="str">
        <f>IFERROR(__xludf.DUMMYFUNCTION("""COMPUTED_VALUE"""),"Good")</f>
        <v>Good</v>
      </c>
      <c r="AA168" t="str">
        <f>IFERROR(__xludf.DUMMYFUNCTION("""COMPUTED_VALUE"""),"Good")</f>
        <v>Good</v>
      </c>
      <c r="AB168" t="str">
        <f>IFERROR(__xludf.DUMMYFUNCTION("""COMPUTED_VALUE"""),"Good")</f>
        <v>Good</v>
      </c>
      <c r="AC168" t="str">
        <f>IFERROR(__xludf.DUMMYFUNCTION("""COMPUTED_VALUE"""),"Good")</f>
        <v>Good</v>
      </c>
      <c r="AE168" s="11"/>
      <c r="AF168" t="s">
        <v>218</v>
      </c>
      <c r="AG168" s="17" t="s">
        <v>448</v>
      </c>
      <c r="AH168" s="12">
        <v>1130.0</v>
      </c>
      <c r="AI168" s="12" t="s">
        <v>449</v>
      </c>
      <c r="AJ168" s="19" t="s">
        <v>450</v>
      </c>
      <c r="AK168" s="20" t="str">
        <f>HYPERLINK("https://docs.google.com/document/d/1JqTnJCbGjhbLNmpNm8MVKYBsWfwqFc2Spby_NHY6YBU/edit?usp=drivesdk","Pamela Marcum - 10/2/2018 6:30 AM")</f>
        <v>Pamela Marcum - 10/2/2018 6:30 AM</v>
      </c>
      <c r="AL168" s="12" t="s">
        <v>451</v>
      </c>
    </row>
    <row r="169">
      <c r="A169" s="10">
        <f>IFERROR(__xludf.DUMMYFUNCTION("""COMPUTED_VALUE"""),43375.328114606484)</f>
        <v>43375.32811</v>
      </c>
      <c r="B169" s="11" t="str">
        <f>IFERROR(__xludf.DUMMYFUNCTION("""COMPUTED_VALUE"""),"Ben")</f>
        <v>Ben</v>
      </c>
      <c r="C169" t="str">
        <f>IFERROR(__xludf.DUMMYFUNCTION("""COMPUTED_VALUE"""),"ben.mowbray@dep.state.fl.us")</f>
        <v>ben.mowbray@dep.state.fl.us</v>
      </c>
      <c r="D169" t="str">
        <f>IFERROR(__xludf.DUMMYFUNCTION("""COMPUTED_VALUE"""),"Research/Pam")</f>
        <v>Research/Pam</v>
      </c>
      <c r="E169" t="str">
        <f>IFERROR(__xludf.DUMMYFUNCTION("""COMPUTED_VALUE"""),"Douglas Crane")</f>
        <v>Douglas Crane</v>
      </c>
      <c r="F169" s="13">
        <f>IFERROR(__xludf.DUMMYFUNCTION("""COMPUTED_VALUE"""),0.3541666666678793)</f>
        <v>0.3541666667</v>
      </c>
      <c r="G169" s="14">
        <f>IFERROR(__xludf.DUMMYFUNCTION("""COMPUTED_VALUE"""),43375.0)</f>
        <v>43375</v>
      </c>
      <c r="H169" t="str">
        <f>IFERROR(__xludf.DUMMYFUNCTION("""COMPUTED_VALUE"""),"Jason's Creek Platforms")</f>
        <v>Jason's Creek Platforms</v>
      </c>
      <c r="I169" s="15">
        <f>IFERROR(__xludf.DUMMYFUNCTION("""COMPUTED_VALUE"""),0.5416666666678793)</f>
        <v>0.5416666667</v>
      </c>
      <c r="J169" s="16">
        <f>IFERROR(__xludf.DUMMYFUNCTION("""COMPUTED_VALUE"""),43375.569444444445)</f>
        <v>43375.56944</v>
      </c>
      <c r="K169" t="str">
        <f>IFERROR(__xludf.DUMMYFUNCTION("""COMPUTED_VALUE"""),"20ft Sea Ark FL5351SJ UNF 2015")</f>
        <v>20ft Sea Ark FL5351SJ UNF 2015</v>
      </c>
      <c r="M169" t="str">
        <f>IFERROR(__xludf.DUMMYFUNCTION("""COMPUTED_VALUE"""),"Ford F250 2017 (Moby Dix) - DEP0021578")</f>
        <v>Ford F250 2017 (Moby Dix) - DEP0021578</v>
      </c>
      <c r="N169" t="str">
        <f>IFERROR(__xludf.DUMMYFUNCTION("""COMPUTED_VALUE"""),"Silas Tanner, (904) 483-8423, Ben Mowbray, (407) 962-8782")</f>
        <v>Silas Tanner, (904) 483-8423, Ben Mowbray, (407) 962-8782</v>
      </c>
      <c r="O169" t="str">
        <f>IFERROR(__xludf.DUMMYFUNCTION("""COMPUTED_VALUE"""),"Jess, Remo")</f>
        <v>Jess, Remo</v>
      </c>
      <c r="P169" t="str">
        <f>IFERROR(__xludf.DUMMYFUNCTION("""COMPUTED_VALUE"""),"Ben")</f>
        <v>Ben</v>
      </c>
      <c r="Q169" t="str">
        <f>IFERROR(__xludf.DUMMYFUNCTION("""COMPUTED_VALUE"""),"Good")</f>
        <v>Good</v>
      </c>
      <c r="R169" t="str">
        <f>IFERROR(__xludf.DUMMYFUNCTION("""COMPUTED_VALUE"""),"Good")</f>
        <v>Good</v>
      </c>
      <c r="S169" t="str">
        <f>IFERROR(__xludf.DUMMYFUNCTION("""COMPUTED_VALUE"""),"Good")</f>
        <v>Good</v>
      </c>
      <c r="T169" t="str">
        <f>IFERROR(__xludf.DUMMYFUNCTION("""COMPUTED_VALUE"""),"Good")</f>
        <v>Good</v>
      </c>
      <c r="U169" t="str">
        <f>IFERROR(__xludf.DUMMYFUNCTION("""COMPUTED_VALUE"""),"Good")</f>
        <v>Good</v>
      </c>
      <c r="V169" t="str">
        <f>IFERROR(__xludf.DUMMYFUNCTION("""COMPUTED_VALUE"""),"Good")</f>
        <v>Good</v>
      </c>
      <c r="W169" t="str">
        <f>IFERROR(__xludf.DUMMYFUNCTION("""COMPUTED_VALUE"""),"Good")</f>
        <v>Good</v>
      </c>
      <c r="X169" t="str">
        <f>IFERROR(__xludf.DUMMYFUNCTION("""COMPUTED_VALUE"""),"Good")</f>
        <v>Good</v>
      </c>
      <c r="Y169" t="str">
        <f>IFERROR(__xludf.DUMMYFUNCTION("""COMPUTED_VALUE"""),"Good")</f>
        <v>Good</v>
      </c>
      <c r="Z169" t="str">
        <f>IFERROR(__xludf.DUMMYFUNCTION("""COMPUTED_VALUE"""),"Good")</f>
        <v>Good</v>
      </c>
      <c r="AA169" t="str">
        <f>IFERROR(__xludf.DUMMYFUNCTION("""COMPUTED_VALUE"""),"Good")</f>
        <v>Good</v>
      </c>
      <c r="AB169" t="str">
        <f>IFERROR(__xludf.DUMMYFUNCTION("""COMPUTED_VALUE"""),"Good")</f>
        <v>Good</v>
      </c>
      <c r="AC169" t="str">
        <f>IFERROR(__xludf.DUMMYFUNCTION("""COMPUTED_VALUE"""),"Good")</f>
        <v>Good</v>
      </c>
      <c r="AE169" s="11"/>
      <c r="AF169" t="s">
        <v>262</v>
      </c>
      <c r="AG169" s="17" t="s">
        <v>43</v>
      </c>
      <c r="AH169" s="12">
        <v>1215.0</v>
      </c>
      <c r="AI169" s="12" t="s">
        <v>452</v>
      </c>
      <c r="AJ169" s="19" t="s">
        <v>453</v>
      </c>
      <c r="AK169" s="20" t="str">
        <f>HYPERLINK("https://docs.google.com/document/d/1OeQTHLSFGSAT31agDkq7pmB0XfjKbGB3H-0rpdiqzEk/edit?usp=drivesdk","Ben - 10/2/2018 8:30 AM")</f>
        <v>Ben - 10/2/2018 8:30 AM</v>
      </c>
      <c r="AL169" s="12" t="s">
        <v>454</v>
      </c>
    </row>
    <row r="170">
      <c r="A170" s="10">
        <f>IFERROR(__xludf.DUMMYFUNCTION("""COMPUTED_VALUE"""),43376.259619097225)</f>
        <v>43376.25962</v>
      </c>
      <c r="B170" s="11" t="str">
        <f>IFERROR(__xludf.DUMMYFUNCTION("""COMPUTED_VALUE"""),"Pam Marcum")</f>
        <v>Pam Marcum</v>
      </c>
      <c r="C170" t="str">
        <f>IFERROR(__xludf.DUMMYFUNCTION("""COMPUTED_VALUE"""),"Pamela.Marcum@dep.state.fl.us")</f>
        <v>Pamela.Marcum@dep.state.fl.us</v>
      </c>
      <c r="D170" t="str">
        <f>IFERROR(__xludf.DUMMYFUNCTION("""COMPUTED_VALUE"""),"Research/Nikki")</f>
        <v>Research/Nikki</v>
      </c>
      <c r="E170" t="str">
        <f>IFERROR(__xludf.DUMMYFUNCTION("""COMPUTED_VALUE"""),"Aunt Kate's")</f>
        <v>Aunt Kate's</v>
      </c>
      <c r="F170" s="13">
        <f>IFERROR(__xludf.DUMMYFUNCTION("""COMPUTED_VALUE"""),0.2916666666678793)</f>
        <v>0.2916666667</v>
      </c>
      <c r="G170" s="14">
        <f>IFERROR(__xludf.DUMMYFUNCTION("""COMPUTED_VALUE"""),43376.0)</f>
        <v>43376</v>
      </c>
      <c r="H170" t="str">
        <f>IFERROR(__xludf.DUMMYFUNCTION("""COMPUTED_VALUE"""),"Robinson Creek, Guana River, Tolomato River")</f>
        <v>Robinson Creek, Guana River, Tolomato River</v>
      </c>
      <c r="I170" s="15">
        <f>IFERROR(__xludf.DUMMYFUNCTION("""COMPUTED_VALUE"""),0.5416666666678793)</f>
        <v>0.5416666667</v>
      </c>
      <c r="J170" s="16">
        <f>IFERROR(__xludf.DUMMYFUNCTION("""COMPUTED_VALUE"""),43376.5625)</f>
        <v>43376.5625</v>
      </c>
      <c r="K170" t="str">
        <f>IFERROR(__xludf.DUMMYFUNCTION("""COMPUTED_VALUE"""),"23ft Skiff (Bertha) FL7972LJ DEP07613")</f>
        <v>23ft Skiff (Bertha) FL7972LJ DEP07613</v>
      </c>
      <c r="M170" t="str">
        <f>IFERROR(__xludf.DUMMYFUNCTION("""COMPUTED_VALUE"""),"Ford F150 2008 - DEP18041 (SWMP Thing)")</f>
        <v>Ford F150 2008 - DEP18041 (SWMP Thing)</v>
      </c>
      <c r="N170" t="str">
        <f>IFERROR(__xludf.DUMMYFUNCTION("""COMPUTED_VALUE"""),"Pam Marcum, (480) 332-5414")</f>
        <v>Pam Marcum, (480) 332-5414</v>
      </c>
      <c r="O170" t="str">
        <f>IFERROR(__xludf.DUMMYFUNCTION("""COMPUTED_VALUE"""),"Rodrigo Pavani, Adrienne Breef-Pilz, Nicole Peckham, Craig Tinus")</f>
        <v>Rodrigo Pavani, Adrienne Breef-Pilz, Nicole Peckham, Craig Tinus</v>
      </c>
      <c r="P170" t="str">
        <f>IFERROR(__xludf.DUMMYFUNCTION("""COMPUTED_VALUE"""),"Pam")</f>
        <v>Pam</v>
      </c>
      <c r="Q170" t="str">
        <f>IFERROR(__xludf.DUMMYFUNCTION("""COMPUTED_VALUE"""),"Good")</f>
        <v>Good</v>
      </c>
      <c r="R170" t="str">
        <f>IFERROR(__xludf.DUMMYFUNCTION("""COMPUTED_VALUE"""),"Good")</f>
        <v>Good</v>
      </c>
      <c r="S170" t="str">
        <f>IFERROR(__xludf.DUMMYFUNCTION("""COMPUTED_VALUE"""),"Good")</f>
        <v>Good</v>
      </c>
      <c r="T170" t="str">
        <f>IFERROR(__xludf.DUMMYFUNCTION("""COMPUTED_VALUE"""),"Good")</f>
        <v>Good</v>
      </c>
      <c r="U170" t="str">
        <f>IFERROR(__xludf.DUMMYFUNCTION("""COMPUTED_VALUE"""),"Good")</f>
        <v>Good</v>
      </c>
      <c r="V170" t="str">
        <f>IFERROR(__xludf.DUMMYFUNCTION("""COMPUTED_VALUE"""),"Good")</f>
        <v>Good</v>
      </c>
      <c r="W170" t="str">
        <f>IFERROR(__xludf.DUMMYFUNCTION("""COMPUTED_VALUE"""),"Good")</f>
        <v>Good</v>
      </c>
      <c r="X170" t="str">
        <f>IFERROR(__xludf.DUMMYFUNCTION("""COMPUTED_VALUE"""),"Good")</f>
        <v>Good</v>
      </c>
      <c r="Y170" t="str">
        <f>IFERROR(__xludf.DUMMYFUNCTION("""COMPUTED_VALUE"""),"Good")</f>
        <v>Good</v>
      </c>
      <c r="Z170" t="str">
        <f>IFERROR(__xludf.DUMMYFUNCTION("""COMPUTED_VALUE"""),"Good")</f>
        <v>Good</v>
      </c>
      <c r="AA170" t="str">
        <f>IFERROR(__xludf.DUMMYFUNCTION("""COMPUTED_VALUE"""),"Good")</f>
        <v>Good</v>
      </c>
      <c r="AB170" t="str">
        <f>IFERROR(__xludf.DUMMYFUNCTION("""COMPUTED_VALUE"""),"Good")</f>
        <v>Good</v>
      </c>
      <c r="AC170" t="str">
        <f>IFERROR(__xludf.DUMMYFUNCTION("""COMPUTED_VALUE"""),"Good")</f>
        <v>Good</v>
      </c>
      <c r="AE170" s="11"/>
      <c r="AF170" t="s">
        <v>218</v>
      </c>
      <c r="AG170" s="17" t="s">
        <v>60</v>
      </c>
      <c r="AH170" s="12">
        <v>1350.0</v>
      </c>
      <c r="AI170" s="12" t="s">
        <v>455</v>
      </c>
      <c r="AJ170" s="19" t="s">
        <v>456</v>
      </c>
      <c r="AK170" s="20" t="str">
        <f>HYPERLINK("https://docs.google.com/document/d/1h91QH6PngBZUaCNZ-MO08urM96IecrjSB_niSTukIOo/edit?usp=drivesdk","Pam Marcum - 10/3/2018 7:00 AM")</f>
        <v>Pam Marcum - 10/3/2018 7:00 AM</v>
      </c>
      <c r="AL170" s="12" t="s">
        <v>457</v>
      </c>
    </row>
    <row r="171">
      <c r="A171" s="10">
        <f>IFERROR(__xludf.DUMMYFUNCTION("""COMPUTED_VALUE"""),43376.300010937506)</f>
        <v>43376.30001</v>
      </c>
      <c r="B171" s="11" t="str">
        <f>IFERROR(__xludf.DUMMYFUNCTION("""COMPUTED_VALUE"""),"Ben")</f>
        <v>Ben</v>
      </c>
      <c r="C171" t="str">
        <f>IFERROR(__xludf.DUMMYFUNCTION("""COMPUTED_VALUE"""),"ben.mowbray@dep.state.fl")</f>
        <v>ben.mowbray@dep.state.fl</v>
      </c>
      <c r="D171" t="str">
        <f>IFERROR(__xludf.DUMMYFUNCTION("""COMPUTED_VALUE"""),"Research/Pam")</f>
        <v>Research/Pam</v>
      </c>
      <c r="E171" t="str">
        <f>IFERROR(__xludf.DUMMYFUNCTION("""COMPUTED_VALUE"""),"Aunt Kate's")</f>
        <v>Aunt Kate's</v>
      </c>
      <c r="F171" s="13">
        <f>IFERROR(__xludf.DUMMYFUNCTION("""COMPUTED_VALUE"""),0.3194444444452529)</f>
        <v>0.3194444444</v>
      </c>
      <c r="G171" s="14">
        <f>IFERROR(__xludf.DUMMYFUNCTION("""COMPUTED_VALUE"""),43376.0)</f>
        <v>43376</v>
      </c>
      <c r="H171" t="str">
        <f>IFERROR(__xludf.DUMMYFUNCTION("""COMPUTED_VALUE"""),"Hat Island Platforms")</f>
        <v>Hat Island Platforms</v>
      </c>
      <c r="I171" s="15">
        <f>IFERROR(__xludf.DUMMYFUNCTION("""COMPUTED_VALUE"""),0.5208333333321207)</f>
        <v>0.5208333333</v>
      </c>
      <c r="J171" s="16">
        <f>IFERROR(__xludf.DUMMYFUNCTION("""COMPUTED_VALUE"""),43376.54166666667)</f>
        <v>43376.54167</v>
      </c>
      <c r="K171" t="str">
        <f>IFERROR(__xludf.DUMMYFUNCTION("""COMPUTED_VALUE"""),"20ft Sea Ark FL5351SJ UNF 2015")</f>
        <v>20ft Sea Ark FL5351SJ UNF 2015</v>
      </c>
      <c r="M171" t="str">
        <f>IFERROR(__xludf.DUMMYFUNCTION("""COMPUTED_VALUE"""),"Ford F250 2017 (Moby Dix) - DEP0021578")</f>
        <v>Ford F250 2017 (Moby Dix) - DEP0021578</v>
      </c>
      <c r="N171" t="str">
        <f>IFERROR(__xludf.DUMMYFUNCTION("""COMPUTED_VALUE"""),"Silas Tanner, (904) 483-8423, Ben Mowbray, (407) 962-8782")</f>
        <v>Silas Tanner, (904) 483-8423, Ben Mowbray, (407) 962-8782</v>
      </c>
      <c r="O171" t="str">
        <f>IFERROR(__xludf.DUMMYFUNCTION("""COMPUTED_VALUE"""),"Jessica Lee")</f>
        <v>Jessica Lee</v>
      </c>
      <c r="P171" t="str">
        <f>IFERROR(__xludf.DUMMYFUNCTION("""COMPUTED_VALUE"""),"Ben")</f>
        <v>Ben</v>
      </c>
      <c r="Q171" t="str">
        <f>IFERROR(__xludf.DUMMYFUNCTION("""COMPUTED_VALUE"""),"Good")</f>
        <v>Good</v>
      </c>
      <c r="R171" t="str">
        <f>IFERROR(__xludf.DUMMYFUNCTION("""COMPUTED_VALUE"""),"Good")</f>
        <v>Good</v>
      </c>
      <c r="S171" t="str">
        <f>IFERROR(__xludf.DUMMYFUNCTION("""COMPUTED_VALUE"""),"Good")</f>
        <v>Good</v>
      </c>
      <c r="T171" t="str">
        <f>IFERROR(__xludf.DUMMYFUNCTION("""COMPUTED_VALUE"""),"Good")</f>
        <v>Good</v>
      </c>
      <c r="U171" t="str">
        <f>IFERROR(__xludf.DUMMYFUNCTION("""COMPUTED_VALUE"""),"Good")</f>
        <v>Good</v>
      </c>
      <c r="V171" t="str">
        <f>IFERROR(__xludf.DUMMYFUNCTION("""COMPUTED_VALUE"""),"Good")</f>
        <v>Good</v>
      </c>
      <c r="W171" t="str">
        <f>IFERROR(__xludf.DUMMYFUNCTION("""COMPUTED_VALUE"""),"Good")</f>
        <v>Good</v>
      </c>
      <c r="X171" t="str">
        <f>IFERROR(__xludf.DUMMYFUNCTION("""COMPUTED_VALUE"""),"Good")</f>
        <v>Good</v>
      </c>
      <c r="Y171" t="str">
        <f>IFERROR(__xludf.DUMMYFUNCTION("""COMPUTED_VALUE"""),"Good")</f>
        <v>Good</v>
      </c>
      <c r="Z171" t="str">
        <f>IFERROR(__xludf.DUMMYFUNCTION("""COMPUTED_VALUE"""),"Good")</f>
        <v>Good</v>
      </c>
      <c r="AA171" t="str">
        <f>IFERROR(__xludf.DUMMYFUNCTION("""COMPUTED_VALUE"""),"Good")</f>
        <v>Good</v>
      </c>
      <c r="AB171" t="str">
        <f>IFERROR(__xludf.DUMMYFUNCTION("""COMPUTED_VALUE"""),"Good")</f>
        <v>Good</v>
      </c>
      <c r="AC171" t="str">
        <f>IFERROR(__xludf.DUMMYFUNCTION("""COMPUTED_VALUE"""),"Good")</f>
        <v>Good</v>
      </c>
      <c r="AE171" s="11"/>
      <c r="AF171" t="s">
        <v>262</v>
      </c>
      <c r="AG171" s="17" t="s">
        <v>18</v>
      </c>
      <c r="AH171" s="12">
        <v>1150.0</v>
      </c>
      <c r="AI171" s="12" t="s">
        <v>458</v>
      </c>
      <c r="AJ171" s="19" t="s">
        <v>459</v>
      </c>
      <c r="AK171" s="20" t="str">
        <f>HYPERLINK("https://docs.google.com/document/d/1JRlYA77vV_VIb-S6I2VOgzFmlAaoJSMri79y4krYTeg/edit?usp=drivesdk","Ben - 10/3/2018 7:40 AM")</f>
        <v>Ben - 10/3/2018 7:40 AM</v>
      </c>
      <c r="AL171" s="12" t="s">
        <v>460</v>
      </c>
    </row>
    <row r="172">
      <c r="A172" s="10">
        <f>IFERROR(__xludf.DUMMYFUNCTION("""COMPUTED_VALUE"""),43377.295364791666)</f>
        <v>43377.29536</v>
      </c>
      <c r="B172" s="11" t="str">
        <f>IFERROR(__xludf.DUMMYFUNCTION("""COMPUTED_VALUE"""),"Pamela Marcum")</f>
        <v>Pamela Marcum</v>
      </c>
      <c r="C172" t="str">
        <f>IFERROR(__xludf.DUMMYFUNCTION("""COMPUTED_VALUE"""),"Pamela.Marcum@dep.state.fl.us")</f>
        <v>Pamela.Marcum@dep.state.fl.us</v>
      </c>
      <c r="D172" t="str">
        <f>IFERROR(__xludf.DUMMYFUNCTION("""COMPUTED_VALUE"""),"Research/Nikki")</f>
        <v>Research/Nikki</v>
      </c>
      <c r="E172" t="str">
        <f>IFERROR(__xludf.DUMMYFUNCTION("""COMPUTED_VALUE"""),"Aunt Kate's 7:15, Green Rd 12:30, Bings 2:00")</f>
        <v>Aunt Kate's 7:15, Green Rd 12:30, Bings 2:00</v>
      </c>
      <c r="F172" s="13">
        <f>IFERROR(__xludf.DUMMYFUNCTION("""COMPUTED_VALUE"""),0.3020833333321207)</f>
        <v>0.3020833333</v>
      </c>
      <c r="G172" s="14">
        <f>IFERROR(__xludf.DUMMYFUNCTION("""COMPUTED_VALUE"""),43377.0)</f>
        <v>43377</v>
      </c>
      <c r="H172" t="str">
        <f>IFERROR(__xludf.DUMMYFUNCTION("""COMPUTED_VALUE"""),"Spat trees - north to south")</f>
        <v>Spat trees - north to south</v>
      </c>
      <c r="I172" s="15">
        <f>IFERROR(__xludf.DUMMYFUNCTION("""COMPUTED_VALUE"""),0.625)</f>
        <v>0.625</v>
      </c>
      <c r="J172" s="16">
        <f>IFERROR(__xludf.DUMMYFUNCTION("""COMPUTED_VALUE"""),43377.66666666667)</f>
        <v>43377.66667</v>
      </c>
      <c r="K172" t="str">
        <f>IFERROR(__xludf.DUMMYFUNCTION("""COMPUTED_VALUE"""),"20ft Sea Ark FL5351SJ UNF 2015")</f>
        <v>20ft Sea Ark FL5351SJ UNF 2015</v>
      </c>
      <c r="M172" t="str">
        <f>IFERROR(__xludf.DUMMYFUNCTION("""COMPUTED_VALUE"""),"Ford F150 2008 - DEP18041 (SWMP Thing)")</f>
        <v>Ford F150 2008 - DEP18041 (SWMP Thing)</v>
      </c>
      <c r="N172" t="str">
        <f>IFERROR(__xludf.DUMMYFUNCTION("""COMPUTED_VALUE"""),"Pam Marcum, (480) 332-5414")</f>
        <v>Pam Marcum, (480) 332-5414</v>
      </c>
      <c r="O172" t="str">
        <f>IFERROR(__xludf.DUMMYFUNCTION("""COMPUTED_VALUE"""),"Alicia Bishop, Diane Downing")</f>
        <v>Alicia Bishop, Diane Downing</v>
      </c>
      <c r="P172" t="str">
        <f>IFERROR(__xludf.DUMMYFUNCTION("""COMPUTED_VALUE"""),"Pam")</f>
        <v>Pam</v>
      </c>
      <c r="Q172" t="str">
        <f>IFERROR(__xludf.DUMMYFUNCTION("""COMPUTED_VALUE"""),"Good")</f>
        <v>Good</v>
      </c>
      <c r="R172" t="str">
        <f>IFERROR(__xludf.DUMMYFUNCTION("""COMPUTED_VALUE"""),"Good")</f>
        <v>Good</v>
      </c>
      <c r="S172" t="str">
        <f>IFERROR(__xludf.DUMMYFUNCTION("""COMPUTED_VALUE"""),"Good")</f>
        <v>Good</v>
      </c>
      <c r="T172" t="str">
        <f>IFERROR(__xludf.DUMMYFUNCTION("""COMPUTED_VALUE"""),"Good")</f>
        <v>Good</v>
      </c>
      <c r="U172" t="str">
        <f>IFERROR(__xludf.DUMMYFUNCTION("""COMPUTED_VALUE"""),"Good")</f>
        <v>Good</v>
      </c>
      <c r="V172" t="str">
        <f>IFERROR(__xludf.DUMMYFUNCTION("""COMPUTED_VALUE"""),"Good")</f>
        <v>Good</v>
      </c>
      <c r="W172" t="str">
        <f>IFERROR(__xludf.DUMMYFUNCTION("""COMPUTED_VALUE"""),"Good")</f>
        <v>Good</v>
      </c>
      <c r="X172" t="str">
        <f>IFERROR(__xludf.DUMMYFUNCTION("""COMPUTED_VALUE"""),"Good")</f>
        <v>Good</v>
      </c>
      <c r="Y172" t="str">
        <f>IFERROR(__xludf.DUMMYFUNCTION("""COMPUTED_VALUE"""),"Good")</f>
        <v>Good</v>
      </c>
      <c r="Z172" t="str">
        <f>IFERROR(__xludf.DUMMYFUNCTION("""COMPUTED_VALUE"""),"Good")</f>
        <v>Good</v>
      </c>
      <c r="AA172" t="str">
        <f>IFERROR(__xludf.DUMMYFUNCTION("""COMPUTED_VALUE"""),"Good")</f>
        <v>Good</v>
      </c>
      <c r="AB172" t="str">
        <f>IFERROR(__xludf.DUMMYFUNCTION("""COMPUTED_VALUE"""),"Good")</f>
        <v>Good</v>
      </c>
      <c r="AC172" t="str">
        <f>IFERROR(__xludf.DUMMYFUNCTION("""COMPUTED_VALUE"""),"Good")</f>
        <v>Good</v>
      </c>
      <c r="AE172" s="11"/>
      <c r="AF172" t="s">
        <v>218</v>
      </c>
      <c r="AG172" s="17" t="s">
        <v>43</v>
      </c>
      <c r="AH172" s="12">
        <v>1615.0</v>
      </c>
      <c r="AI172" s="12" t="s">
        <v>461</v>
      </c>
      <c r="AJ172" s="19" t="s">
        <v>462</v>
      </c>
      <c r="AK172" s="20" t="str">
        <f>HYPERLINK("https://docs.google.com/document/d/1jLef7WH1ZWvUDuCPO5cYBeyKUgeRQ04zAG93ZEtwINk/edit?usp=drivesdk","Pamela Marcum - 10/4/2018 7:15 AM")</f>
        <v>Pamela Marcum - 10/4/2018 7:15 AM</v>
      </c>
      <c r="AL172" s="12" t="s">
        <v>463</v>
      </c>
    </row>
    <row r="173">
      <c r="A173" s="10">
        <f>IFERROR(__xludf.DUMMYFUNCTION("""COMPUTED_VALUE"""),43377.31322123843)</f>
        <v>43377.31322</v>
      </c>
      <c r="B173" s="11" t="str">
        <f>IFERROR(__xludf.DUMMYFUNCTION("""COMPUTED_VALUE"""),"Silas Tanner")</f>
        <v>Silas Tanner</v>
      </c>
      <c r="C173" t="str">
        <f>IFERROR(__xludf.DUMMYFUNCTION("""COMPUTED_VALUE"""),"silas.tanner@floridadep.gov")</f>
        <v>silas.tanner@floridadep.gov</v>
      </c>
      <c r="D173" t="str">
        <f>IFERROR(__xludf.DUMMYFUNCTION("""COMPUTED_VALUE"""),"Research/Nikki")</f>
        <v>Research/Nikki</v>
      </c>
      <c r="E173" t="str">
        <f>IFERROR(__xludf.DUMMYFUNCTION("""COMPUTED_VALUE"""),"Moses Creek floating dock")</f>
        <v>Moses Creek floating dock</v>
      </c>
      <c r="F173" s="13">
        <f>IFERROR(__xludf.DUMMYFUNCTION("""COMPUTED_VALUE"""),0.3333333333321207)</f>
        <v>0.3333333333</v>
      </c>
      <c r="G173" s="14">
        <f>IFERROR(__xludf.DUMMYFUNCTION("""COMPUTED_VALUE"""),43377.0)</f>
        <v>43377</v>
      </c>
      <c r="H173" t="str">
        <f>IFERROR(__xludf.DUMMYFUNCTION("""COMPUTED_VALUE"""),"Moses Creek platforms")</f>
        <v>Moses Creek platforms</v>
      </c>
      <c r="I173" s="15">
        <f>IFERROR(__xludf.DUMMYFUNCTION("""COMPUTED_VALUE"""),0.5833333333321207)</f>
        <v>0.5833333333</v>
      </c>
      <c r="J173" s="16">
        <f>IFERROR(__xludf.DUMMYFUNCTION("""COMPUTED_VALUE"""),43377.625)</f>
        <v>43377.625</v>
      </c>
      <c r="K173" t="str">
        <f>IFERROR(__xludf.DUMMYFUNCTION("""COMPUTED_VALUE"""),"Canoe(s)")</f>
        <v>Canoe(s)</v>
      </c>
      <c r="L173">
        <f>IFERROR(__xludf.DUMMYFUNCTION("""COMPUTED_VALUE"""),2.0)</f>
        <v>2</v>
      </c>
      <c r="M173" t="str">
        <f>IFERROR(__xludf.DUMMYFUNCTION("""COMPUTED_VALUE"""),"Ford F250 2017 (Moby Dix) - DEP0021578")</f>
        <v>Ford F250 2017 (Moby Dix) - DEP0021578</v>
      </c>
      <c r="N173" t="str">
        <f>IFERROR(__xludf.DUMMYFUNCTION("""COMPUTED_VALUE"""),"Silas Tanner, (904) 483-8423, Ben Mowbray, (407) 962-8782")</f>
        <v>Silas Tanner, (904) 483-8423, Ben Mowbray, (407) 962-8782</v>
      </c>
      <c r="O173" t="str">
        <f>IFERROR(__xludf.DUMMYFUNCTION("""COMPUTED_VALUE"""),"Hunter Mathews")</f>
        <v>Hunter Mathews</v>
      </c>
      <c r="P173" t="str">
        <f>IFERROR(__xludf.DUMMYFUNCTION("""COMPUTED_VALUE"""),"Silas Tanner")</f>
        <v>Silas Tanner</v>
      </c>
      <c r="Q173" t="str">
        <f>IFERROR(__xludf.DUMMYFUNCTION("""COMPUTED_VALUE"""),"Good")</f>
        <v>Good</v>
      </c>
      <c r="R173" t="str">
        <f>IFERROR(__xludf.DUMMYFUNCTION("""COMPUTED_VALUE"""),"Good")</f>
        <v>Good</v>
      </c>
      <c r="S173" t="str">
        <f>IFERROR(__xludf.DUMMYFUNCTION("""COMPUTED_VALUE"""),"Good")</f>
        <v>Good</v>
      </c>
      <c r="T173" t="str">
        <f>IFERROR(__xludf.DUMMYFUNCTION("""COMPUTED_VALUE"""),"Good")</f>
        <v>Good</v>
      </c>
      <c r="U173" t="str">
        <f>IFERROR(__xludf.DUMMYFUNCTION("""COMPUTED_VALUE"""),"Good")</f>
        <v>Good</v>
      </c>
      <c r="V173" t="str">
        <f>IFERROR(__xludf.DUMMYFUNCTION("""COMPUTED_VALUE"""),"Good")</f>
        <v>Good</v>
      </c>
      <c r="W173" t="str">
        <f>IFERROR(__xludf.DUMMYFUNCTION("""COMPUTED_VALUE"""),"Good")</f>
        <v>Good</v>
      </c>
      <c r="X173" t="str">
        <f>IFERROR(__xludf.DUMMYFUNCTION("""COMPUTED_VALUE"""),"Good")</f>
        <v>Good</v>
      </c>
      <c r="Y173" t="str">
        <f>IFERROR(__xludf.DUMMYFUNCTION("""COMPUTED_VALUE"""),"Good")</f>
        <v>Good</v>
      </c>
      <c r="Z173" t="str">
        <f>IFERROR(__xludf.DUMMYFUNCTION("""COMPUTED_VALUE"""),"Good")</f>
        <v>Good</v>
      </c>
      <c r="AA173" t="str">
        <f>IFERROR(__xludf.DUMMYFUNCTION("""COMPUTED_VALUE"""),"Good")</f>
        <v>Good</v>
      </c>
      <c r="AB173" t="str">
        <f>IFERROR(__xludf.DUMMYFUNCTION("""COMPUTED_VALUE"""),"Good")</f>
        <v>Good</v>
      </c>
      <c r="AC173" t="str">
        <f>IFERROR(__xludf.DUMMYFUNCTION("""COMPUTED_VALUE"""),"Good")</f>
        <v>Good</v>
      </c>
      <c r="AE173" s="11"/>
      <c r="AF173" t="s">
        <v>218</v>
      </c>
      <c r="AG173" s="17" t="s">
        <v>60</v>
      </c>
      <c r="AH173" s="12">
        <v>1320.0</v>
      </c>
      <c r="AI173" s="12" t="s">
        <v>464</v>
      </c>
      <c r="AJ173" s="19" t="s">
        <v>465</v>
      </c>
      <c r="AK173" s="20" t="str">
        <f>HYPERLINK("https://docs.google.com/document/d/1LuCtXJrW5W_uDwtAy3HfcI7oOa4lD8iG7UzSamPCoDk/edit?usp=drivesdk","Silas Tanner - 10/4/2018 8:00 AM")</f>
        <v>Silas Tanner - 10/4/2018 8:00 AM</v>
      </c>
      <c r="AL173" s="12" t="s">
        <v>466</v>
      </c>
    </row>
    <row r="174">
      <c r="A174" s="10">
        <f>IFERROR(__xludf.DUMMYFUNCTION("""COMPUTED_VALUE"""),43377.33790651621)</f>
        <v>43377.33791</v>
      </c>
      <c r="B174" s="11" t="str">
        <f>IFERROR(__xludf.DUMMYFUNCTION("""COMPUTED_VALUE"""),"Shannon Dunnigan")</f>
        <v>Shannon Dunnigan</v>
      </c>
      <c r="C174" t="str">
        <f>IFERROR(__xludf.DUMMYFUNCTION("""COMPUTED_VALUE"""),"shannon.dunnigan@floridadep.gov")</f>
        <v>shannon.dunnigan@floridadep.gov</v>
      </c>
      <c r="D174" t="str">
        <f>IFERROR(__xludf.DUMMYFUNCTION("""COMPUTED_VALUE"""),"Research/Nikki")</f>
        <v>Research/Nikki</v>
      </c>
      <c r="E174" t="str">
        <f>IFERROR(__xludf.DUMMYFUNCTION("""COMPUTED_VALUE"""),"Bings")</f>
        <v>Bings</v>
      </c>
      <c r="F174" s="13">
        <f>IFERROR(__xludf.DUMMYFUNCTION("""COMPUTED_VALUE"""),0.3854166666678793)</f>
        <v>0.3854166667</v>
      </c>
      <c r="G174" s="14">
        <f>IFERROR(__xludf.DUMMYFUNCTION("""COMPUTED_VALUE"""),43377.0)</f>
        <v>43377</v>
      </c>
      <c r="H174" t="str">
        <f>IFERROR(__xludf.DUMMYFUNCTION("""COMPUTED_VALUE"""),"Summerhaven")</f>
        <v>Summerhaven</v>
      </c>
      <c r="I174" s="15">
        <f>IFERROR(__xludf.DUMMYFUNCTION("""COMPUTED_VALUE"""),0.0)</f>
        <v>0</v>
      </c>
      <c r="J174" s="16">
        <f>IFERROR(__xludf.DUMMYFUNCTION("""COMPUTED_VALUE"""),43377.5625)</f>
        <v>43377.5625</v>
      </c>
      <c r="K174" t="str">
        <f>IFERROR(__xludf.DUMMYFUNCTION("""COMPUTED_VALUE"""),"23ft Skiff (Bertha) FL7972LJ DEP07613")</f>
        <v>23ft Skiff (Bertha) FL7972LJ DEP07613</v>
      </c>
      <c r="M174" t="str">
        <f>IFERROR(__xludf.DUMMYFUNCTION("""COMPUTED_VALUE"""),"Ford F150 2015 (White) - DEP21448")</f>
        <v>Ford F150 2015 (White) - DEP21448</v>
      </c>
      <c r="N174" t="str">
        <f>IFERROR(__xludf.DUMMYFUNCTION("""COMPUTED_VALUE"""),"Shannon Dunnigan, (803) 727-5734")</f>
        <v>Shannon Dunnigan, (803) 727-5734</v>
      </c>
      <c r="O174" t="str">
        <f>IFERROR(__xludf.DUMMYFUNCTION("""COMPUTED_VALUE"""),"Westly Woodward")</f>
        <v>Westly Woodward</v>
      </c>
      <c r="P174" t="str">
        <f>IFERROR(__xludf.DUMMYFUNCTION("""COMPUTED_VALUE"""),"Shannon")</f>
        <v>Shannon</v>
      </c>
      <c r="Q174" t="str">
        <f>IFERROR(__xludf.DUMMYFUNCTION("""COMPUTED_VALUE"""),"Good")</f>
        <v>Good</v>
      </c>
      <c r="R174" t="str">
        <f>IFERROR(__xludf.DUMMYFUNCTION("""COMPUTED_VALUE"""),"Good")</f>
        <v>Good</v>
      </c>
      <c r="S174" t="str">
        <f>IFERROR(__xludf.DUMMYFUNCTION("""COMPUTED_VALUE"""),"Good")</f>
        <v>Good</v>
      </c>
      <c r="T174" t="str">
        <f>IFERROR(__xludf.DUMMYFUNCTION("""COMPUTED_VALUE"""),"Good")</f>
        <v>Good</v>
      </c>
      <c r="U174" t="str">
        <f>IFERROR(__xludf.DUMMYFUNCTION("""COMPUTED_VALUE"""),"Good")</f>
        <v>Good</v>
      </c>
      <c r="V174" t="str">
        <f>IFERROR(__xludf.DUMMYFUNCTION("""COMPUTED_VALUE"""),"Good")</f>
        <v>Good</v>
      </c>
      <c r="W174" t="str">
        <f>IFERROR(__xludf.DUMMYFUNCTION("""COMPUTED_VALUE"""),"Good")</f>
        <v>Good</v>
      </c>
      <c r="X174" t="str">
        <f>IFERROR(__xludf.DUMMYFUNCTION("""COMPUTED_VALUE"""),"Good")</f>
        <v>Good</v>
      </c>
      <c r="Y174" t="str">
        <f>IFERROR(__xludf.DUMMYFUNCTION("""COMPUTED_VALUE"""),"Good")</f>
        <v>Good</v>
      </c>
      <c r="Z174" t="str">
        <f>IFERROR(__xludf.DUMMYFUNCTION("""COMPUTED_VALUE"""),"Good")</f>
        <v>Good</v>
      </c>
      <c r="AA174" t="str">
        <f>IFERROR(__xludf.DUMMYFUNCTION("""COMPUTED_VALUE"""),"Good")</f>
        <v>Good</v>
      </c>
      <c r="AB174" t="str">
        <f>IFERROR(__xludf.DUMMYFUNCTION("""COMPUTED_VALUE"""),"Good")</f>
        <v>Good</v>
      </c>
      <c r="AC174" t="str">
        <f>IFERROR(__xludf.DUMMYFUNCTION("""COMPUTED_VALUE"""),"Good")</f>
        <v>Good</v>
      </c>
      <c r="AE174" s="11"/>
      <c r="AF174" t="s">
        <v>218</v>
      </c>
      <c r="AG174" s="17" t="s">
        <v>43</v>
      </c>
      <c r="AH174" s="12">
        <v>1112.0</v>
      </c>
      <c r="AI174" s="12" t="s">
        <v>467</v>
      </c>
      <c r="AJ174" s="19" t="s">
        <v>468</v>
      </c>
      <c r="AK174" s="20" t="str">
        <f>HYPERLINK("https://docs.google.com/document/d/165OlHMSD7QQspuLihMnA4iOz0DUxDdUqPxfmQ1cBeNs/edit?usp=drivesdk","Shannon Dunnigan - 10/4/2018 9:15 AM")</f>
        <v>Shannon Dunnigan - 10/4/2018 9:15 AM</v>
      </c>
      <c r="AL174" s="12" t="s">
        <v>469</v>
      </c>
    </row>
    <row r="175">
      <c r="A175" s="10">
        <f>IFERROR(__xludf.DUMMYFUNCTION("""COMPUTED_VALUE"""),43382.60240420139)</f>
        <v>43382.6024</v>
      </c>
      <c r="B175" s="11" t="str">
        <f>IFERROR(__xludf.DUMMYFUNCTION("""COMPUTED_VALUE"""),"Silas Tanner")</f>
        <v>Silas Tanner</v>
      </c>
      <c r="C175" t="str">
        <f>IFERROR(__xludf.DUMMYFUNCTION("""COMPUTED_VALUE"""),"silas.tanner@floridadep.gov")</f>
        <v>silas.tanner@floridadep.gov</v>
      </c>
      <c r="D175" t="str">
        <f>IFERROR(__xludf.DUMMYFUNCTION("""COMPUTED_VALUE"""),"Research/Nikki")</f>
        <v>Research/Nikki</v>
      </c>
      <c r="E175" t="str">
        <f>IFERROR(__xludf.DUMMYFUNCTION("""COMPUTED_VALUE"""),"Green Rd., Vilano County Ramp")</f>
        <v>Green Rd., Vilano County Ramp</v>
      </c>
      <c r="F175" s="13">
        <f>IFERROR(__xludf.DUMMYFUNCTION("""COMPUTED_VALUE"""),0.3125)</f>
        <v>0.3125</v>
      </c>
      <c r="G175" s="14">
        <f>IFERROR(__xludf.DUMMYFUNCTION("""COMPUTED_VALUE"""),43383.0)</f>
        <v>43383</v>
      </c>
      <c r="H175" t="str">
        <f>IFERROR(__xludf.DUMMYFUNCTION("""COMPUTED_VALUE"""),"ICW - SWMP sites")</f>
        <v>ICW - SWMP sites</v>
      </c>
      <c r="I175" s="15">
        <f>IFERROR(__xludf.DUMMYFUNCTION("""COMPUTED_VALUE"""),0.5006944444430701)</f>
        <v>0.5006944444</v>
      </c>
      <c r="J175" s="16">
        <f>IFERROR(__xludf.DUMMYFUNCTION("""COMPUTED_VALUE"""),43383.51041666667)</f>
        <v>43383.51042</v>
      </c>
      <c r="K175" t="str">
        <f>IFERROR(__xludf.DUMMYFUNCTION("""COMPUTED_VALUE"""),"20ft Sea Ark FL5351SJ UNF 2015")</f>
        <v>20ft Sea Ark FL5351SJ UNF 2015</v>
      </c>
      <c r="M175" t="str">
        <f>IFERROR(__xludf.DUMMYFUNCTION("""COMPUTED_VALUE"""),"Ford F250 2017 (Moby Dix) - DEP0021578")</f>
        <v>Ford F250 2017 (Moby Dix) - DEP0021578</v>
      </c>
      <c r="N175" t="str">
        <f>IFERROR(__xludf.DUMMYFUNCTION("""COMPUTED_VALUE"""),"Silas Tanner, (904) 483-8423")</f>
        <v>Silas Tanner, (904) 483-8423</v>
      </c>
      <c r="O175" t="str">
        <f>IFERROR(__xludf.DUMMYFUNCTION("""COMPUTED_VALUE"""),"Hunter Mathews")</f>
        <v>Hunter Mathews</v>
      </c>
      <c r="P175" t="str">
        <f>IFERROR(__xludf.DUMMYFUNCTION("""COMPUTED_VALUE"""),"S. Tanner")</f>
        <v>S. Tanner</v>
      </c>
      <c r="Q175" t="str">
        <f>IFERROR(__xludf.DUMMYFUNCTION("""COMPUTED_VALUE"""),"Good")</f>
        <v>Good</v>
      </c>
      <c r="R175" t="str">
        <f>IFERROR(__xludf.DUMMYFUNCTION("""COMPUTED_VALUE"""),"Good")</f>
        <v>Good</v>
      </c>
      <c r="S175" t="str">
        <f>IFERROR(__xludf.DUMMYFUNCTION("""COMPUTED_VALUE"""),"Good")</f>
        <v>Good</v>
      </c>
      <c r="T175" t="str">
        <f>IFERROR(__xludf.DUMMYFUNCTION("""COMPUTED_VALUE"""),"Good")</f>
        <v>Good</v>
      </c>
      <c r="U175" t="str">
        <f>IFERROR(__xludf.DUMMYFUNCTION("""COMPUTED_VALUE"""),"Good")</f>
        <v>Good</v>
      </c>
      <c r="V175" t="str">
        <f>IFERROR(__xludf.DUMMYFUNCTION("""COMPUTED_VALUE"""),"Good")</f>
        <v>Good</v>
      </c>
      <c r="W175" t="str">
        <f>IFERROR(__xludf.DUMMYFUNCTION("""COMPUTED_VALUE"""),"Good")</f>
        <v>Good</v>
      </c>
      <c r="X175" t="str">
        <f>IFERROR(__xludf.DUMMYFUNCTION("""COMPUTED_VALUE"""),"Good")</f>
        <v>Good</v>
      </c>
      <c r="Y175" t="str">
        <f>IFERROR(__xludf.DUMMYFUNCTION("""COMPUTED_VALUE"""),"Good")</f>
        <v>Good</v>
      </c>
      <c r="Z175" t="str">
        <f>IFERROR(__xludf.DUMMYFUNCTION("""COMPUTED_VALUE"""),"Good")</f>
        <v>Good</v>
      </c>
      <c r="AA175" t="str">
        <f>IFERROR(__xludf.DUMMYFUNCTION("""COMPUTED_VALUE"""),"Good")</f>
        <v>Good</v>
      </c>
      <c r="AB175" t="str">
        <f>IFERROR(__xludf.DUMMYFUNCTION("""COMPUTED_VALUE"""),"Good")</f>
        <v>Good</v>
      </c>
      <c r="AC175" t="str">
        <f>IFERROR(__xludf.DUMMYFUNCTION("""COMPUTED_VALUE"""),"Good")</f>
        <v>Good</v>
      </c>
      <c r="AE175" s="11"/>
      <c r="AF175" t="s">
        <v>218</v>
      </c>
      <c r="AG175" s="17" t="s">
        <v>141</v>
      </c>
      <c r="AH175" s="12">
        <v>1113.0</v>
      </c>
      <c r="AI175" s="12" t="s">
        <v>470</v>
      </c>
      <c r="AJ175" s="19" t="s">
        <v>471</v>
      </c>
      <c r="AK175" s="20" t="str">
        <f>HYPERLINK("https://docs.google.com/document/d/1L1XIyzHuHRQHoWUjLZVh96I0pkX6GW-koS18WeV4S5A/edit?usp=drivesdk","Silas Tanner - 10/10/2018 7:30 AM")</f>
        <v>Silas Tanner - 10/10/2018 7:30 AM</v>
      </c>
      <c r="AL175" s="12" t="s">
        <v>472</v>
      </c>
    </row>
    <row r="176">
      <c r="A176" s="10">
        <f>IFERROR(__xludf.DUMMYFUNCTION("""COMPUTED_VALUE"""),43385.4172265625)</f>
        <v>43385.41723</v>
      </c>
      <c r="B176" s="11" t="str">
        <f>IFERROR(__xludf.DUMMYFUNCTION("""COMPUTED_VALUE"""),"Ben Mowbray")</f>
        <v>Ben Mowbray</v>
      </c>
      <c r="C176" t="str">
        <f>IFERROR(__xludf.DUMMYFUNCTION("""COMPUTED_VALUE"""),"ben.mowbray@dep.state.fl.us")</f>
        <v>ben.mowbray@dep.state.fl.us</v>
      </c>
      <c r="D176" t="str">
        <f>IFERROR(__xludf.DUMMYFUNCTION("""COMPUTED_VALUE"""),"Research/Nikki")</f>
        <v>Research/Nikki</v>
      </c>
      <c r="E176" t="str">
        <f>IFERROR(__xludf.DUMMYFUNCTION("""COMPUTED_VALUE"""),"Faver-Dykes")</f>
        <v>Faver-Dykes</v>
      </c>
      <c r="F176" s="13">
        <f>IFERROR(__xludf.DUMMYFUNCTION("""COMPUTED_VALUE"""),0.46875)</f>
        <v>0.46875</v>
      </c>
      <c r="G176" s="14">
        <f>IFERROR(__xludf.DUMMYFUNCTION("""COMPUTED_VALUE"""),43385.0)</f>
        <v>43385</v>
      </c>
      <c r="H176" t="str">
        <f>IFERROR(__xludf.DUMMYFUNCTION("""COMPUTED_VALUE"""),"Westernmost Pellicer Sentinel Site")</f>
        <v>Westernmost Pellicer Sentinel Site</v>
      </c>
      <c r="I176" s="15">
        <f>IFERROR(__xludf.DUMMYFUNCTION("""COMPUTED_VALUE"""),0.6666666666678793)</f>
        <v>0.6666666667</v>
      </c>
      <c r="J176" s="16">
        <f>IFERROR(__xludf.DUMMYFUNCTION("""COMPUTED_VALUE"""),43385.71875)</f>
        <v>43385.71875</v>
      </c>
      <c r="K176" t="str">
        <f>IFERROR(__xludf.DUMMYFUNCTION("""COMPUTED_VALUE"""),"23ft Skiff (Bertha) FL7972LJ DEP07613")</f>
        <v>23ft Skiff (Bertha) FL7972LJ DEP07613</v>
      </c>
      <c r="M176" t="str">
        <f>IFERROR(__xludf.DUMMYFUNCTION("""COMPUTED_VALUE"""),"Ford F250 2017 (Moby Dix) - DEP0021578")</f>
        <v>Ford F250 2017 (Moby Dix) - DEP0021578</v>
      </c>
      <c r="N176" t="str">
        <f>IFERROR(__xludf.DUMMYFUNCTION("""COMPUTED_VALUE"""),"Pam Marcum, (480) 332-5414, Ben Mowbray, (407) 962-8782")</f>
        <v>Pam Marcum, (480) 332-5414, Ben Mowbray, (407) 962-8782</v>
      </c>
      <c r="P176" t="str">
        <f>IFERROR(__xludf.DUMMYFUNCTION("""COMPUTED_VALUE"""),"Pam")</f>
        <v>Pam</v>
      </c>
      <c r="Q176" t="str">
        <f>IFERROR(__xludf.DUMMYFUNCTION("""COMPUTED_VALUE"""),"Good")</f>
        <v>Good</v>
      </c>
      <c r="R176" t="str">
        <f>IFERROR(__xludf.DUMMYFUNCTION("""COMPUTED_VALUE"""),"Good")</f>
        <v>Good</v>
      </c>
      <c r="S176" t="str">
        <f>IFERROR(__xludf.DUMMYFUNCTION("""COMPUTED_VALUE"""),"Good")</f>
        <v>Good</v>
      </c>
      <c r="T176" t="str">
        <f>IFERROR(__xludf.DUMMYFUNCTION("""COMPUTED_VALUE"""),"Good")</f>
        <v>Good</v>
      </c>
      <c r="U176" t="str">
        <f>IFERROR(__xludf.DUMMYFUNCTION("""COMPUTED_VALUE"""),"Good")</f>
        <v>Good</v>
      </c>
      <c r="V176" t="str">
        <f>IFERROR(__xludf.DUMMYFUNCTION("""COMPUTED_VALUE"""),"Good")</f>
        <v>Good</v>
      </c>
      <c r="W176" t="str">
        <f>IFERROR(__xludf.DUMMYFUNCTION("""COMPUTED_VALUE"""),"Good")</f>
        <v>Good</v>
      </c>
      <c r="X176" t="str">
        <f>IFERROR(__xludf.DUMMYFUNCTION("""COMPUTED_VALUE"""),"Good")</f>
        <v>Good</v>
      </c>
      <c r="Y176" t="str">
        <f>IFERROR(__xludf.DUMMYFUNCTION("""COMPUTED_VALUE"""),"Good")</f>
        <v>Good</v>
      </c>
      <c r="Z176" t="str">
        <f>IFERROR(__xludf.DUMMYFUNCTION("""COMPUTED_VALUE"""),"Good")</f>
        <v>Good</v>
      </c>
      <c r="AA176" t="str">
        <f>IFERROR(__xludf.DUMMYFUNCTION("""COMPUTED_VALUE"""),"Good")</f>
        <v>Good</v>
      </c>
      <c r="AB176" t="str">
        <f>IFERROR(__xludf.DUMMYFUNCTION("""COMPUTED_VALUE"""),"Good")</f>
        <v>Good</v>
      </c>
      <c r="AC176" t="str">
        <f>IFERROR(__xludf.DUMMYFUNCTION("""COMPUTED_VALUE"""),"Good")</f>
        <v>Good</v>
      </c>
      <c r="AE176" s="11"/>
      <c r="AF176" t="s">
        <v>218</v>
      </c>
      <c r="AG176" s="17" t="s">
        <v>18</v>
      </c>
      <c r="AH176" s="12">
        <v>1440.0</v>
      </c>
      <c r="AI176" s="12" t="s">
        <v>473</v>
      </c>
      <c r="AJ176" s="19" t="s">
        <v>474</v>
      </c>
      <c r="AK176" s="20" t="str">
        <f>HYPERLINK("https://docs.google.com/document/d/1FPp7Ct0JiV_kWgKtlmLlCmGzPELIhER6zZ_PuQTEZXQ/edit?usp=drivesdk","Ben Mowbray - 10/12/2018 11:15 AM")</f>
        <v>Ben Mowbray - 10/12/2018 11:15 AM</v>
      </c>
      <c r="AL176" s="12" t="s">
        <v>475</v>
      </c>
    </row>
    <row r="177">
      <c r="A177" s="10">
        <f>IFERROR(__xludf.DUMMYFUNCTION("""COMPUTED_VALUE"""),43389.283237442134)</f>
        <v>43389.28324</v>
      </c>
      <c r="B177" s="11" t="str">
        <f>IFERROR(__xludf.DUMMYFUNCTION("""COMPUTED_VALUE"""),"Pamela Marcum")</f>
        <v>Pamela Marcum</v>
      </c>
      <c r="C177" t="str">
        <f>IFERROR(__xludf.DUMMYFUNCTION("""COMPUTED_VALUE"""),"Pamela.Marcum@hotmail.com")</f>
        <v>Pamela.Marcum@hotmail.com</v>
      </c>
      <c r="D177" t="str">
        <f>IFERROR(__xludf.DUMMYFUNCTION("""COMPUTED_VALUE"""),"Research/Nikki")</f>
        <v>Research/Nikki</v>
      </c>
      <c r="E177" t="str">
        <f>IFERROR(__xludf.DUMMYFUNCTION("""COMPUTED_VALUE"""),"Aunt Kate's")</f>
        <v>Aunt Kate's</v>
      </c>
      <c r="F177" s="13">
        <f>IFERROR(__xludf.DUMMYFUNCTION("""COMPUTED_VALUE"""),0.3020833333321207)</f>
        <v>0.3020833333</v>
      </c>
      <c r="G177" s="14">
        <f>IFERROR(__xludf.DUMMYFUNCTION("""COMPUTED_VALUE"""),43389.0)</f>
        <v>43389</v>
      </c>
      <c r="H177" t="str">
        <f>IFERROR(__xludf.DUMMYFUNCTION("""COMPUTED_VALUE"""),"Guana River")</f>
        <v>Guana River</v>
      </c>
      <c r="I177" s="15">
        <f>IFERROR(__xludf.DUMMYFUNCTION("""COMPUTED_VALUE"""),0.4791666666678793)</f>
        <v>0.4791666667</v>
      </c>
      <c r="J177" s="16">
        <f>IFERROR(__xludf.DUMMYFUNCTION("""COMPUTED_VALUE"""),43389.5)</f>
        <v>43389.5</v>
      </c>
      <c r="K177" t="str">
        <f>IFERROR(__xludf.DUMMYFUNCTION("""COMPUTED_VALUE"""),"20ft Sea Ark FL5351SJ UNF 2015")</f>
        <v>20ft Sea Ark FL5351SJ UNF 2015</v>
      </c>
      <c r="M177" t="str">
        <f>IFERROR(__xludf.DUMMYFUNCTION("""COMPUTED_VALUE"""),"Ford F250 2017 (Moby Dix) - DEP0021578")</f>
        <v>Ford F250 2017 (Moby Dix) - DEP0021578</v>
      </c>
      <c r="N177" t="str">
        <f>IFERROR(__xludf.DUMMYFUNCTION("""COMPUTED_VALUE"""),"Pam Marcum, (480) 332-5414, Ben Mowbray, (407) 962-8782")</f>
        <v>Pam Marcum, (480) 332-5414, Ben Mowbray, (407) 962-8782</v>
      </c>
      <c r="O177" t="str">
        <f>IFERROR(__xludf.DUMMYFUNCTION("""COMPUTED_VALUE"""),"Jessica Lee, Allee Knoell")</f>
        <v>Jessica Lee, Allee Knoell</v>
      </c>
      <c r="P177" t="str">
        <f>IFERROR(__xludf.DUMMYFUNCTION("""COMPUTED_VALUE"""),"Pam")</f>
        <v>Pam</v>
      </c>
      <c r="Q177" t="str">
        <f>IFERROR(__xludf.DUMMYFUNCTION("""COMPUTED_VALUE"""),"Good")</f>
        <v>Good</v>
      </c>
      <c r="R177" t="str">
        <f>IFERROR(__xludf.DUMMYFUNCTION("""COMPUTED_VALUE"""),"Good")</f>
        <v>Good</v>
      </c>
      <c r="S177" t="str">
        <f>IFERROR(__xludf.DUMMYFUNCTION("""COMPUTED_VALUE"""),"Good")</f>
        <v>Good</v>
      </c>
      <c r="T177" t="str">
        <f>IFERROR(__xludf.DUMMYFUNCTION("""COMPUTED_VALUE"""),"Good")</f>
        <v>Good</v>
      </c>
      <c r="U177" t="str">
        <f>IFERROR(__xludf.DUMMYFUNCTION("""COMPUTED_VALUE"""),"Good")</f>
        <v>Good</v>
      </c>
      <c r="V177" t="str">
        <f>IFERROR(__xludf.DUMMYFUNCTION("""COMPUTED_VALUE"""),"Good")</f>
        <v>Good</v>
      </c>
      <c r="W177" t="str">
        <f>IFERROR(__xludf.DUMMYFUNCTION("""COMPUTED_VALUE"""),"Good")</f>
        <v>Good</v>
      </c>
      <c r="X177" t="str">
        <f>IFERROR(__xludf.DUMMYFUNCTION("""COMPUTED_VALUE"""),"Good")</f>
        <v>Good</v>
      </c>
      <c r="Y177" t="str">
        <f>IFERROR(__xludf.DUMMYFUNCTION("""COMPUTED_VALUE"""),"Good")</f>
        <v>Good</v>
      </c>
      <c r="Z177" t="str">
        <f>IFERROR(__xludf.DUMMYFUNCTION("""COMPUTED_VALUE"""),"Good")</f>
        <v>Good</v>
      </c>
      <c r="AA177" t="str">
        <f>IFERROR(__xludf.DUMMYFUNCTION("""COMPUTED_VALUE"""),"Good")</f>
        <v>Good</v>
      </c>
      <c r="AB177" t="str">
        <f>IFERROR(__xludf.DUMMYFUNCTION("""COMPUTED_VALUE"""),"Good")</f>
        <v>Good</v>
      </c>
      <c r="AC177" t="str">
        <f>IFERROR(__xludf.DUMMYFUNCTION("""COMPUTED_VALUE"""),"Good")</f>
        <v>Good</v>
      </c>
      <c r="AE177" s="11"/>
      <c r="AF177" t="s">
        <v>218</v>
      </c>
      <c r="AG177" s="17" t="s">
        <v>43</v>
      </c>
      <c r="AH177" s="12">
        <v>1055.0</v>
      </c>
      <c r="AI177" s="12" t="s">
        <v>476</v>
      </c>
      <c r="AJ177" s="19" t="s">
        <v>477</v>
      </c>
      <c r="AK177" s="20" t="str">
        <f>HYPERLINK("https://docs.google.com/document/d/1JGMIP5SQ2ZMKd8eDucsvIls3aSK9Tt3z-nF29BgavLw/edit?usp=drivesdk","Pamela Marcum - 10/16/2018 7:15 AM")</f>
        <v>Pamela Marcum - 10/16/2018 7:15 AM</v>
      </c>
      <c r="AL177" s="12" t="s">
        <v>478</v>
      </c>
    </row>
    <row r="178">
      <c r="A178" s="10">
        <f>IFERROR(__xludf.DUMMYFUNCTION("""COMPUTED_VALUE"""),43391.587539490734)</f>
        <v>43391.58754</v>
      </c>
      <c r="B178" s="11" t="str">
        <f>IFERROR(__xludf.DUMMYFUNCTION("""COMPUTED_VALUE"""),"Silas Tanner")</f>
        <v>Silas Tanner</v>
      </c>
      <c r="C178" t="str">
        <f>IFERROR(__xludf.DUMMYFUNCTION("""COMPUTED_VALUE"""),"silas.tanner@floridadep.gov")</f>
        <v>silas.tanner@floridadep.gov</v>
      </c>
      <c r="D178" t="str">
        <f>IFERROR(__xludf.DUMMYFUNCTION("""COMPUTED_VALUE"""),"Research/Nikki")</f>
        <v>Research/Nikki</v>
      </c>
      <c r="E178" t="str">
        <f>IFERROR(__xludf.DUMMYFUNCTION("""COMPUTED_VALUE"""),"Bing's")</f>
        <v>Bing's</v>
      </c>
      <c r="F178" s="13">
        <f>IFERROR(__xludf.DUMMYFUNCTION("""COMPUTED_VALUE"""),0.3541666666678793)</f>
        <v>0.3541666667</v>
      </c>
      <c r="G178" s="14">
        <f>IFERROR(__xludf.DUMMYFUNCTION("""COMPUTED_VALUE"""),43392.0)</f>
        <v>43392</v>
      </c>
      <c r="H178" t="str">
        <f>IFERROR(__xludf.DUMMYFUNCTION("""COMPUTED_VALUE"""),"ICW - Rattlesnake Island to Bing's")</f>
        <v>ICW - Rattlesnake Island to Bing's</v>
      </c>
      <c r="I178" s="15">
        <f>IFERROR(__xludf.DUMMYFUNCTION("""COMPUTED_VALUE"""),0.4791666666678793)</f>
        <v>0.4791666667</v>
      </c>
      <c r="J178" s="16">
        <f>IFERROR(__xludf.DUMMYFUNCTION("""COMPUTED_VALUE"""),43392.52083333333)</f>
        <v>43392.52083</v>
      </c>
      <c r="K178" t="str">
        <f>IFERROR(__xludf.DUMMYFUNCTION("""COMPUTED_VALUE"""),"20ft Sea Ark FL5351SJ UNF 2015")</f>
        <v>20ft Sea Ark FL5351SJ UNF 2015</v>
      </c>
      <c r="M178" t="str">
        <f>IFERROR(__xludf.DUMMYFUNCTION("""COMPUTED_VALUE"""),"Ford F150 2015 (White) - DEP21448")</f>
        <v>Ford F150 2015 (White) - DEP21448</v>
      </c>
      <c r="N178" t="str">
        <f>IFERROR(__xludf.DUMMYFUNCTION("""COMPUTED_VALUE"""),"Shannon Dunnigan, (803) 727-5734, Silas Tanner, (904) 483-8423")</f>
        <v>Shannon Dunnigan, (803) 727-5734, Silas Tanner, (904) 483-8423</v>
      </c>
      <c r="O178" t="str">
        <f>IFERROR(__xludf.DUMMYFUNCTION("""COMPUTED_VALUE"""),"Matt Brown")</f>
        <v>Matt Brown</v>
      </c>
      <c r="P178" t="str">
        <f>IFERROR(__xludf.DUMMYFUNCTION("""COMPUTED_VALUE"""),"Shannon Dunnigan")</f>
        <v>Shannon Dunnigan</v>
      </c>
      <c r="Q178" t="str">
        <f>IFERROR(__xludf.DUMMYFUNCTION("""COMPUTED_VALUE"""),"Good")</f>
        <v>Good</v>
      </c>
      <c r="R178" t="str">
        <f>IFERROR(__xludf.DUMMYFUNCTION("""COMPUTED_VALUE"""),"Good")</f>
        <v>Good</v>
      </c>
      <c r="S178" t="str">
        <f>IFERROR(__xludf.DUMMYFUNCTION("""COMPUTED_VALUE"""),"Good")</f>
        <v>Good</v>
      </c>
      <c r="T178" t="str">
        <f>IFERROR(__xludf.DUMMYFUNCTION("""COMPUTED_VALUE"""),"Good")</f>
        <v>Good</v>
      </c>
      <c r="U178" t="str">
        <f>IFERROR(__xludf.DUMMYFUNCTION("""COMPUTED_VALUE"""),"Good")</f>
        <v>Good</v>
      </c>
      <c r="V178" t="str">
        <f>IFERROR(__xludf.DUMMYFUNCTION("""COMPUTED_VALUE"""),"Good")</f>
        <v>Good</v>
      </c>
      <c r="W178" t="str">
        <f>IFERROR(__xludf.DUMMYFUNCTION("""COMPUTED_VALUE"""),"Good")</f>
        <v>Good</v>
      </c>
      <c r="X178" t="str">
        <f>IFERROR(__xludf.DUMMYFUNCTION("""COMPUTED_VALUE"""),"Good")</f>
        <v>Good</v>
      </c>
      <c r="Y178" t="str">
        <f>IFERROR(__xludf.DUMMYFUNCTION("""COMPUTED_VALUE"""),"Good")</f>
        <v>Good</v>
      </c>
      <c r="Z178" t="str">
        <f>IFERROR(__xludf.DUMMYFUNCTION("""COMPUTED_VALUE"""),"Good")</f>
        <v>Good</v>
      </c>
      <c r="AA178" t="str">
        <f>IFERROR(__xludf.DUMMYFUNCTION("""COMPUTED_VALUE"""),"Good")</f>
        <v>Good</v>
      </c>
      <c r="AB178" t="str">
        <f>IFERROR(__xludf.DUMMYFUNCTION("""COMPUTED_VALUE"""),"Good")</f>
        <v>Good</v>
      </c>
      <c r="AC178" t="str">
        <f>IFERROR(__xludf.DUMMYFUNCTION("""COMPUTED_VALUE"""),"Good")</f>
        <v>Good</v>
      </c>
      <c r="AE178" s="11"/>
      <c r="AF178" t="s">
        <v>218</v>
      </c>
      <c r="AG178" s="17" t="s">
        <v>43</v>
      </c>
      <c r="AH178" s="12">
        <v>1100.0</v>
      </c>
      <c r="AI178" s="12" t="s">
        <v>479</v>
      </c>
      <c r="AJ178" s="19" t="s">
        <v>480</v>
      </c>
      <c r="AK178" s="20" t="str">
        <f>HYPERLINK("https://docs.google.com/document/d/1RDmcLZdwMIRHDuujQWjczrbdq11SFvJ7BvyZZWaLJ_M/edit?usp=drivesdk","Silas Tanner - 10/19/2018 8:30 AM")</f>
        <v>Silas Tanner - 10/19/2018 8:30 AM</v>
      </c>
      <c r="AL178" s="12" t="s">
        <v>481</v>
      </c>
    </row>
    <row r="179">
      <c r="A179" s="10">
        <f>IFERROR(__xludf.DUMMYFUNCTION("""COMPUTED_VALUE"""),43395.33295216435)</f>
        <v>43395.33295</v>
      </c>
      <c r="B179" s="11" t="str">
        <f>IFERROR(__xludf.DUMMYFUNCTION("""COMPUTED_VALUE"""),"James Tomazinis")</f>
        <v>James Tomazinis</v>
      </c>
      <c r="C179" t="str">
        <f>IFERROR(__xludf.DUMMYFUNCTION("""COMPUTED_VALUE"""),"james.tomazinis@floridadep.gov")</f>
        <v>james.tomazinis@floridadep.gov</v>
      </c>
      <c r="D179" t="str">
        <f>IFERROR(__xludf.DUMMYFUNCTION("""COMPUTED_VALUE"""),"Stewardship (Aquatic)")</f>
        <v>Stewardship (Aquatic)</v>
      </c>
      <c r="E179" t="str">
        <f>IFERROR(__xludf.DUMMYFUNCTION("""COMPUTED_VALUE"""),"Guana Dam")</f>
        <v>Guana Dam</v>
      </c>
      <c r="F179" s="13">
        <f>IFERROR(__xludf.DUMMYFUNCTION("""COMPUTED_VALUE"""),0.3541666666678793)</f>
        <v>0.3541666667</v>
      </c>
      <c r="G179" s="14">
        <f>IFERROR(__xludf.DUMMYFUNCTION("""COMPUTED_VALUE"""),43395.0)</f>
        <v>43395</v>
      </c>
      <c r="H179" t="str">
        <f>IFERROR(__xludf.DUMMYFUNCTION("""COMPUTED_VALUE"""),"Guana River sampling sites")</f>
        <v>Guana River sampling sites</v>
      </c>
      <c r="I179" s="15">
        <f>IFERROR(__xludf.DUMMYFUNCTION("""COMPUTED_VALUE"""),0.4166666666678793)</f>
        <v>0.4166666667</v>
      </c>
      <c r="J179" s="16"/>
      <c r="K179" t="str">
        <f>IFERROR(__xludf.DUMMYFUNCTION("""COMPUTED_VALUE"""),"Jon Boat FL0484NP DEP06819")</f>
        <v>Jon Boat FL0484NP DEP06819</v>
      </c>
      <c r="M179" t="str">
        <f>IFERROR(__xludf.DUMMYFUNCTION("""COMPUTED_VALUE"""),"Ford F150 2015 (White) - DEP21448")</f>
        <v>Ford F150 2015 (White) - DEP21448</v>
      </c>
      <c r="N179" t="str">
        <f>IFERROR(__xludf.DUMMYFUNCTION("""COMPUTED_VALUE"""),"Jimmy Tomazinis, (904) 547-0094")</f>
        <v>Jimmy Tomazinis, (904) 547-0094</v>
      </c>
      <c r="O179" t="str">
        <f>IFERROR(__xludf.DUMMYFUNCTION("""COMPUTED_VALUE"""),"Hunter Mathews")</f>
        <v>Hunter Mathews</v>
      </c>
      <c r="P179" t="str">
        <f>IFERROR(__xludf.DUMMYFUNCTION("""COMPUTED_VALUE"""),"Jimmy")</f>
        <v>Jimmy</v>
      </c>
      <c r="Q179" t="str">
        <f>IFERROR(__xludf.DUMMYFUNCTION("""COMPUTED_VALUE"""),"Good")</f>
        <v>Good</v>
      </c>
      <c r="R179" t="str">
        <f>IFERROR(__xludf.DUMMYFUNCTION("""COMPUTED_VALUE"""),"Good")</f>
        <v>Good</v>
      </c>
      <c r="S179" t="str">
        <f>IFERROR(__xludf.DUMMYFUNCTION("""COMPUTED_VALUE"""),"Good")</f>
        <v>Good</v>
      </c>
      <c r="T179" t="str">
        <f>IFERROR(__xludf.DUMMYFUNCTION("""COMPUTED_VALUE"""),"Good")</f>
        <v>Good</v>
      </c>
      <c r="U179" t="str">
        <f>IFERROR(__xludf.DUMMYFUNCTION("""COMPUTED_VALUE"""),"Good")</f>
        <v>Good</v>
      </c>
      <c r="V179" t="str">
        <f>IFERROR(__xludf.DUMMYFUNCTION("""COMPUTED_VALUE"""),"Good")</f>
        <v>Good</v>
      </c>
      <c r="W179" t="str">
        <f>IFERROR(__xludf.DUMMYFUNCTION("""COMPUTED_VALUE"""),"Good")</f>
        <v>Good</v>
      </c>
      <c r="X179" t="str">
        <f>IFERROR(__xludf.DUMMYFUNCTION("""COMPUTED_VALUE"""),"Good")</f>
        <v>Good</v>
      </c>
      <c r="Y179" t="str">
        <f>IFERROR(__xludf.DUMMYFUNCTION("""COMPUTED_VALUE"""),"Good")</f>
        <v>Good</v>
      </c>
      <c r="Z179" t="str">
        <f>IFERROR(__xludf.DUMMYFUNCTION("""COMPUTED_VALUE"""),"Good")</f>
        <v>Good</v>
      </c>
      <c r="AA179" t="str">
        <f>IFERROR(__xludf.DUMMYFUNCTION("""COMPUTED_VALUE"""),"Good")</f>
        <v>Good</v>
      </c>
      <c r="AB179" t="str">
        <f>IFERROR(__xludf.DUMMYFUNCTION("""COMPUTED_VALUE"""),"Good")</f>
        <v>Good</v>
      </c>
      <c r="AC179" t="str">
        <f>IFERROR(__xludf.DUMMYFUNCTION("""COMPUTED_VALUE"""),"Good")</f>
        <v>Good</v>
      </c>
      <c r="AE179" s="11"/>
      <c r="AF179" t="s">
        <v>32</v>
      </c>
      <c r="AG179" s="17" t="s">
        <v>128</v>
      </c>
      <c r="AH179" s="23">
        <v>0.5104166666666666</v>
      </c>
      <c r="AI179" s="12" t="s">
        <v>482</v>
      </c>
      <c r="AJ179" s="19" t="s">
        <v>483</v>
      </c>
      <c r="AK179" s="20" t="str">
        <f>HYPERLINK("https://docs.google.com/document/d/1vhbaWsznObDXbxBjYZJm-c5mH0w0JZvCBOp-BzfpDKI/edit?usp=drivesdk","James Tomazinis - 10/22/2018 8:30 AM")</f>
        <v>James Tomazinis - 10/22/2018 8:30 AM</v>
      </c>
      <c r="AL179" s="12" t="s">
        <v>484</v>
      </c>
    </row>
    <row r="180">
      <c r="A180" s="10">
        <f>IFERROR(__xludf.DUMMYFUNCTION("""COMPUTED_VALUE"""),43395.561414131946)</f>
        <v>43395.56141</v>
      </c>
      <c r="B180" s="11" t="str">
        <f>IFERROR(__xludf.DUMMYFUNCTION("""COMPUTED_VALUE"""),"Silas Tanner")</f>
        <v>Silas Tanner</v>
      </c>
      <c r="C180" t="str">
        <f>IFERROR(__xludf.DUMMYFUNCTION("""COMPUTED_VALUE"""),"silas.tanner@floridadep.gov")</f>
        <v>silas.tanner@floridadep.gov</v>
      </c>
      <c r="D180" t="str">
        <f>IFERROR(__xludf.DUMMYFUNCTION("""COMPUTED_VALUE"""),"Research/Nikki")</f>
        <v>Research/Nikki</v>
      </c>
      <c r="E180" t="str">
        <f>IFERROR(__xludf.DUMMYFUNCTION("""COMPUTED_VALUE"""),"Vilano county ramp")</f>
        <v>Vilano county ramp</v>
      </c>
      <c r="F180" s="13">
        <f>IFERROR(__xludf.DUMMYFUNCTION("""COMPUTED_VALUE"""),0.3333333333321207)</f>
        <v>0.3333333333</v>
      </c>
      <c r="G180" s="14">
        <f>IFERROR(__xludf.DUMMYFUNCTION("""COMPUTED_VALUE"""),43396.0)</f>
        <v>43396</v>
      </c>
      <c r="H180" t="str">
        <f>IFERROR(__xludf.DUMMYFUNCTION("""COMPUTED_VALUE"""),"ICW - SWMP sites")</f>
        <v>ICW - SWMP sites</v>
      </c>
      <c r="I180" s="15">
        <f>IFERROR(__xludf.DUMMYFUNCTION("""COMPUTED_VALUE"""),0.5416666666678793)</f>
        <v>0.5416666667</v>
      </c>
      <c r="J180" s="16">
        <f>IFERROR(__xludf.DUMMYFUNCTION("""COMPUTED_VALUE"""),43396.5625)</f>
        <v>43396.5625</v>
      </c>
      <c r="K180" t="str">
        <f>IFERROR(__xludf.DUMMYFUNCTION("""COMPUTED_VALUE"""),"20ft Sea Ark FL5351SJ UNF 2015")</f>
        <v>20ft Sea Ark FL5351SJ UNF 2015</v>
      </c>
      <c r="M180" t="str">
        <f>IFERROR(__xludf.DUMMYFUNCTION("""COMPUTED_VALUE"""),"Ford F150 2015 (White) - DEP21448")</f>
        <v>Ford F150 2015 (White) - DEP21448</v>
      </c>
      <c r="N180" t="str">
        <f>IFERROR(__xludf.DUMMYFUNCTION("""COMPUTED_VALUE"""),"Silas Tanner, (904) 483-8423, Jimmy Tomazinis, (904) 547-0094")</f>
        <v>Silas Tanner, (904) 483-8423, Jimmy Tomazinis, (904) 547-0094</v>
      </c>
      <c r="O180" t="str">
        <f>IFERROR(__xludf.DUMMYFUNCTION("""COMPUTED_VALUE"""),"Hunter Mathews, Tatum Theodore")</f>
        <v>Hunter Mathews, Tatum Theodore</v>
      </c>
      <c r="P180" t="str">
        <f>IFERROR(__xludf.DUMMYFUNCTION("""COMPUTED_VALUE"""),"Silas Tanner")</f>
        <v>Silas Tanner</v>
      </c>
      <c r="Q180" t="str">
        <f>IFERROR(__xludf.DUMMYFUNCTION("""COMPUTED_VALUE"""),"Good")</f>
        <v>Good</v>
      </c>
      <c r="R180" t="str">
        <f>IFERROR(__xludf.DUMMYFUNCTION("""COMPUTED_VALUE"""),"Good")</f>
        <v>Good</v>
      </c>
      <c r="S180" t="str">
        <f>IFERROR(__xludf.DUMMYFUNCTION("""COMPUTED_VALUE"""),"Good")</f>
        <v>Good</v>
      </c>
      <c r="T180" t="str">
        <f>IFERROR(__xludf.DUMMYFUNCTION("""COMPUTED_VALUE"""),"Good")</f>
        <v>Good</v>
      </c>
      <c r="U180" t="str">
        <f>IFERROR(__xludf.DUMMYFUNCTION("""COMPUTED_VALUE"""),"Good")</f>
        <v>Good</v>
      </c>
      <c r="V180" t="str">
        <f>IFERROR(__xludf.DUMMYFUNCTION("""COMPUTED_VALUE"""),"Good")</f>
        <v>Good</v>
      </c>
      <c r="W180" t="str">
        <f>IFERROR(__xludf.DUMMYFUNCTION("""COMPUTED_VALUE"""),"Good")</f>
        <v>Good</v>
      </c>
      <c r="X180" t="str">
        <f>IFERROR(__xludf.DUMMYFUNCTION("""COMPUTED_VALUE"""),"Good")</f>
        <v>Good</v>
      </c>
      <c r="Y180" t="str">
        <f>IFERROR(__xludf.DUMMYFUNCTION("""COMPUTED_VALUE"""),"Good")</f>
        <v>Good</v>
      </c>
      <c r="Z180" t="str">
        <f>IFERROR(__xludf.DUMMYFUNCTION("""COMPUTED_VALUE"""),"Good")</f>
        <v>Good</v>
      </c>
      <c r="AA180" t="str">
        <f>IFERROR(__xludf.DUMMYFUNCTION("""COMPUTED_VALUE"""),"Good")</f>
        <v>Good</v>
      </c>
      <c r="AB180" t="str">
        <f>IFERROR(__xludf.DUMMYFUNCTION("""COMPUTED_VALUE"""),"Good")</f>
        <v>Good</v>
      </c>
      <c r="AC180" t="str">
        <f>IFERROR(__xludf.DUMMYFUNCTION("""COMPUTED_VALUE"""),"Good")</f>
        <v>Good</v>
      </c>
      <c r="AE180" s="11"/>
      <c r="AF180" t="s">
        <v>218</v>
      </c>
      <c r="AG180" s="17" t="s">
        <v>18</v>
      </c>
      <c r="AH180" s="12">
        <v>1230.0</v>
      </c>
      <c r="AI180" s="12" t="s">
        <v>485</v>
      </c>
      <c r="AJ180" s="19" t="s">
        <v>486</v>
      </c>
      <c r="AK180" s="20" t="str">
        <f>HYPERLINK("https://docs.google.com/document/d/1ZNjLR5XjuWTsIS-2tFfq5tQYsgGh-MACWxn2ZoDEOuU/edit?usp=drivesdk","Silas Tanner - 10/23/2018 8:00 AM")</f>
        <v>Silas Tanner - 10/23/2018 8:00 AM</v>
      </c>
      <c r="AL180" s="12" t="s">
        <v>487</v>
      </c>
    </row>
    <row r="181">
      <c r="A181" s="10">
        <f>IFERROR(__xludf.DUMMYFUNCTION("""COMPUTED_VALUE"""),43402.268219039346)</f>
        <v>43402.26822</v>
      </c>
      <c r="B181" s="11" t="str">
        <f>IFERROR(__xludf.DUMMYFUNCTION("""COMPUTED_VALUE"""),"Pamela Marcum")</f>
        <v>Pamela Marcum</v>
      </c>
      <c r="C181" t="str">
        <f>IFERROR(__xludf.DUMMYFUNCTION("""COMPUTED_VALUE"""),"Pamela.Marcum@Dep.state.fl.us")</f>
        <v>Pamela.Marcum@Dep.state.fl.us</v>
      </c>
      <c r="D181" t="str">
        <f>IFERROR(__xludf.DUMMYFUNCTION("""COMPUTED_VALUE"""),"Research/Nikki")</f>
        <v>Research/Nikki</v>
      </c>
      <c r="E181" t="str">
        <f>IFERROR(__xludf.DUMMYFUNCTION("""COMPUTED_VALUE"""),"Palm Valley")</f>
        <v>Palm Valley</v>
      </c>
      <c r="F181" s="13">
        <f>IFERROR(__xludf.DUMMYFUNCTION("""COMPUTED_VALUE"""),0.2916666666678793)</f>
        <v>0.2916666667</v>
      </c>
      <c r="G181" s="14">
        <f>IFERROR(__xludf.DUMMYFUNCTION("""COMPUTED_VALUE"""),43402.0)</f>
        <v>43402</v>
      </c>
      <c r="H181" t="str">
        <f>IFERROR(__xludf.DUMMYFUNCTION("""COMPUTED_VALUE"""),"Angelini Sites")</f>
        <v>Angelini Sites</v>
      </c>
      <c r="I181" s="15">
        <f>IFERROR(__xludf.DUMMYFUNCTION("""COMPUTED_VALUE"""),0.5416666666678793)</f>
        <v>0.5416666667</v>
      </c>
      <c r="J181" s="16">
        <f>IFERROR(__xludf.DUMMYFUNCTION("""COMPUTED_VALUE"""),43402.5625)</f>
        <v>43402.5625</v>
      </c>
      <c r="K181" t="str">
        <f>IFERROR(__xludf.DUMMYFUNCTION("""COMPUTED_VALUE"""),"20ft Sea Ark FL5351SJ UNF 2015")</f>
        <v>20ft Sea Ark FL5351SJ UNF 2015</v>
      </c>
      <c r="M181" t="str">
        <f>IFERROR(__xludf.DUMMYFUNCTION("""COMPUTED_VALUE"""),"Ford F150 2015 (White) - DEP21448")</f>
        <v>Ford F150 2015 (White) - DEP21448</v>
      </c>
      <c r="N181" t="str">
        <f>IFERROR(__xludf.DUMMYFUNCTION("""COMPUTED_VALUE"""),"Pam Marcum, (480) 332-5414")</f>
        <v>Pam Marcum, (480) 332-5414</v>
      </c>
      <c r="O181" t="str">
        <f>IFERROR(__xludf.DUMMYFUNCTION("""COMPUTED_VALUE"""),"Hunter Matthews, Ray Grizzle, Melissa Southwell, Craig Tinus, Krystin")</f>
        <v>Hunter Matthews, Ray Grizzle, Melissa Southwell, Craig Tinus, Krystin</v>
      </c>
      <c r="P181" t="str">
        <f>IFERROR(__xludf.DUMMYFUNCTION("""COMPUTED_VALUE"""),"Pam Marcum")</f>
        <v>Pam Marcum</v>
      </c>
      <c r="Q181" t="str">
        <f>IFERROR(__xludf.DUMMYFUNCTION("""COMPUTED_VALUE"""),"Good")</f>
        <v>Good</v>
      </c>
      <c r="R181" t="str">
        <f>IFERROR(__xludf.DUMMYFUNCTION("""COMPUTED_VALUE"""),"Good")</f>
        <v>Good</v>
      </c>
      <c r="S181" t="str">
        <f>IFERROR(__xludf.DUMMYFUNCTION("""COMPUTED_VALUE"""),"Good")</f>
        <v>Good</v>
      </c>
      <c r="T181" t="str">
        <f>IFERROR(__xludf.DUMMYFUNCTION("""COMPUTED_VALUE"""),"Good")</f>
        <v>Good</v>
      </c>
      <c r="U181" t="str">
        <f>IFERROR(__xludf.DUMMYFUNCTION("""COMPUTED_VALUE"""),"Good")</f>
        <v>Good</v>
      </c>
      <c r="V181" t="str">
        <f>IFERROR(__xludf.DUMMYFUNCTION("""COMPUTED_VALUE"""),"Good")</f>
        <v>Good</v>
      </c>
      <c r="W181" t="str">
        <f>IFERROR(__xludf.DUMMYFUNCTION("""COMPUTED_VALUE"""),"Good")</f>
        <v>Good</v>
      </c>
      <c r="X181" t="str">
        <f>IFERROR(__xludf.DUMMYFUNCTION("""COMPUTED_VALUE"""),"Good")</f>
        <v>Good</v>
      </c>
      <c r="Y181" t="str">
        <f>IFERROR(__xludf.DUMMYFUNCTION("""COMPUTED_VALUE"""),"Good")</f>
        <v>Good</v>
      </c>
      <c r="Z181" t="str">
        <f>IFERROR(__xludf.DUMMYFUNCTION("""COMPUTED_VALUE"""),"Good")</f>
        <v>Good</v>
      </c>
      <c r="AA181" t="str">
        <f>IFERROR(__xludf.DUMMYFUNCTION("""COMPUTED_VALUE"""),"Good")</f>
        <v>Good</v>
      </c>
      <c r="AB181" t="str">
        <f>IFERROR(__xludf.DUMMYFUNCTION("""COMPUTED_VALUE"""),"Good")</f>
        <v>Good</v>
      </c>
      <c r="AC181" t="str">
        <f>IFERROR(__xludf.DUMMYFUNCTION("""COMPUTED_VALUE"""),"Good")</f>
        <v>Good</v>
      </c>
      <c r="AE181" s="11"/>
      <c r="AF181" t="s">
        <v>218</v>
      </c>
      <c r="AG181" s="17" t="s">
        <v>18</v>
      </c>
      <c r="AH181" s="12">
        <v>1205.0</v>
      </c>
      <c r="AI181" s="12" t="s">
        <v>488</v>
      </c>
      <c r="AJ181" s="19" t="s">
        <v>489</v>
      </c>
      <c r="AK181" s="20" t="str">
        <f>HYPERLINK("https://docs.google.com/document/d/1KDW4JIx-TDLtUs2oIxpu-004J3DLKclKRdUK1ysIZ4w/edit?usp=drivesdk","Pamela Marcum - 10/29/2018 7:00 AM")</f>
        <v>Pamela Marcum - 10/29/2018 7:00 AM</v>
      </c>
      <c r="AL181" s="12" t="s">
        <v>490</v>
      </c>
    </row>
    <row r="182">
      <c r="A182" s="10">
        <f>IFERROR(__xludf.DUMMYFUNCTION("""COMPUTED_VALUE"""),43403.26237045139)</f>
        <v>43403.26237</v>
      </c>
      <c r="B182" s="11" t="str">
        <f>IFERROR(__xludf.DUMMYFUNCTION("""COMPUTED_VALUE"""),"Pamela Marcum")</f>
        <v>Pamela Marcum</v>
      </c>
      <c r="C182" t="str">
        <f>IFERROR(__xludf.DUMMYFUNCTION("""COMPUTED_VALUE"""),"Pamela.Marcum@dep.state.fl.us")</f>
        <v>Pamela.Marcum@dep.state.fl.us</v>
      </c>
      <c r="D182" t="str">
        <f>IFERROR(__xludf.DUMMYFUNCTION("""COMPUTED_VALUE"""),"Research/Nikki")</f>
        <v>Research/Nikki</v>
      </c>
      <c r="E182" t="str">
        <f>IFERROR(__xludf.DUMMYFUNCTION("""COMPUTED_VALUE"""),"Palm Valley/210")</f>
        <v>Palm Valley/210</v>
      </c>
      <c r="F182" s="13">
        <f>IFERROR(__xludf.DUMMYFUNCTION("""COMPUTED_VALUE"""),0.2916666666678793)</f>
        <v>0.2916666667</v>
      </c>
      <c r="G182" s="14">
        <f>IFERROR(__xludf.DUMMYFUNCTION("""COMPUTED_VALUE"""),43403.0)</f>
        <v>43403</v>
      </c>
      <c r="H182" t="str">
        <f>IFERROR(__xludf.DUMMYFUNCTION("""COMPUTED_VALUE"""),"Angelini Sites")</f>
        <v>Angelini Sites</v>
      </c>
      <c r="I182" s="15">
        <f>IFERROR(__xludf.DUMMYFUNCTION("""COMPUTED_VALUE"""),0.5416666666678793)</f>
        <v>0.5416666667</v>
      </c>
      <c r="J182" s="16">
        <f>IFERROR(__xludf.DUMMYFUNCTION("""COMPUTED_VALUE"""),43403.5625)</f>
        <v>43403.5625</v>
      </c>
      <c r="K182" t="str">
        <f>IFERROR(__xludf.DUMMYFUNCTION("""COMPUTED_VALUE"""),"20ft Sea Ark FL5351SJ UNF 2015")</f>
        <v>20ft Sea Ark FL5351SJ UNF 2015</v>
      </c>
      <c r="M182" t="str">
        <f>IFERROR(__xludf.DUMMYFUNCTION("""COMPUTED_VALUE"""),"Ford F150 2015 (White) - DEP21448")</f>
        <v>Ford F150 2015 (White) - DEP21448</v>
      </c>
      <c r="N182" t="str">
        <f>IFERROR(__xludf.DUMMYFUNCTION("""COMPUTED_VALUE"""),"Pam Marcum, (480) 332-5414")</f>
        <v>Pam Marcum, (480) 332-5414</v>
      </c>
      <c r="O182" t="str">
        <f>IFERROR(__xludf.DUMMYFUNCTION("""COMPUTED_VALUE"""),"Krystin, Ray Grizzle, Craig Tinus")</f>
        <v>Krystin, Ray Grizzle, Craig Tinus</v>
      </c>
      <c r="P182" t="str">
        <f>IFERROR(__xludf.DUMMYFUNCTION("""COMPUTED_VALUE"""),"Pam")</f>
        <v>Pam</v>
      </c>
      <c r="Q182" t="str">
        <f>IFERROR(__xludf.DUMMYFUNCTION("""COMPUTED_VALUE"""),"Good")</f>
        <v>Good</v>
      </c>
      <c r="R182" t="str">
        <f>IFERROR(__xludf.DUMMYFUNCTION("""COMPUTED_VALUE"""),"Good")</f>
        <v>Good</v>
      </c>
      <c r="S182" t="str">
        <f>IFERROR(__xludf.DUMMYFUNCTION("""COMPUTED_VALUE"""),"Good")</f>
        <v>Good</v>
      </c>
      <c r="T182" t="str">
        <f>IFERROR(__xludf.DUMMYFUNCTION("""COMPUTED_VALUE"""),"Good")</f>
        <v>Good</v>
      </c>
      <c r="U182" t="str">
        <f>IFERROR(__xludf.DUMMYFUNCTION("""COMPUTED_VALUE"""),"Good")</f>
        <v>Good</v>
      </c>
      <c r="V182" t="str">
        <f>IFERROR(__xludf.DUMMYFUNCTION("""COMPUTED_VALUE"""),"Good")</f>
        <v>Good</v>
      </c>
      <c r="W182" t="str">
        <f>IFERROR(__xludf.DUMMYFUNCTION("""COMPUTED_VALUE"""),"Good")</f>
        <v>Good</v>
      </c>
      <c r="X182" t="str">
        <f>IFERROR(__xludf.DUMMYFUNCTION("""COMPUTED_VALUE"""),"Good")</f>
        <v>Good</v>
      </c>
      <c r="Y182" t="str">
        <f>IFERROR(__xludf.DUMMYFUNCTION("""COMPUTED_VALUE"""),"Good")</f>
        <v>Good</v>
      </c>
      <c r="Z182" t="str">
        <f>IFERROR(__xludf.DUMMYFUNCTION("""COMPUTED_VALUE"""),"Good")</f>
        <v>Good</v>
      </c>
      <c r="AA182" t="str">
        <f>IFERROR(__xludf.DUMMYFUNCTION("""COMPUTED_VALUE"""),"Good")</f>
        <v>Good</v>
      </c>
      <c r="AB182" t="str">
        <f>IFERROR(__xludf.DUMMYFUNCTION("""COMPUTED_VALUE"""),"Good")</f>
        <v>Good</v>
      </c>
      <c r="AC182" t="str">
        <f>IFERROR(__xludf.DUMMYFUNCTION("""COMPUTED_VALUE"""),"Good")</f>
        <v>Good</v>
      </c>
      <c r="AE182" s="11"/>
      <c r="AF182" t="s">
        <v>218</v>
      </c>
      <c r="AG182" s="17" t="s">
        <v>18</v>
      </c>
      <c r="AH182" s="12">
        <v>1115.0</v>
      </c>
      <c r="AI182" s="12" t="s">
        <v>491</v>
      </c>
      <c r="AJ182" s="19" t="s">
        <v>492</v>
      </c>
      <c r="AK182" s="20" t="str">
        <f>HYPERLINK("https://docs.google.com/document/d/1Qu9mmZmTv01KNWghm6u4OGUV88UmBjkTWh1ifHFSkZg/edit?usp=drivesdk","Pamela Marcum - 10/30/2018 7:00 AM")</f>
        <v>Pamela Marcum - 10/30/2018 7:00 AM</v>
      </c>
      <c r="AL182" s="12" t="s">
        <v>493</v>
      </c>
    </row>
    <row r="183">
      <c r="A183" s="10">
        <f>IFERROR(__xludf.DUMMYFUNCTION("""COMPUTED_VALUE"""),43404.28307384259)</f>
        <v>43404.28307</v>
      </c>
      <c r="B183" s="11" t="str">
        <f>IFERROR(__xludf.DUMMYFUNCTION("""COMPUTED_VALUE"""),"Pamela Marcum")</f>
        <v>Pamela Marcum</v>
      </c>
      <c r="C183" t="str">
        <f>IFERROR(__xludf.DUMMYFUNCTION("""COMPUTED_VALUE"""),"Pamela.Marcum@dep.state.fl.us")</f>
        <v>Pamela.Marcum@dep.state.fl.us</v>
      </c>
      <c r="D183" t="str">
        <f>IFERROR(__xludf.DUMMYFUNCTION("""COMPUTED_VALUE"""),"Research/Nikki")</f>
        <v>Research/Nikki</v>
      </c>
      <c r="E183" t="str">
        <f>IFERROR(__xludf.DUMMYFUNCTION("""COMPUTED_VALUE"""),"Palm Valley/210")</f>
        <v>Palm Valley/210</v>
      </c>
      <c r="F183" s="13">
        <f>IFERROR(__xludf.DUMMYFUNCTION("""COMPUTED_VALUE"""),0.3125)</f>
        <v>0.3125</v>
      </c>
      <c r="G183" s="14">
        <f>IFERROR(__xludf.DUMMYFUNCTION("""COMPUTED_VALUE"""),43404.0)</f>
        <v>43404</v>
      </c>
      <c r="H183" t="str">
        <f>IFERROR(__xludf.DUMMYFUNCTION("""COMPUTED_VALUE"""),"Pine Island")</f>
        <v>Pine Island</v>
      </c>
      <c r="I183" s="15">
        <f>IFERROR(__xludf.DUMMYFUNCTION("""COMPUTED_VALUE"""),0.5833333333321207)</f>
        <v>0.5833333333</v>
      </c>
      <c r="J183" s="16">
        <f>IFERROR(__xludf.DUMMYFUNCTION("""COMPUTED_VALUE"""),43404.60416666667)</f>
        <v>43404.60417</v>
      </c>
      <c r="K183" t="str">
        <f>IFERROR(__xludf.DUMMYFUNCTION("""COMPUTED_VALUE"""),"20ft Sea Ark FL5351SJ UNF 2015")</f>
        <v>20ft Sea Ark FL5351SJ UNF 2015</v>
      </c>
      <c r="M183" t="str">
        <f>IFERROR(__xludf.DUMMYFUNCTION("""COMPUTED_VALUE"""),"Ford F150 2015 (White) - DEP21448")</f>
        <v>Ford F150 2015 (White) - DEP21448</v>
      </c>
      <c r="N183" t="str">
        <f>IFERROR(__xludf.DUMMYFUNCTION("""COMPUTED_VALUE"""),"Pam Marcum, (480) 332-5414")</f>
        <v>Pam Marcum, (480) 332-5414</v>
      </c>
      <c r="O183" t="str">
        <f>IFERROR(__xludf.DUMMYFUNCTION("""COMPUTED_VALUE"""),"Emma Hanson")</f>
        <v>Emma Hanson</v>
      </c>
      <c r="P183" t="str">
        <f>IFERROR(__xludf.DUMMYFUNCTION("""COMPUTED_VALUE"""),"Pam")</f>
        <v>Pam</v>
      </c>
      <c r="Q183" t="str">
        <f>IFERROR(__xludf.DUMMYFUNCTION("""COMPUTED_VALUE"""),"Good")</f>
        <v>Good</v>
      </c>
      <c r="R183" t="str">
        <f>IFERROR(__xludf.DUMMYFUNCTION("""COMPUTED_VALUE"""),"Good")</f>
        <v>Good</v>
      </c>
      <c r="S183" t="str">
        <f>IFERROR(__xludf.DUMMYFUNCTION("""COMPUTED_VALUE"""),"Good")</f>
        <v>Good</v>
      </c>
      <c r="T183" t="str">
        <f>IFERROR(__xludf.DUMMYFUNCTION("""COMPUTED_VALUE"""),"Good")</f>
        <v>Good</v>
      </c>
      <c r="U183" t="str">
        <f>IFERROR(__xludf.DUMMYFUNCTION("""COMPUTED_VALUE"""),"Good")</f>
        <v>Good</v>
      </c>
      <c r="V183" t="str">
        <f>IFERROR(__xludf.DUMMYFUNCTION("""COMPUTED_VALUE"""),"Good")</f>
        <v>Good</v>
      </c>
      <c r="W183" t="str">
        <f>IFERROR(__xludf.DUMMYFUNCTION("""COMPUTED_VALUE"""),"Good")</f>
        <v>Good</v>
      </c>
      <c r="X183" t="str">
        <f>IFERROR(__xludf.DUMMYFUNCTION("""COMPUTED_VALUE"""),"Good")</f>
        <v>Good</v>
      </c>
      <c r="Y183" t="str">
        <f>IFERROR(__xludf.DUMMYFUNCTION("""COMPUTED_VALUE"""),"Good")</f>
        <v>Good</v>
      </c>
      <c r="Z183" t="str">
        <f>IFERROR(__xludf.DUMMYFUNCTION("""COMPUTED_VALUE"""),"Good")</f>
        <v>Good</v>
      </c>
      <c r="AA183" t="str">
        <f>IFERROR(__xludf.DUMMYFUNCTION("""COMPUTED_VALUE"""),"Good")</f>
        <v>Good</v>
      </c>
      <c r="AB183" t="str">
        <f>IFERROR(__xludf.DUMMYFUNCTION("""COMPUTED_VALUE"""),"Good")</f>
        <v>Good</v>
      </c>
      <c r="AC183" t="str">
        <f>IFERROR(__xludf.DUMMYFUNCTION("""COMPUTED_VALUE"""),"Good")</f>
        <v>Good</v>
      </c>
      <c r="AE183" s="11"/>
      <c r="AF183" t="s">
        <v>218</v>
      </c>
      <c r="AG183" s="17" t="s">
        <v>60</v>
      </c>
      <c r="AH183" s="23">
        <v>0.4791666666666667</v>
      </c>
      <c r="AI183" s="12" t="s">
        <v>494</v>
      </c>
      <c r="AJ183" s="19" t="s">
        <v>495</v>
      </c>
      <c r="AK183" s="20" t="str">
        <f>HYPERLINK("https://docs.google.com/document/d/1Piq9pUUSz179ys6kT1N1gc9p86TbMAxgV-Uv5HnwE5E/edit?usp=drivesdk","Pamela Marcum - 10/31/2018 7:30 AM")</f>
        <v>Pamela Marcum - 10/31/2018 7:30 AM</v>
      </c>
      <c r="AL183" s="12" t="s">
        <v>496</v>
      </c>
    </row>
    <row r="184">
      <c r="A184" s="10">
        <f>IFERROR(__xludf.DUMMYFUNCTION("""COMPUTED_VALUE"""),43404.284795844906)</f>
        <v>43404.2848</v>
      </c>
      <c r="B184" s="11" t="str">
        <f>IFERROR(__xludf.DUMMYFUNCTION("""COMPUTED_VALUE"""),"Ben Mowbray")</f>
        <v>Ben Mowbray</v>
      </c>
      <c r="C184" t="str">
        <f>IFERROR(__xludf.DUMMYFUNCTION("""COMPUTED_VALUE"""),"Ben.Mowbray@dep.state.fl.us")</f>
        <v>Ben.Mowbray@dep.state.fl.us</v>
      </c>
      <c r="D184" t="str">
        <f>IFERROR(__xludf.DUMMYFUNCTION("""COMPUTED_VALUE"""),"Research/Nikki")</f>
        <v>Research/Nikki</v>
      </c>
      <c r="E184" t="str">
        <f>IFERROR(__xludf.DUMMYFUNCTION("""COMPUTED_VALUE"""),"Palm Valley/210")</f>
        <v>Palm Valley/210</v>
      </c>
      <c r="F184" s="13">
        <f>IFERROR(__xludf.DUMMYFUNCTION("""COMPUTED_VALUE"""),0.3125)</f>
        <v>0.3125</v>
      </c>
      <c r="G184" s="14">
        <f>IFERROR(__xludf.DUMMYFUNCTION("""COMPUTED_VALUE"""),43404.0)</f>
        <v>43404</v>
      </c>
      <c r="H184" t="str">
        <f>IFERROR(__xludf.DUMMYFUNCTION("""COMPUTED_VALUE"""),"Pine Island")</f>
        <v>Pine Island</v>
      </c>
      <c r="I184" s="15">
        <f>IFERROR(__xludf.DUMMYFUNCTION("""COMPUTED_VALUE"""),0.5833333333321207)</f>
        <v>0.5833333333</v>
      </c>
      <c r="J184" s="16">
        <f>IFERROR(__xludf.DUMMYFUNCTION("""COMPUTED_VALUE"""),43404.60416666667)</f>
        <v>43404.60417</v>
      </c>
      <c r="K184" t="str">
        <f>IFERROR(__xludf.DUMMYFUNCTION("""COMPUTED_VALUE"""),"F 20ft Sea Ark (Easy 200) FL8534PY DEP21451")</f>
        <v>F 20ft Sea Ark (Easy 200) FL8534PY DEP21451</v>
      </c>
      <c r="M184" t="str">
        <f>IFERROR(__xludf.DUMMYFUNCTION("""COMPUTED_VALUE"""),"Ford F150 2008 - DEP18041 (SWMP Thing)")</f>
        <v>Ford F150 2008 - DEP18041 (SWMP Thing)</v>
      </c>
      <c r="N184" t="str">
        <f>IFERROR(__xludf.DUMMYFUNCTION("""COMPUTED_VALUE"""),"Ben Mowbray, (407) 962-8782")</f>
        <v>Ben Mowbray, (407) 962-8782</v>
      </c>
      <c r="O184" t="str">
        <f>IFERROR(__xludf.DUMMYFUNCTION("""COMPUTED_VALUE"""),"Craig Tinus, Melissa Southwell, Jessica Veenstra, Ray Grizzle, Krystin Ward")</f>
        <v>Craig Tinus, Melissa Southwell, Jessica Veenstra, Ray Grizzle, Krystin Ward</v>
      </c>
      <c r="P184" t="str">
        <f>IFERROR(__xludf.DUMMYFUNCTION("""COMPUTED_VALUE"""),"Ben")</f>
        <v>Ben</v>
      </c>
      <c r="Q184" t="str">
        <f>IFERROR(__xludf.DUMMYFUNCTION("""COMPUTED_VALUE"""),"Good")</f>
        <v>Good</v>
      </c>
      <c r="R184" t="str">
        <f>IFERROR(__xludf.DUMMYFUNCTION("""COMPUTED_VALUE"""),"Good")</f>
        <v>Good</v>
      </c>
      <c r="S184" t="str">
        <f>IFERROR(__xludf.DUMMYFUNCTION("""COMPUTED_VALUE"""),"Good")</f>
        <v>Good</v>
      </c>
      <c r="T184" t="str">
        <f>IFERROR(__xludf.DUMMYFUNCTION("""COMPUTED_VALUE"""),"Good")</f>
        <v>Good</v>
      </c>
      <c r="U184" t="str">
        <f>IFERROR(__xludf.DUMMYFUNCTION("""COMPUTED_VALUE"""),"Good")</f>
        <v>Good</v>
      </c>
      <c r="V184" t="str">
        <f>IFERROR(__xludf.DUMMYFUNCTION("""COMPUTED_VALUE"""),"Good")</f>
        <v>Good</v>
      </c>
      <c r="W184" t="str">
        <f>IFERROR(__xludf.DUMMYFUNCTION("""COMPUTED_VALUE"""),"Good")</f>
        <v>Good</v>
      </c>
      <c r="X184" t="str">
        <f>IFERROR(__xludf.DUMMYFUNCTION("""COMPUTED_VALUE"""),"Good")</f>
        <v>Good</v>
      </c>
      <c r="Y184" t="str">
        <f>IFERROR(__xludf.DUMMYFUNCTION("""COMPUTED_VALUE"""),"Good")</f>
        <v>Good</v>
      </c>
      <c r="Z184" t="str">
        <f>IFERROR(__xludf.DUMMYFUNCTION("""COMPUTED_VALUE"""),"Good")</f>
        <v>Good</v>
      </c>
      <c r="AA184" t="str">
        <f>IFERROR(__xludf.DUMMYFUNCTION("""COMPUTED_VALUE"""),"Good")</f>
        <v>Good</v>
      </c>
      <c r="AB184" t="str">
        <f>IFERROR(__xludf.DUMMYFUNCTION("""COMPUTED_VALUE"""),"Good")</f>
        <v>Good</v>
      </c>
      <c r="AC184" t="str">
        <f>IFERROR(__xludf.DUMMYFUNCTION("""COMPUTED_VALUE"""),"Good")</f>
        <v>Good</v>
      </c>
      <c r="AE184" s="11"/>
      <c r="AF184" t="s">
        <v>218</v>
      </c>
      <c r="AG184" s="17" t="s">
        <v>128</v>
      </c>
      <c r="AH184" s="23">
        <v>0.4791666666666667</v>
      </c>
      <c r="AI184" s="12" t="s">
        <v>497</v>
      </c>
      <c r="AJ184" s="19" t="s">
        <v>498</v>
      </c>
      <c r="AK184" s="20" t="str">
        <f>HYPERLINK("https://docs.google.com/document/d/1yRmCu21DibXxTmzuabRnKsTEkg4ImN6YDeiFUo9b1mQ/edit?usp=drivesdk","Ben Mowbray - 10/31/2018 7:30 AM")</f>
        <v>Ben Mowbray - 10/31/2018 7:30 AM</v>
      </c>
      <c r="AL184" s="12" t="s">
        <v>499</v>
      </c>
    </row>
    <row r="185">
      <c r="A185" s="10">
        <f>IFERROR(__xludf.DUMMYFUNCTION("""COMPUTED_VALUE"""),43404.48634444445)</f>
        <v>43404.48634</v>
      </c>
      <c r="B185" s="11" t="str">
        <f>IFERROR(__xludf.DUMMYFUNCTION("""COMPUTED_VALUE"""),"Silas Tanner")</f>
        <v>Silas Tanner</v>
      </c>
      <c r="C185" t="str">
        <f>IFERROR(__xludf.DUMMYFUNCTION("""COMPUTED_VALUE"""),"silas.tanner@floridadep.gov")</f>
        <v>silas.tanner@floridadep.gov</v>
      </c>
      <c r="D185" t="str">
        <f>IFERROR(__xludf.DUMMYFUNCTION("""COMPUTED_VALUE"""),"Research/Nikki")</f>
        <v>Research/Nikki</v>
      </c>
      <c r="E185" t="str">
        <f>IFERROR(__xludf.DUMMYFUNCTION("""COMPUTED_VALUE"""),"Crane Ramp")</f>
        <v>Crane Ramp</v>
      </c>
      <c r="F185" s="13">
        <f>IFERROR(__xludf.DUMMYFUNCTION("""COMPUTED_VALUE"""),0.5104166666678793)</f>
        <v>0.5104166667</v>
      </c>
      <c r="G185" s="14">
        <f>IFERROR(__xludf.DUMMYFUNCTION("""COMPUTED_VALUE"""),43404.0)</f>
        <v>43404</v>
      </c>
      <c r="H185" t="str">
        <f>IFERROR(__xludf.DUMMYFUNCTION("""COMPUTED_VALUE"""),"ICW - Marsh Creek aka ""Gabby's Creek""")</f>
        <v>ICW - Marsh Creek aka "Gabby's Creek"</v>
      </c>
      <c r="I185" s="15">
        <f>IFERROR(__xludf.DUMMYFUNCTION("""COMPUTED_VALUE"""),0.6875)</f>
        <v>0.6875</v>
      </c>
      <c r="J185" s="16">
        <f>IFERROR(__xludf.DUMMYFUNCTION("""COMPUTED_VALUE"""),43404.70833333333)</f>
        <v>43404.70833</v>
      </c>
      <c r="K185" t="str">
        <f>IFERROR(__xludf.DUMMYFUNCTION("""COMPUTED_VALUE"""),"17ft Skill FL0642GW DEP07239")</f>
        <v>17ft Skill FL0642GW DEP07239</v>
      </c>
      <c r="M185" t="str">
        <f>IFERROR(__xludf.DUMMYFUNCTION("""COMPUTED_VALUE"""),"Ford F250 2017 (Moby Dix) - DEP0021578")</f>
        <v>Ford F250 2017 (Moby Dix) - DEP0021578</v>
      </c>
      <c r="N185" t="str">
        <f>IFERROR(__xludf.DUMMYFUNCTION("""COMPUTED_VALUE"""),"Silas Tanner, (904) 483-8423")</f>
        <v>Silas Tanner, (904) 483-8423</v>
      </c>
      <c r="O185" t="str">
        <f>IFERROR(__xludf.DUMMYFUNCTION("""COMPUTED_VALUE"""),"Gabriela Canas, (904) 891-9743, Alee")</f>
        <v>Gabriela Canas, (904) 891-9743, Alee</v>
      </c>
      <c r="P185" t="str">
        <f>IFERROR(__xludf.DUMMYFUNCTION("""COMPUTED_VALUE"""),"Tanner")</f>
        <v>Tanner</v>
      </c>
      <c r="Q185" t="str">
        <f>IFERROR(__xludf.DUMMYFUNCTION("""COMPUTED_VALUE"""),"Good")</f>
        <v>Good</v>
      </c>
      <c r="R185" t="str">
        <f>IFERROR(__xludf.DUMMYFUNCTION("""COMPUTED_VALUE"""),"Good")</f>
        <v>Good</v>
      </c>
      <c r="S185" t="str">
        <f>IFERROR(__xludf.DUMMYFUNCTION("""COMPUTED_VALUE"""),"Good")</f>
        <v>Good</v>
      </c>
      <c r="T185" t="str">
        <f>IFERROR(__xludf.DUMMYFUNCTION("""COMPUTED_VALUE"""),"Good")</f>
        <v>Good</v>
      </c>
      <c r="U185" t="str">
        <f>IFERROR(__xludf.DUMMYFUNCTION("""COMPUTED_VALUE"""),"Good")</f>
        <v>Good</v>
      </c>
      <c r="V185" t="str">
        <f>IFERROR(__xludf.DUMMYFUNCTION("""COMPUTED_VALUE"""),"Good")</f>
        <v>Good</v>
      </c>
      <c r="W185" t="str">
        <f>IFERROR(__xludf.DUMMYFUNCTION("""COMPUTED_VALUE"""),"Good")</f>
        <v>Good</v>
      </c>
      <c r="X185" t="str">
        <f>IFERROR(__xludf.DUMMYFUNCTION("""COMPUTED_VALUE"""),"Good")</f>
        <v>Good</v>
      </c>
      <c r="Y185" t="str">
        <f>IFERROR(__xludf.DUMMYFUNCTION("""COMPUTED_VALUE"""),"Good")</f>
        <v>Good</v>
      </c>
      <c r="Z185" t="str">
        <f>IFERROR(__xludf.DUMMYFUNCTION("""COMPUTED_VALUE"""),"Good")</f>
        <v>Good</v>
      </c>
      <c r="AA185" t="str">
        <f>IFERROR(__xludf.DUMMYFUNCTION("""COMPUTED_VALUE"""),"Good")</f>
        <v>Good</v>
      </c>
      <c r="AB185" t="str">
        <f>IFERROR(__xludf.DUMMYFUNCTION("""COMPUTED_VALUE"""),"Good")</f>
        <v>Good</v>
      </c>
      <c r="AC185" t="str">
        <f>IFERROR(__xludf.DUMMYFUNCTION("""COMPUTED_VALUE"""),"Good")</f>
        <v>Good</v>
      </c>
      <c r="AE185" s="11"/>
      <c r="AF185" t="s">
        <v>218</v>
      </c>
      <c r="AG185" s="17" t="s">
        <v>43</v>
      </c>
      <c r="AH185" s="12">
        <v>1608.0</v>
      </c>
      <c r="AI185" s="12" t="s">
        <v>500</v>
      </c>
      <c r="AJ185" s="19" t="s">
        <v>501</v>
      </c>
      <c r="AK185" s="20" t="str">
        <f>HYPERLINK("https://docs.google.com/document/d/1RX_gUfr2Cwzo06Md2uxfQ1lOEGgjQtJf8J9lleJZCOQ/edit?usp=drivesdk","Silas Tanner - 10/31/2018 12:15 PM")</f>
        <v>Silas Tanner - 10/31/2018 12:15 PM</v>
      </c>
      <c r="AL185" s="12" t="s">
        <v>502</v>
      </c>
    </row>
    <row r="186">
      <c r="A186" s="10">
        <f>IFERROR(__xludf.DUMMYFUNCTION("""COMPUTED_VALUE"""),43405.27696858797)</f>
        <v>43405.27697</v>
      </c>
      <c r="B186" s="11" t="str">
        <f>IFERROR(__xludf.DUMMYFUNCTION("""COMPUTED_VALUE"""),"Ben Mowbray")</f>
        <v>Ben Mowbray</v>
      </c>
      <c r="C186" t="str">
        <f>IFERROR(__xludf.DUMMYFUNCTION("""COMPUTED_VALUE"""),"ben.mowbray@dep.state.fl.us")</f>
        <v>ben.mowbray@dep.state.fl.us</v>
      </c>
      <c r="D186" t="str">
        <f>IFERROR(__xludf.DUMMYFUNCTION("""COMPUTED_VALUE"""),"Research/Nikki")</f>
        <v>Research/Nikki</v>
      </c>
      <c r="E186" t="str">
        <f>IFERROR(__xludf.DUMMYFUNCTION("""COMPUTED_VALUE"""),"Anastasia, Shore Dr., Green Rd., Washington Oaks")</f>
        <v>Anastasia, Shore Dr., Green Rd., Washington Oaks</v>
      </c>
      <c r="F186" s="13">
        <f>IFERROR(__xludf.DUMMYFUNCTION("""COMPUTED_VALUE"""),0.3194444444452529)</f>
        <v>0.3194444444</v>
      </c>
      <c r="G186" s="14">
        <f>IFERROR(__xludf.DUMMYFUNCTION("""COMPUTED_VALUE"""),43405.0)</f>
        <v>43405</v>
      </c>
      <c r="H186" t="str">
        <f>IFERROR(__xludf.DUMMYFUNCTION("""COMPUTED_VALUE"""),"Spat Run")</f>
        <v>Spat Run</v>
      </c>
      <c r="I186" s="15">
        <f>IFERROR(__xludf.DUMMYFUNCTION("""COMPUTED_VALUE"""),0.6041666666678793)</f>
        <v>0.6041666667</v>
      </c>
      <c r="J186" s="16">
        <f>IFERROR(__xludf.DUMMYFUNCTION("""COMPUTED_VALUE"""),43405.65972222222)</f>
        <v>43405.65972</v>
      </c>
      <c r="K186" t="str">
        <f>IFERROR(__xludf.DUMMYFUNCTION("""COMPUTED_VALUE"""),"17ft Skill FL0642GW DEP07239")</f>
        <v>17ft Skill FL0642GW DEP07239</v>
      </c>
      <c r="M186" t="str">
        <f>IFERROR(__xludf.DUMMYFUNCTION("""COMPUTED_VALUE"""),"Ford F250 2017 (Moby Dix) - DEP0021578")</f>
        <v>Ford F250 2017 (Moby Dix) - DEP0021578</v>
      </c>
      <c r="N186" t="str">
        <f>IFERROR(__xludf.DUMMYFUNCTION("""COMPUTED_VALUE"""),"Ben Mowbray, (407) 962-8782")</f>
        <v>Ben Mowbray, (407) 962-8782</v>
      </c>
      <c r="O186" t="str">
        <f>IFERROR(__xludf.DUMMYFUNCTION("""COMPUTED_VALUE"""),"Marissa Raymond, Alicia Bishop")</f>
        <v>Marissa Raymond, Alicia Bishop</v>
      </c>
      <c r="P186" t="str">
        <f>IFERROR(__xludf.DUMMYFUNCTION("""COMPUTED_VALUE"""),"Ben")</f>
        <v>Ben</v>
      </c>
      <c r="Q186" t="str">
        <f>IFERROR(__xludf.DUMMYFUNCTION("""COMPUTED_VALUE"""),"Good")</f>
        <v>Good</v>
      </c>
      <c r="R186" t="str">
        <f>IFERROR(__xludf.DUMMYFUNCTION("""COMPUTED_VALUE"""),"Good")</f>
        <v>Good</v>
      </c>
      <c r="S186" t="str">
        <f>IFERROR(__xludf.DUMMYFUNCTION("""COMPUTED_VALUE"""),"Good")</f>
        <v>Good</v>
      </c>
      <c r="T186" t="str">
        <f>IFERROR(__xludf.DUMMYFUNCTION("""COMPUTED_VALUE"""),"Good")</f>
        <v>Good</v>
      </c>
      <c r="U186" t="str">
        <f>IFERROR(__xludf.DUMMYFUNCTION("""COMPUTED_VALUE"""),"Good")</f>
        <v>Good</v>
      </c>
      <c r="V186" t="str">
        <f>IFERROR(__xludf.DUMMYFUNCTION("""COMPUTED_VALUE"""),"Good")</f>
        <v>Good</v>
      </c>
      <c r="W186" t="str">
        <f>IFERROR(__xludf.DUMMYFUNCTION("""COMPUTED_VALUE"""),"Good")</f>
        <v>Good</v>
      </c>
      <c r="X186" t="str">
        <f>IFERROR(__xludf.DUMMYFUNCTION("""COMPUTED_VALUE"""),"Good")</f>
        <v>Good</v>
      </c>
      <c r="Y186" t="str">
        <f>IFERROR(__xludf.DUMMYFUNCTION("""COMPUTED_VALUE"""),"Good")</f>
        <v>Good</v>
      </c>
      <c r="Z186" t="str">
        <f>IFERROR(__xludf.DUMMYFUNCTION("""COMPUTED_VALUE"""),"Good")</f>
        <v>Good</v>
      </c>
      <c r="AA186" t="str">
        <f>IFERROR(__xludf.DUMMYFUNCTION("""COMPUTED_VALUE"""),"Good")</f>
        <v>Good</v>
      </c>
      <c r="AB186" t="str">
        <f>IFERROR(__xludf.DUMMYFUNCTION("""COMPUTED_VALUE"""),"Good")</f>
        <v>Good</v>
      </c>
      <c r="AC186" t="str">
        <f>IFERROR(__xludf.DUMMYFUNCTION("""COMPUTED_VALUE"""),"Good")</f>
        <v>Good</v>
      </c>
      <c r="AE186" s="11"/>
      <c r="AF186" t="s">
        <v>218</v>
      </c>
      <c r="AG186" s="17" t="s">
        <v>503</v>
      </c>
      <c r="AH186" s="23">
        <v>0.6145833333333334</v>
      </c>
      <c r="AI186" s="12" t="s">
        <v>504</v>
      </c>
      <c r="AJ186" s="19" t="s">
        <v>505</v>
      </c>
      <c r="AK186" s="20" t="str">
        <f>HYPERLINK("https://docs.google.com/document/d/1s3JiwQ-KWulWysULpBhqbwpxDkxCnkakIu_ciCP-aHE/edit?usp=drivesdk","Ben Mowbray - 11/1/2018 7:40 AM")</f>
        <v>Ben Mowbray - 11/1/2018 7:40 AM</v>
      </c>
      <c r="AL186" s="12" t="s">
        <v>506</v>
      </c>
    </row>
    <row r="187">
      <c r="A187" s="10">
        <f>IFERROR(__xludf.DUMMYFUNCTION("""COMPUTED_VALUE"""),43405.32542648148)</f>
        <v>43405.32543</v>
      </c>
      <c r="B187" s="11" t="str">
        <f>IFERROR(__xludf.DUMMYFUNCTION("""COMPUTED_VALUE"""),"Pamela Marcum")</f>
        <v>Pamela Marcum</v>
      </c>
      <c r="C187" t="str">
        <f>IFERROR(__xludf.DUMMYFUNCTION("""COMPUTED_VALUE"""),"Pamela.Marcum@Dep.state.fl.us")</f>
        <v>Pamela.Marcum@Dep.state.fl.us</v>
      </c>
      <c r="D187" t="str">
        <f>IFERROR(__xludf.DUMMYFUNCTION("""COMPUTED_VALUE"""),"Research/Nikki")</f>
        <v>Research/Nikki</v>
      </c>
      <c r="E187" t="str">
        <f>IFERROR(__xludf.DUMMYFUNCTION("""COMPUTED_VALUE"""),"Aunt Kate's")</f>
        <v>Aunt Kate's</v>
      </c>
      <c r="F187" s="13">
        <f>IFERROR(__xludf.DUMMYFUNCTION("""COMPUTED_VALUE"""),0.3333333333321207)</f>
        <v>0.3333333333</v>
      </c>
      <c r="G187" s="14">
        <f>IFERROR(__xludf.DUMMYFUNCTION("""COMPUTED_VALUE"""),43405.0)</f>
        <v>43405</v>
      </c>
      <c r="H187" t="str">
        <f>IFERROR(__xludf.DUMMYFUNCTION("""COMPUTED_VALUE"""),"Tolomato and Guana Kimbro Sites")</f>
        <v>Tolomato and Guana Kimbro Sites</v>
      </c>
      <c r="I187" s="15">
        <f>IFERROR(__xludf.DUMMYFUNCTION("""COMPUTED_VALUE"""),0.5416666666678793)</f>
        <v>0.5416666667</v>
      </c>
      <c r="J187" s="16">
        <f>IFERROR(__xludf.DUMMYFUNCTION("""COMPUTED_VALUE"""),43405.5625)</f>
        <v>43405.5625</v>
      </c>
      <c r="K187" t="str">
        <f>IFERROR(__xludf.DUMMYFUNCTION("""COMPUTED_VALUE"""),"F 20ft Sea Ark (Easy 200) FL8534PY DEP21451")</f>
        <v>F 20ft Sea Ark (Easy 200) FL8534PY DEP21451</v>
      </c>
      <c r="M187" t="str">
        <f>IFERROR(__xludf.DUMMYFUNCTION("""COMPUTED_VALUE"""),"Ford F150 2008 - DEP18041 (SWMP Thing)")</f>
        <v>Ford F150 2008 - DEP18041 (SWMP Thing)</v>
      </c>
      <c r="N187" t="str">
        <f>IFERROR(__xludf.DUMMYFUNCTION("""COMPUTED_VALUE"""),"Pam Marcum, (480) 332-5414")</f>
        <v>Pam Marcum, (480) 332-5414</v>
      </c>
      <c r="O187" t="str">
        <f>IFERROR(__xludf.DUMMYFUNCTION("""COMPUTED_VALUE"""),"Nicole Peckham, Andre Breef-Pilz, Rodrigo Pavani")</f>
        <v>Nicole Peckham, Andre Breef-Pilz, Rodrigo Pavani</v>
      </c>
      <c r="P187" t="str">
        <f>IFERROR(__xludf.DUMMYFUNCTION("""COMPUTED_VALUE"""),"Pam")</f>
        <v>Pam</v>
      </c>
      <c r="Q187" t="str">
        <f>IFERROR(__xludf.DUMMYFUNCTION("""COMPUTED_VALUE"""),"Good")</f>
        <v>Good</v>
      </c>
      <c r="R187" t="str">
        <f>IFERROR(__xludf.DUMMYFUNCTION("""COMPUTED_VALUE"""),"Good")</f>
        <v>Good</v>
      </c>
      <c r="S187" t="str">
        <f>IFERROR(__xludf.DUMMYFUNCTION("""COMPUTED_VALUE"""),"Good")</f>
        <v>Good</v>
      </c>
      <c r="T187" t="str">
        <f>IFERROR(__xludf.DUMMYFUNCTION("""COMPUTED_VALUE"""),"Good")</f>
        <v>Good</v>
      </c>
      <c r="U187" t="str">
        <f>IFERROR(__xludf.DUMMYFUNCTION("""COMPUTED_VALUE"""),"Good")</f>
        <v>Good</v>
      </c>
      <c r="V187" t="str">
        <f>IFERROR(__xludf.DUMMYFUNCTION("""COMPUTED_VALUE"""),"Good")</f>
        <v>Good</v>
      </c>
      <c r="W187" t="str">
        <f>IFERROR(__xludf.DUMMYFUNCTION("""COMPUTED_VALUE"""),"Good")</f>
        <v>Good</v>
      </c>
      <c r="X187" t="str">
        <f>IFERROR(__xludf.DUMMYFUNCTION("""COMPUTED_VALUE"""),"Good")</f>
        <v>Good</v>
      </c>
      <c r="Y187" t="str">
        <f>IFERROR(__xludf.DUMMYFUNCTION("""COMPUTED_VALUE"""),"Good")</f>
        <v>Good</v>
      </c>
      <c r="Z187" t="str">
        <f>IFERROR(__xludf.DUMMYFUNCTION("""COMPUTED_VALUE"""),"Good")</f>
        <v>Good</v>
      </c>
      <c r="AA187" t="str">
        <f>IFERROR(__xludf.DUMMYFUNCTION("""COMPUTED_VALUE"""),"Good")</f>
        <v>Good</v>
      </c>
      <c r="AB187" t="str">
        <f>IFERROR(__xludf.DUMMYFUNCTION("""COMPUTED_VALUE"""),"Good")</f>
        <v>Good</v>
      </c>
      <c r="AC187" t="str">
        <f>IFERROR(__xludf.DUMMYFUNCTION("""COMPUTED_VALUE"""),"Good")</f>
        <v>Good</v>
      </c>
      <c r="AE187" s="11"/>
      <c r="AF187" t="s">
        <v>218</v>
      </c>
      <c r="AG187" s="12" t="s">
        <v>507</v>
      </c>
      <c r="AH187" s="23">
        <v>0.6180555555555556</v>
      </c>
      <c r="AI187" s="12" t="s">
        <v>508</v>
      </c>
      <c r="AJ187" s="19" t="s">
        <v>509</v>
      </c>
      <c r="AK187" s="20" t="str">
        <f>HYPERLINK("https://docs.google.com/document/d/1wHN4Cbsn47rCWCLLPwvhvv0RSpz-ejSy8O1YNICpliM/edit?usp=drivesdk","Pamela Marcum - 11/1/2018 8:00 AM")</f>
        <v>Pamela Marcum - 11/1/2018 8:00 AM</v>
      </c>
      <c r="AL187" s="12" t="s">
        <v>510</v>
      </c>
    </row>
    <row r="188">
      <c r="A188" s="10">
        <f>IFERROR(__xludf.DUMMYFUNCTION("""COMPUTED_VALUE"""),43405.34657351852)</f>
        <v>43405.34657</v>
      </c>
      <c r="B188" s="11" t="str">
        <f>IFERROR(__xludf.DUMMYFUNCTION("""COMPUTED_VALUE"""),"Silas Tanner")</f>
        <v>Silas Tanner</v>
      </c>
      <c r="C188" t="str">
        <f>IFERROR(__xludf.DUMMYFUNCTION("""COMPUTED_VALUE"""),"Silas.Tanner@dep.state.fl.us")</f>
        <v>Silas.Tanner@dep.state.fl.us</v>
      </c>
      <c r="D188" t="str">
        <f>IFERROR(__xludf.DUMMYFUNCTION("""COMPUTED_VALUE"""),"Research/Nikki")</f>
        <v>Research/Nikki</v>
      </c>
      <c r="E188" t="str">
        <f>IFERROR(__xludf.DUMMYFUNCTION("""COMPUTED_VALUE"""),"Aunt Kate's")</f>
        <v>Aunt Kate's</v>
      </c>
      <c r="F188" s="13">
        <f>IFERROR(__xludf.DUMMYFUNCTION("""COMPUTED_VALUE"""),0.3541666666678793)</f>
        <v>0.3541666667</v>
      </c>
      <c r="G188" s="14">
        <f>IFERROR(__xludf.DUMMYFUNCTION("""COMPUTED_VALUE"""),43405.0)</f>
        <v>43405</v>
      </c>
      <c r="H188" t="str">
        <f>IFERROR(__xludf.DUMMYFUNCTION("""COMPUTED_VALUE"""),"ICW Living Shorelines site 5")</f>
        <v>ICW Living Shorelines site 5</v>
      </c>
      <c r="I188" s="15">
        <f>IFERROR(__xludf.DUMMYFUNCTION("""COMPUTED_VALUE"""),0.6041666666678793)</f>
        <v>0.6041666667</v>
      </c>
      <c r="J188" s="16">
        <f>IFERROR(__xludf.DUMMYFUNCTION("""COMPUTED_VALUE"""),43405.625)</f>
        <v>43405.625</v>
      </c>
      <c r="K188" t="str">
        <f>IFERROR(__xludf.DUMMYFUNCTION("""COMPUTED_VALUE"""),"20ft Sea Ark FL5351SJ UNF 2015")</f>
        <v>20ft Sea Ark FL5351SJ UNF 2015</v>
      </c>
      <c r="M188" t="str">
        <f>IFERROR(__xludf.DUMMYFUNCTION("""COMPUTED_VALUE"""),"Ford F150 2015 (White) - DEP21448")</f>
        <v>Ford F150 2015 (White) - DEP21448</v>
      </c>
      <c r="N188" t="str">
        <f>IFERROR(__xludf.DUMMYFUNCTION("""COMPUTED_VALUE"""),"Silas Tanner, (904) 483-8423")</f>
        <v>Silas Tanner, (904) 483-8423</v>
      </c>
      <c r="O188" t="str">
        <f>IFERROR(__xludf.DUMMYFUNCTION("""COMPUTED_VALUE"""),"Ray Grizzle, Kristen Ward, Emma Hanson, Kelly Smith")</f>
        <v>Ray Grizzle, Kristen Ward, Emma Hanson, Kelly Smith</v>
      </c>
      <c r="P188" t="str">
        <f>IFERROR(__xludf.DUMMYFUNCTION("""COMPUTED_VALUE"""),"Silas Tanner")</f>
        <v>Silas Tanner</v>
      </c>
      <c r="Q188" t="str">
        <f>IFERROR(__xludf.DUMMYFUNCTION("""COMPUTED_VALUE"""),"Good")</f>
        <v>Good</v>
      </c>
      <c r="R188" t="str">
        <f>IFERROR(__xludf.DUMMYFUNCTION("""COMPUTED_VALUE"""),"Good")</f>
        <v>Good</v>
      </c>
      <c r="S188" t="str">
        <f>IFERROR(__xludf.DUMMYFUNCTION("""COMPUTED_VALUE"""),"Good")</f>
        <v>Good</v>
      </c>
      <c r="T188" t="str">
        <f>IFERROR(__xludf.DUMMYFUNCTION("""COMPUTED_VALUE"""),"Good")</f>
        <v>Good</v>
      </c>
      <c r="U188" t="str">
        <f>IFERROR(__xludf.DUMMYFUNCTION("""COMPUTED_VALUE"""),"Good")</f>
        <v>Good</v>
      </c>
      <c r="V188" t="str">
        <f>IFERROR(__xludf.DUMMYFUNCTION("""COMPUTED_VALUE"""),"Good")</f>
        <v>Good</v>
      </c>
      <c r="W188" t="str">
        <f>IFERROR(__xludf.DUMMYFUNCTION("""COMPUTED_VALUE"""),"Good")</f>
        <v>Good</v>
      </c>
      <c r="X188" t="str">
        <f>IFERROR(__xludf.DUMMYFUNCTION("""COMPUTED_VALUE"""),"Good")</f>
        <v>Good</v>
      </c>
      <c r="Y188" t="str">
        <f>IFERROR(__xludf.DUMMYFUNCTION("""COMPUTED_VALUE"""),"Good")</f>
        <v>Good</v>
      </c>
      <c r="Z188" t="str">
        <f>IFERROR(__xludf.DUMMYFUNCTION("""COMPUTED_VALUE"""),"Good")</f>
        <v>Good</v>
      </c>
      <c r="AA188" t="str">
        <f>IFERROR(__xludf.DUMMYFUNCTION("""COMPUTED_VALUE"""),"Good")</f>
        <v>Good</v>
      </c>
      <c r="AB188" t="str">
        <f>IFERROR(__xludf.DUMMYFUNCTION("""COMPUTED_VALUE"""),"Good")</f>
        <v>Good</v>
      </c>
      <c r="AC188" t="str">
        <f>IFERROR(__xludf.DUMMYFUNCTION("""COMPUTED_VALUE"""),"Good")</f>
        <v>Good</v>
      </c>
      <c r="AE188" s="11"/>
      <c r="AF188" t="s">
        <v>218</v>
      </c>
      <c r="AG188" s="12" t="s">
        <v>511</v>
      </c>
      <c r="AH188" s="12">
        <v>1205.0</v>
      </c>
      <c r="AI188" s="12" t="s">
        <v>512</v>
      </c>
      <c r="AJ188" s="19" t="s">
        <v>513</v>
      </c>
      <c r="AK188" s="20" t="str">
        <f>HYPERLINK("https://docs.google.com/document/d/1Rrrw9hXvd2dswIm7DTQzp7Bj3bZQddXoz6ZiVQaAymE/edit?usp=drivesdk","Silas Tanner - 11/1/2018 8:30 AM")</f>
        <v>Silas Tanner - 11/1/2018 8:30 AM</v>
      </c>
      <c r="AL188" s="12" t="s">
        <v>514</v>
      </c>
    </row>
    <row r="189">
      <c r="A189" s="10">
        <f>IFERROR(__xludf.DUMMYFUNCTION("""COMPUTED_VALUE"""),43406.327230243056)</f>
        <v>43406.32723</v>
      </c>
      <c r="B189" s="11" t="str">
        <f>IFERROR(__xludf.DUMMYFUNCTION("""COMPUTED_VALUE"""),"Ben Mowbray")</f>
        <v>Ben Mowbray</v>
      </c>
      <c r="C189" t="str">
        <f>IFERROR(__xludf.DUMMYFUNCTION("""COMPUTED_VALUE"""),"ben.mowbray@dep.state.fl.us")</f>
        <v>ben.mowbray@dep.state.fl.us</v>
      </c>
      <c r="D189" t="str">
        <f>IFERROR(__xludf.DUMMYFUNCTION("""COMPUTED_VALUE"""),"Research/Nikki")</f>
        <v>Research/Nikki</v>
      </c>
      <c r="E189" t="str">
        <f>IFERROR(__xludf.DUMMYFUNCTION("""COMPUTED_VALUE"""),"Douglas Crane")</f>
        <v>Douglas Crane</v>
      </c>
      <c r="F189" s="13">
        <f>IFERROR(__xludf.DUMMYFUNCTION("""COMPUTED_VALUE"""),0.36111111110949423)</f>
        <v>0.3611111111</v>
      </c>
      <c r="G189" s="14">
        <f>IFERROR(__xludf.DUMMYFUNCTION("""COMPUTED_VALUE"""),43406.0)</f>
        <v>43406</v>
      </c>
      <c r="H189" t="str">
        <f>IFERROR(__xludf.DUMMYFUNCTION("""COMPUTED_VALUE"""),"Kimbro SA and SR sites")</f>
        <v>Kimbro SA and SR sites</v>
      </c>
      <c r="I189" s="15">
        <f>IFERROR(__xludf.DUMMYFUNCTION("""COMPUTED_VALUE"""),0.5833333333321207)</f>
        <v>0.5833333333</v>
      </c>
      <c r="J189" s="16">
        <f>IFERROR(__xludf.DUMMYFUNCTION("""COMPUTED_VALUE"""),43406.61111111111)</f>
        <v>43406.61111</v>
      </c>
      <c r="K189" t="str">
        <f>IFERROR(__xludf.DUMMYFUNCTION("""COMPUTED_VALUE"""),"17ft Skill FL0642GW DEP07239")</f>
        <v>17ft Skill FL0642GW DEP07239</v>
      </c>
      <c r="M189" t="str">
        <f>IFERROR(__xludf.DUMMYFUNCTION("""COMPUTED_VALUE"""),"Ford F250 2017 (Moby Dix) - DEP0021578")</f>
        <v>Ford F250 2017 (Moby Dix) - DEP0021578</v>
      </c>
      <c r="N189" t="str">
        <f>IFERROR(__xludf.DUMMYFUNCTION("""COMPUTED_VALUE"""),"Ben Mowbray, (407) 962-8782")</f>
        <v>Ben Mowbray, (407) 962-8782</v>
      </c>
      <c r="O189" t="str">
        <f>IFERROR(__xludf.DUMMYFUNCTION("""COMPUTED_VALUE"""),"Craig Tinus, Nicole Peckham, Adrienne Bried-Pilz, Rodrigo Pavani")</f>
        <v>Craig Tinus, Nicole Peckham, Adrienne Bried-Pilz, Rodrigo Pavani</v>
      </c>
      <c r="P189" t="str">
        <f>IFERROR(__xludf.DUMMYFUNCTION("""COMPUTED_VALUE"""),"Ben")</f>
        <v>Ben</v>
      </c>
      <c r="Q189" t="str">
        <f>IFERROR(__xludf.DUMMYFUNCTION("""COMPUTED_VALUE"""),"Good")</f>
        <v>Good</v>
      </c>
      <c r="R189" t="str">
        <f>IFERROR(__xludf.DUMMYFUNCTION("""COMPUTED_VALUE"""),"Good")</f>
        <v>Good</v>
      </c>
      <c r="S189" t="str">
        <f>IFERROR(__xludf.DUMMYFUNCTION("""COMPUTED_VALUE"""),"Good")</f>
        <v>Good</v>
      </c>
      <c r="T189" t="str">
        <f>IFERROR(__xludf.DUMMYFUNCTION("""COMPUTED_VALUE"""),"Good")</f>
        <v>Good</v>
      </c>
      <c r="U189" t="str">
        <f>IFERROR(__xludf.DUMMYFUNCTION("""COMPUTED_VALUE"""),"Good")</f>
        <v>Good</v>
      </c>
      <c r="V189" t="str">
        <f>IFERROR(__xludf.DUMMYFUNCTION("""COMPUTED_VALUE"""),"Good")</f>
        <v>Good</v>
      </c>
      <c r="W189" t="str">
        <f>IFERROR(__xludf.DUMMYFUNCTION("""COMPUTED_VALUE"""),"Good")</f>
        <v>Good</v>
      </c>
      <c r="X189" t="str">
        <f>IFERROR(__xludf.DUMMYFUNCTION("""COMPUTED_VALUE"""),"Good")</f>
        <v>Good</v>
      </c>
      <c r="Y189" t="str">
        <f>IFERROR(__xludf.DUMMYFUNCTION("""COMPUTED_VALUE"""),"Good")</f>
        <v>Good</v>
      </c>
      <c r="Z189" t="str">
        <f>IFERROR(__xludf.DUMMYFUNCTION("""COMPUTED_VALUE"""),"Good")</f>
        <v>Good</v>
      </c>
      <c r="AA189" t="str">
        <f>IFERROR(__xludf.DUMMYFUNCTION("""COMPUTED_VALUE"""),"Good")</f>
        <v>Good</v>
      </c>
      <c r="AB189" t="str">
        <f>IFERROR(__xludf.DUMMYFUNCTION("""COMPUTED_VALUE"""),"Good")</f>
        <v>Good</v>
      </c>
      <c r="AC189" t="str">
        <f>IFERROR(__xludf.DUMMYFUNCTION("""COMPUTED_VALUE"""),"Good")</f>
        <v>Good</v>
      </c>
      <c r="AE189" s="11"/>
      <c r="AF189" t="s">
        <v>218</v>
      </c>
      <c r="AG189" s="17" t="s">
        <v>128</v>
      </c>
      <c r="AH189" s="23">
        <v>0.5694444444444444</v>
      </c>
      <c r="AI189" s="12" t="s">
        <v>515</v>
      </c>
      <c r="AJ189" s="19" t="s">
        <v>516</v>
      </c>
      <c r="AK189" s="20" t="str">
        <f>HYPERLINK("https://docs.google.com/document/d/1HISdHTEExN4zHmyd24EnNJE9re7ldowomCTkQ-w64zU/edit?usp=drivesdk","Ben Mowbray - 11/2/2018 8:40 AM")</f>
        <v>Ben Mowbray - 11/2/2018 8:40 AM</v>
      </c>
      <c r="AL189" s="12" t="s">
        <v>517</v>
      </c>
    </row>
    <row r="190">
      <c r="A190" s="10">
        <f>IFERROR(__xludf.DUMMYFUNCTION("""COMPUTED_VALUE"""),43406.38157403935)</f>
        <v>43406.38157</v>
      </c>
      <c r="B190" s="11" t="str">
        <f>IFERROR(__xludf.DUMMYFUNCTION("""COMPUTED_VALUE"""),"Pamela Marcum")</f>
        <v>Pamela Marcum</v>
      </c>
      <c r="C190" t="str">
        <f>IFERROR(__xludf.DUMMYFUNCTION("""COMPUTED_VALUE"""),"Pamela.Marcum@dep.state.fl.us")</f>
        <v>Pamela.Marcum@dep.state.fl.us</v>
      </c>
      <c r="D190" t="str">
        <f>IFERROR(__xludf.DUMMYFUNCTION("""COMPUTED_VALUE"""),"Research/Nikki")</f>
        <v>Research/Nikki</v>
      </c>
      <c r="E190" t="str">
        <f>IFERROR(__xludf.DUMMYFUNCTION("""COMPUTED_VALUE"""),"Aunt Kate's")</f>
        <v>Aunt Kate's</v>
      </c>
      <c r="F190" s="13">
        <f>IFERROR(__xludf.DUMMYFUNCTION("""COMPUTED_VALUE"""),0.3958333333321207)</f>
        <v>0.3958333333</v>
      </c>
      <c r="G190" s="14">
        <f>IFERROR(__xludf.DUMMYFUNCTION("""COMPUTED_VALUE"""),43406.0)</f>
        <v>43406</v>
      </c>
      <c r="H190" t="str">
        <f>IFERROR(__xludf.DUMMYFUNCTION("""COMPUTED_VALUE"""),"Pine Island")</f>
        <v>Pine Island</v>
      </c>
      <c r="I190" s="15">
        <f>IFERROR(__xludf.DUMMYFUNCTION("""COMPUTED_VALUE"""),0.6041666666678793)</f>
        <v>0.6041666667</v>
      </c>
      <c r="J190" s="16">
        <f>IFERROR(__xludf.DUMMYFUNCTION("""COMPUTED_VALUE"""),43406.625)</f>
        <v>43406.625</v>
      </c>
      <c r="K190" t="str">
        <f>IFERROR(__xludf.DUMMYFUNCTION("""COMPUTED_VALUE"""),"20ft Sea Ark FL5351SJ UNF 2015")</f>
        <v>20ft Sea Ark FL5351SJ UNF 2015</v>
      </c>
      <c r="M190" t="str">
        <f>IFERROR(__xludf.DUMMYFUNCTION("""COMPUTED_VALUE"""),"Ford F150 2015 (White) - DEP21448")</f>
        <v>Ford F150 2015 (White) - DEP21448</v>
      </c>
      <c r="N190" t="str">
        <f>IFERROR(__xludf.DUMMYFUNCTION("""COMPUTED_VALUE"""),"Pam Marcum, (480) 332-5414, Silas Tanner, (904) 483-8423")</f>
        <v>Pam Marcum, (480) 332-5414, Silas Tanner, (904) 483-8423</v>
      </c>
      <c r="O190" t="str">
        <f>IFERROR(__xludf.DUMMYFUNCTION("""COMPUTED_VALUE"""),"Jessica Lee, Jessica Veenstra, Justina Dacey, Ray Grizzle, Krystin Ward, ")</f>
        <v>Jessica Lee, Jessica Veenstra, Justina Dacey, Ray Grizzle, Krystin Ward, </v>
      </c>
      <c r="P190" t="str">
        <f>IFERROR(__xludf.DUMMYFUNCTION("""COMPUTED_VALUE"""),"Silas")</f>
        <v>Silas</v>
      </c>
      <c r="Q190" t="str">
        <f>IFERROR(__xludf.DUMMYFUNCTION("""COMPUTED_VALUE"""),"Good")</f>
        <v>Good</v>
      </c>
      <c r="R190" t="str">
        <f>IFERROR(__xludf.DUMMYFUNCTION("""COMPUTED_VALUE"""),"Good")</f>
        <v>Good</v>
      </c>
      <c r="S190" t="str">
        <f>IFERROR(__xludf.DUMMYFUNCTION("""COMPUTED_VALUE"""),"Good")</f>
        <v>Good</v>
      </c>
      <c r="T190" t="str">
        <f>IFERROR(__xludf.DUMMYFUNCTION("""COMPUTED_VALUE"""),"Good")</f>
        <v>Good</v>
      </c>
      <c r="U190" t="str">
        <f>IFERROR(__xludf.DUMMYFUNCTION("""COMPUTED_VALUE"""),"Good")</f>
        <v>Good</v>
      </c>
      <c r="V190" t="str">
        <f>IFERROR(__xludf.DUMMYFUNCTION("""COMPUTED_VALUE"""),"Good")</f>
        <v>Good</v>
      </c>
      <c r="W190" t="str">
        <f>IFERROR(__xludf.DUMMYFUNCTION("""COMPUTED_VALUE"""),"Good")</f>
        <v>Good</v>
      </c>
      <c r="X190" t="str">
        <f>IFERROR(__xludf.DUMMYFUNCTION("""COMPUTED_VALUE"""),"Good")</f>
        <v>Good</v>
      </c>
      <c r="Y190" t="str">
        <f>IFERROR(__xludf.DUMMYFUNCTION("""COMPUTED_VALUE"""),"Good")</f>
        <v>Good</v>
      </c>
      <c r="Z190" t="str">
        <f>IFERROR(__xludf.DUMMYFUNCTION("""COMPUTED_VALUE"""),"Good")</f>
        <v>Good</v>
      </c>
      <c r="AA190" t="str">
        <f>IFERROR(__xludf.DUMMYFUNCTION("""COMPUTED_VALUE"""),"Good")</f>
        <v>Good</v>
      </c>
      <c r="AB190" t="str">
        <f>IFERROR(__xludf.DUMMYFUNCTION("""COMPUTED_VALUE"""),"Good")</f>
        <v>Good</v>
      </c>
      <c r="AC190" t="str">
        <f>IFERROR(__xludf.DUMMYFUNCTION("""COMPUTED_VALUE"""),"Good")</f>
        <v>Good</v>
      </c>
      <c r="AE190" s="11"/>
      <c r="AF190" t="s">
        <v>218</v>
      </c>
      <c r="AG190" s="17" t="s">
        <v>128</v>
      </c>
      <c r="AH190" s="23">
        <v>0.5659722222222222</v>
      </c>
      <c r="AI190" s="12" t="s">
        <v>518</v>
      </c>
      <c r="AJ190" s="19" t="s">
        <v>519</v>
      </c>
      <c r="AK190" s="20" t="str">
        <f>HYPERLINK("https://docs.google.com/document/d/1Gx8Cm5JStNGnczb9BENMG9AfAMxlxOh8pLjeAEIKSJ8/edit?usp=drivesdk","Pamela Marcum - 11/2/2018 9:30 AM")</f>
        <v>Pamela Marcum - 11/2/2018 9:30 AM</v>
      </c>
      <c r="AL190" s="12" t="s">
        <v>520</v>
      </c>
    </row>
    <row r="191">
      <c r="A191" s="10">
        <f>IFERROR(__xludf.DUMMYFUNCTION("""COMPUTED_VALUE"""),43409.30797252315)</f>
        <v>43409.30797</v>
      </c>
      <c r="B191" s="11" t="str">
        <f>IFERROR(__xludf.DUMMYFUNCTION("""COMPUTED_VALUE"""),"Silas Tanner")</f>
        <v>Silas Tanner</v>
      </c>
      <c r="C191" t="str">
        <f>IFERROR(__xludf.DUMMYFUNCTION("""COMPUTED_VALUE"""),"silas.tanner@floridadep.gov")</f>
        <v>silas.tanner@floridadep.gov</v>
      </c>
      <c r="D191" t="str">
        <f>IFERROR(__xludf.DUMMYFUNCTION("""COMPUTED_VALUE"""),"Research/Nikki")</f>
        <v>Research/Nikki</v>
      </c>
      <c r="E191" t="str">
        <f>IFERROR(__xludf.DUMMYFUNCTION("""COMPUTED_VALUE"""),"Vilano county ramp")</f>
        <v>Vilano county ramp</v>
      </c>
      <c r="F191" s="13">
        <f>IFERROR(__xludf.DUMMYFUNCTION("""COMPUTED_VALUE"""),0.34375)</f>
        <v>0.34375</v>
      </c>
      <c r="G191" s="14">
        <f>IFERROR(__xludf.DUMMYFUNCTION("""COMPUTED_VALUE"""),43410.0)</f>
        <v>43410</v>
      </c>
      <c r="H191" t="str">
        <f>IFERROR(__xludf.DUMMYFUNCTION("""COMPUTED_VALUE"""),"ICW SWMP sites")</f>
        <v>ICW SWMP sites</v>
      </c>
      <c r="I191" s="15">
        <f>IFERROR(__xludf.DUMMYFUNCTION("""COMPUTED_VALUE"""),0.5416666666678793)</f>
        <v>0.5416666667</v>
      </c>
      <c r="J191" s="16">
        <f>IFERROR(__xludf.DUMMYFUNCTION("""COMPUTED_VALUE"""),43410.5625)</f>
        <v>43410.5625</v>
      </c>
      <c r="K191" t="str">
        <f>IFERROR(__xludf.DUMMYFUNCTION("""COMPUTED_VALUE"""),"F 20ft Sea Ark (Easy 200) FL8534PY DEP21451")</f>
        <v>F 20ft Sea Ark (Easy 200) FL8534PY DEP21451</v>
      </c>
      <c r="M191" t="str">
        <f>IFERROR(__xludf.DUMMYFUNCTION("""COMPUTED_VALUE"""),"Ford F250 2017 (Moby Dix) - DEP0021578")</f>
        <v>Ford F250 2017 (Moby Dix) - DEP0021578</v>
      </c>
      <c r="N191" t="str">
        <f>IFERROR(__xludf.DUMMYFUNCTION("""COMPUTED_VALUE"""),"Silas Tanner, (904) 483-8423, Jimmy Tomazinis, (904) 547-0094")</f>
        <v>Silas Tanner, (904) 483-8423, Jimmy Tomazinis, (904) 547-0094</v>
      </c>
      <c r="O191" t="str">
        <f>IFERROR(__xludf.DUMMYFUNCTION("""COMPUTED_VALUE"""),"Hunter Mathews, Diane Downing")</f>
        <v>Hunter Mathews, Diane Downing</v>
      </c>
      <c r="P191" t="str">
        <f>IFERROR(__xludf.DUMMYFUNCTION("""COMPUTED_VALUE"""),"Jimmy Tomazinis")</f>
        <v>Jimmy Tomazinis</v>
      </c>
      <c r="Q191" t="str">
        <f>IFERROR(__xludf.DUMMYFUNCTION("""COMPUTED_VALUE"""),"Good")</f>
        <v>Good</v>
      </c>
      <c r="R191" t="str">
        <f>IFERROR(__xludf.DUMMYFUNCTION("""COMPUTED_VALUE"""),"Good")</f>
        <v>Good</v>
      </c>
      <c r="S191" t="str">
        <f>IFERROR(__xludf.DUMMYFUNCTION("""COMPUTED_VALUE"""),"Good")</f>
        <v>Good</v>
      </c>
      <c r="T191" t="str">
        <f>IFERROR(__xludf.DUMMYFUNCTION("""COMPUTED_VALUE"""),"Good")</f>
        <v>Good</v>
      </c>
      <c r="U191" t="str">
        <f>IFERROR(__xludf.DUMMYFUNCTION("""COMPUTED_VALUE"""),"Good")</f>
        <v>Good</v>
      </c>
      <c r="V191" t="str">
        <f>IFERROR(__xludf.DUMMYFUNCTION("""COMPUTED_VALUE"""),"Good")</f>
        <v>Good</v>
      </c>
      <c r="W191" t="str">
        <f>IFERROR(__xludf.DUMMYFUNCTION("""COMPUTED_VALUE"""),"Good")</f>
        <v>Good</v>
      </c>
      <c r="X191" t="str">
        <f>IFERROR(__xludf.DUMMYFUNCTION("""COMPUTED_VALUE"""),"Good")</f>
        <v>Good</v>
      </c>
      <c r="Y191" t="str">
        <f>IFERROR(__xludf.DUMMYFUNCTION("""COMPUTED_VALUE"""),"Good")</f>
        <v>Good</v>
      </c>
      <c r="Z191" t="str">
        <f>IFERROR(__xludf.DUMMYFUNCTION("""COMPUTED_VALUE"""),"Good")</f>
        <v>Good</v>
      </c>
      <c r="AA191" t="str">
        <f>IFERROR(__xludf.DUMMYFUNCTION("""COMPUTED_VALUE"""),"Good")</f>
        <v>Good</v>
      </c>
      <c r="AB191" t="str">
        <f>IFERROR(__xludf.DUMMYFUNCTION("""COMPUTED_VALUE"""),"Good")</f>
        <v>Good</v>
      </c>
      <c r="AC191" t="str">
        <f>IFERROR(__xludf.DUMMYFUNCTION("""COMPUTED_VALUE"""),"Good")</f>
        <v>Good</v>
      </c>
      <c r="AE191" s="11"/>
      <c r="AF191" t="s">
        <v>218</v>
      </c>
      <c r="AG191" s="17" t="s">
        <v>18</v>
      </c>
      <c r="AH191" s="12">
        <v>1250.0</v>
      </c>
      <c r="AI191" s="12" t="s">
        <v>521</v>
      </c>
      <c r="AJ191" s="19" t="s">
        <v>522</v>
      </c>
      <c r="AK191" s="20" t="str">
        <f>HYPERLINK("https://docs.google.com/document/d/17M5r-E0k9v_FKlTFq_QQgPbH7eVdZ0U53IGJR24U6D0/edit?usp=drivesdk","Silas Tanner - 11/6/2018 8:15 AM")</f>
        <v>Silas Tanner - 11/6/2018 8:15 AM</v>
      </c>
      <c r="AL191" s="12" t="s">
        <v>523</v>
      </c>
    </row>
    <row r="192">
      <c r="A192" s="10">
        <f>IFERROR(__xludf.DUMMYFUNCTION("""COMPUTED_VALUE"""),43409.51500508102)</f>
        <v>43409.51501</v>
      </c>
      <c r="B192" s="11" t="str">
        <f>IFERROR(__xludf.DUMMYFUNCTION("""COMPUTED_VALUE"""),"Emma Hanson")</f>
        <v>Emma Hanson</v>
      </c>
      <c r="C192" t="str">
        <f>IFERROR(__xludf.DUMMYFUNCTION("""COMPUTED_VALUE"""),"emma.hanson@dep.state.fl.us")</f>
        <v>emma.hanson@dep.state.fl.us</v>
      </c>
      <c r="D192" t="str">
        <f>IFERROR(__xludf.DUMMYFUNCTION("""COMPUTED_VALUE"""),"Research/Pam")</f>
        <v>Research/Pam</v>
      </c>
      <c r="E192" t="str">
        <f>IFERROR(__xludf.DUMMYFUNCTION("""COMPUTED_VALUE"""),"Aunt Kate's")</f>
        <v>Aunt Kate's</v>
      </c>
      <c r="F192" s="13">
        <f>IFERROR(__xludf.DUMMYFUNCTION("""COMPUTED_VALUE"""),0.5208333333321207)</f>
        <v>0.5208333333</v>
      </c>
      <c r="G192" s="14">
        <f>IFERROR(__xludf.DUMMYFUNCTION("""COMPUTED_VALUE"""),43409.0)</f>
        <v>43409</v>
      </c>
      <c r="H192" t="str">
        <f>IFERROR(__xludf.DUMMYFUNCTION("""COMPUTED_VALUE"""),"Pine &amp; Hat Island")</f>
        <v>Pine &amp; Hat Island</v>
      </c>
      <c r="I192" s="15">
        <f>IFERROR(__xludf.DUMMYFUNCTION("""COMPUTED_VALUE"""),0.6458333333321207)</f>
        <v>0.6458333333</v>
      </c>
      <c r="J192" s="16">
        <f>IFERROR(__xludf.DUMMYFUNCTION("""COMPUTED_VALUE"""),43409.64583333333)</f>
        <v>43409.64583</v>
      </c>
      <c r="K192" t="str">
        <f>IFERROR(__xludf.DUMMYFUNCTION("""COMPUTED_VALUE"""),"20ft Sea Ark FL5351SJ UNF 2015")</f>
        <v>20ft Sea Ark FL5351SJ UNF 2015</v>
      </c>
      <c r="M192" t="str">
        <f>IFERROR(__xludf.DUMMYFUNCTION("""COMPUTED_VALUE"""),"Ford F150 2008 - DEP18041 (SWMP Thing)")</f>
        <v>Ford F150 2008 - DEP18041 (SWMP Thing)</v>
      </c>
      <c r="N192" t="str">
        <f>IFERROR(__xludf.DUMMYFUNCTION("""COMPUTED_VALUE"""),"Ben Mowbray, (407) 962-8782")</f>
        <v>Ben Mowbray, (407) 962-8782</v>
      </c>
      <c r="O192" t="str">
        <f>IFERROR(__xludf.DUMMYFUNCTION("""COMPUTED_VALUE"""),"Emma Hanson")</f>
        <v>Emma Hanson</v>
      </c>
      <c r="P192" t="str">
        <f>IFERROR(__xludf.DUMMYFUNCTION("""COMPUTED_VALUE"""),"Ben Mowbray")</f>
        <v>Ben Mowbray</v>
      </c>
      <c r="Q192" t="str">
        <f>IFERROR(__xludf.DUMMYFUNCTION("""COMPUTED_VALUE"""),"Good")</f>
        <v>Good</v>
      </c>
      <c r="R192" t="str">
        <f>IFERROR(__xludf.DUMMYFUNCTION("""COMPUTED_VALUE"""),"Good")</f>
        <v>Good</v>
      </c>
      <c r="S192" t="str">
        <f>IFERROR(__xludf.DUMMYFUNCTION("""COMPUTED_VALUE"""),"Good")</f>
        <v>Good</v>
      </c>
      <c r="T192" t="str">
        <f>IFERROR(__xludf.DUMMYFUNCTION("""COMPUTED_VALUE"""),"Good")</f>
        <v>Good</v>
      </c>
      <c r="U192" t="str">
        <f>IFERROR(__xludf.DUMMYFUNCTION("""COMPUTED_VALUE"""),"Good")</f>
        <v>Good</v>
      </c>
      <c r="V192" t="str">
        <f>IFERROR(__xludf.DUMMYFUNCTION("""COMPUTED_VALUE"""),"Good")</f>
        <v>Good</v>
      </c>
      <c r="W192" t="str">
        <f>IFERROR(__xludf.DUMMYFUNCTION("""COMPUTED_VALUE"""),"Good")</f>
        <v>Good</v>
      </c>
      <c r="X192" t="str">
        <f>IFERROR(__xludf.DUMMYFUNCTION("""COMPUTED_VALUE"""),"Good")</f>
        <v>Good</v>
      </c>
      <c r="Y192" t="str">
        <f>IFERROR(__xludf.DUMMYFUNCTION("""COMPUTED_VALUE"""),"Good")</f>
        <v>Good</v>
      </c>
      <c r="Z192" t="str">
        <f>IFERROR(__xludf.DUMMYFUNCTION("""COMPUTED_VALUE"""),"Good")</f>
        <v>Good</v>
      </c>
      <c r="AA192" t="str">
        <f>IFERROR(__xludf.DUMMYFUNCTION("""COMPUTED_VALUE"""),"Good")</f>
        <v>Good</v>
      </c>
      <c r="AB192" t="str">
        <f>IFERROR(__xludf.DUMMYFUNCTION("""COMPUTED_VALUE"""),"Good")</f>
        <v>Good</v>
      </c>
      <c r="AC192" t="str">
        <f>IFERROR(__xludf.DUMMYFUNCTION("""COMPUTED_VALUE"""),"Good")</f>
        <v>Good</v>
      </c>
      <c r="AE192" s="11"/>
      <c r="AF192" t="s">
        <v>262</v>
      </c>
      <c r="AG192" s="17" t="s">
        <v>141</v>
      </c>
      <c r="AH192" s="23">
        <v>0.6861111111111111</v>
      </c>
      <c r="AI192" s="12" t="s">
        <v>524</v>
      </c>
      <c r="AJ192" s="19" t="s">
        <v>525</v>
      </c>
      <c r="AK192" s="20" t="str">
        <f>HYPERLINK("https://docs.google.com/document/d/1Hfjuh-87HyMgDwCqQ1yxd7fH8nLij__YzoKp6Zt-A88/edit?usp=drivesdk","Emma Hanson - 11/5/2018 12:30 PM")</f>
        <v>Emma Hanson - 11/5/2018 12:30 PM</v>
      </c>
      <c r="AL192" s="12" t="s">
        <v>526</v>
      </c>
    </row>
    <row r="193">
      <c r="A193" s="10">
        <f>IFERROR(__xludf.DUMMYFUNCTION("""COMPUTED_VALUE"""),43410.51771856481)</f>
        <v>43410.51772</v>
      </c>
      <c r="B193" s="11" t="str">
        <f>IFERROR(__xludf.DUMMYFUNCTION("""COMPUTED_VALUE"""),"Pam Marcum")</f>
        <v>Pam Marcum</v>
      </c>
      <c r="C193" t="str">
        <f>IFERROR(__xludf.DUMMYFUNCTION("""COMPUTED_VALUE"""),"Pamela.Marcum@dep.state.fl.us")</f>
        <v>Pamela.Marcum@dep.state.fl.us</v>
      </c>
      <c r="D193" t="str">
        <f>IFERROR(__xludf.DUMMYFUNCTION("""COMPUTED_VALUE"""),"Research/Nikki")</f>
        <v>Research/Nikki</v>
      </c>
      <c r="E193" t="str">
        <f>IFERROR(__xludf.DUMMYFUNCTION("""COMPUTED_VALUE"""),"Aunt Kate's")</f>
        <v>Aunt Kate's</v>
      </c>
      <c r="F193" s="13">
        <f>IFERROR(__xludf.DUMMYFUNCTION("""COMPUTED_VALUE"""),0.5416666666678793)</f>
        <v>0.5416666667</v>
      </c>
      <c r="G193" s="14">
        <f>IFERROR(__xludf.DUMMYFUNCTION("""COMPUTED_VALUE"""),43410.0)</f>
        <v>43410</v>
      </c>
      <c r="H193" t="str">
        <f>IFERROR(__xludf.DUMMYFUNCTION("""COMPUTED_VALUE"""),"Tolomat River/Pine Island")</f>
        <v>Tolomat River/Pine Island</v>
      </c>
      <c r="I193" s="15">
        <f>IFERROR(__xludf.DUMMYFUNCTION("""COMPUTED_VALUE"""),0.7083333333321207)</f>
        <v>0.7083333333</v>
      </c>
      <c r="J193" s="16">
        <f>IFERROR(__xludf.DUMMYFUNCTION("""COMPUTED_VALUE"""),43410.72916666667)</f>
        <v>43410.72917</v>
      </c>
      <c r="K193" t="str">
        <f>IFERROR(__xludf.DUMMYFUNCTION("""COMPUTED_VALUE"""),"20ft Sea Ark FL5351SJ UNF 2015")</f>
        <v>20ft Sea Ark FL5351SJ UNF 2015</v>
      </c>
      <c r="M193" t="str">
        <f>IFERROR(__xludf.DUMMYFUNCTION("""COMPUTED_VALUE"""),"Ford F150 2008 - DEP18041 (SWMP Thing)")</f>
        <v>Ford F150 2008 - DEP18041 (SWMP Thing)</v>
      </c>
      <c r="N193" t="str">
        <f>IFERROR(__xludf.DUMMYFUNCTION("""COMPUTED_VALUE"""),"Pam Marcum, (480) 332-5414, Annie Otto")</f>
        <v>Pam Marcum, (480) 332-5414, Annie Otto</v>
      </c>
      <c r="O193" t="str">
        <f>IFERROR(__xludf.DUMMYFUNCTION("""COMPUTED_VALUE"""),"Ray Grizzle")</f>
        <v>Ray Grizzle</v>
      </c>
      <c r="P193" t="str">
        <f>IFERROR(__xludf.DUMMYFUNCTION("""COMPUTED_VALUE"""),"Pam")</f>
        <v>Pam</v>
      </c>
      <c r="Q193" t="str">
        <f>IFERROR(__xludf.DUMMYFUNCTION("""COMPUTED_VALUE"""),"Good")</f>
        <v>Good</v>
      </c>
      <c r="R193" t="str">
        <f>IFERROR(__xludf.DUMMYFUNCTION("""COMPUTED_VALUE"""),"Good")</f>
        <v>Good</v>
      </c>
      <c r="S193" t="str">
        <f>IFERROR(__xludf.DUMMYFUNCTION("""COMPUTED_VALUE"""),"Good")</f>
        <v>Good</v>
      </c>
      <c r="T193" t="str">
        <f>IFERROR(__xludf.DUMMYFUNCTION("""COMPUTED_VALUE"""),"Good")</f>
        <v>Good</v>
      </c>
      <c r="U193" t="str">
        <f>IFERROR(__xludf.DUMMYFUNCTION("""COMPUTED_VALUE"""),"Good")</f>
        <v>Good</v>
      </c>
      <c r="V193" t="str">
        <f>IFERROR(__xludf.DUMMYFUNCTION("""COMPUTED_VALUE"""),"Good")</f>
        <v>Good</v>
      </c>
      <c r="W193" t="str">
        <f>IFERROR(__xludf.DUMMYFUNCTION("""COMPUTED_VALUE"""),"Good")</f>
        <v>Good</v>
      </c>
      <c r="X193" t="str">
        <f>IFERROR(__xludf.DUMMYFUNCTION("""COMPUTED_VALUE"""),"Good")</f>
        <v>Good</v>
      </c>
      <c r="Y193" t="str">
        <f>IFERROR(__xludf.DUMMYFUNCTION("""COMPUTED_VALUE"""),"Good")</f>
        <v>Good</v>
      </c>
      <c r="Z193" t="str">
        <f>IFERROR(__xludf.DUMMYFUNCTION("""COMPUTED_VALUE"""),"Good")</f>
        <v>Good</v>
      </c>
      <c r="AA193" t="str">
        <f>IFERROR(__xludf.DUMMYFUNCTION("""COMPUTED_VALUE"""),"Good")</f>
        <v>Good</v>
      </c>
      <c r="AB193" t="str">
        <f>IFERROR(__xludf.DUMMYFUNCTION("""COMPUTED_VALUE"""),"Good")</f>
        <v>Good</v>
      </c>
      <c r="AC193" t="str">
        <f>IFERROR(__xludf.DUMMYFUNCTION("""COMPUTED_VALUE"""),"Good")</f>
        <v>Good</v>
      </c>
      <c r="AE193" s="11"/>
      <c r="AF193" t="s">
        <v>218</v>
      </c>
      <c r="AG193" s="17" t="s">
        <v>128</v>
      </c>
      <c r="AH193" s="23">
        <v>0.6458333333333334</v>
      </c>
      <c r="AI193" s="12" t="s">
        <v>527</v>
      </c>
      <c r="AJ193" s="19" t="s">
        <v>528</v>
      </c>
      <c r="AK193" s="20" t="str">
        <f>HYPERLINK("https://docs.google.com/document/d/1OdROVKVnWNppbGnZBe8XQx4EcpL1Z_wheLxqjEAAvaY/edit?usp=drivesdk","Pam Marcum - 11/6/2018 1:00 PM")</f>
        <v>Pam Marcum - 11/6/2018 1:00 PM</v>
      </c>
      <c r="AL193" s="12" t="s">
        <v>529</v>
      </c>
    </row>
    <row r="194">
      <c r="A194" s="10">
        <f>IFERROR(__xludf.DUMMYFUNCTION("""COMPUTED_VALUE"""),43411.32920648148)</f>
        <v>43411.32921</v>
      </c>
      <c r="B194" s="11" t="str">
        <f>IFERROR(__xludf.DUMMYFUNCTION("""COMPUTED_VALUE"""),"James Tomazinis")</f>
        <v>James Tomazinis</v>
      </c>
      <c r="C194" t="str">
        <f>IFERROR(__xludf.DUMMYFUNCTION("""COMPUTED_VALUE"""),"james.tomazinis@floridadep.gov")</f>
        <v>james.tomazinis@floridadep.gov</v>
      </c>
      <c r="D194" t="str">
        <f>IFERROR(__xludf.DUMMYFUNCTION("""COMPUTED_VALUE"""),"Stewardship (Aquatic)")</f>
        <v>Stewardship (Aquatic)</v>
      </c>
      <c r="E194" t="str">
        <f>IFERROR(__xludf.DUMMYFUNCTION("""COMPUTED_VALUE"""),"Guana Dam")</f>
        <v>Guana Dam</v>
      </c>
      <c r="F194" s="13">
        <f>IFERROR(__xludf.DUMMYFUNCTION("""COMPUTED_VALUE"""),0.3541666666678793)</f>
        <v>0.3541666667</v>
      </c>
      <c r="G194" s="14">
        <f>IFERROR(__xludf.DUMMYFUNCTION("""COMPUTED_VALUE"""),43411.0)</f>
        <v>43411</v>
      </c>
      <c r="H194" t="str">
        <f>IFERROR(__xludf.DUMMYFUNCTION("""COMPUTED_VALUE"""),"Guana River WQ sites")</f>
        <v>Guana River WQ sites</v>
      </c>
      <c r="I194" s="15">
        <f>IFERROR(__xludf.DUMMYFUNCTION("""COMPUTED_VALUE"""),0.4270833333321207)</f>
        <v>0.4270833333</v>
      </c>
      <c r="J194" s="16"/>
      <c r="K194" t="str">
        <f>IFERROR(__xludf.DUMMYFUNCTION("""COMPUTED_VALUE"""),"Jon Boat FL0484NP DEP06819")</f>
        <v>Jon Boat FL0484NP DEP06819</v>
      </c>
      <c r="M194" t="str">
        <f>IFERROR(__xludf.DUMMYFUNCTION("""COMPUTED_VALUE"""),"Ford F150 2015 (White) - DEP21448")</f>
        <v>Ford F150 2015 (White) - DEP21448</v>
      </c>
      <c r="N194" t="str">
        <f>IFERROR(__xludf.DUMMYFUNCTION("""COMPUTED_VALUE"""),"Jimmy Tomazinis, (904) 547-0094")</f>
        <v>Jimmy Tomazinis, (904) 547-0094</v>
      </c>
      <c r="O194" t="str">
        <f>IFERROR(__xludf.DUMMYFUNCTION("""COMPUTED_VALUE"""),"Silas Tanner, (904) 483-8423")</f>
        <v>Silas Tanner, (904) 483-8423</v>
      </c>
      <c r="P194" t="str">
        <f>IFERROR(__xludf.DUMMYFUNCTION("""COMPUTED_VALUE"""),"Jimmy")</f>
        <v>Jimmy</v>
      </c>
      <c r="Q194" t="str">
        <f>IFERROR(__xludf.DUMMYFUNCTION("""COMPUTED_VALUE"""),"Good")</f>
        <v>Good</v>
      </c>
      <c r="R194" t="str">
        <f>IFERROR(__xludf.DUMMYFUNCTION("""COMPUTED_VALUE"""),"Good")</f>
        <v>Good</v>
      </c>
      <c r="S194" t="str">
        <f>IFERROR(__xludf.DUMMYFUNCTION("""COMPUTED_VALUE"""),"Good")</f>
        <v>Good</v>
      </c>
      <c r="T194" t="str">
        <f>IFERROR(__xludf.DUMMYFUNCTION("""COMPUTED_VALUE"""),"Good")</f>
        <v>Good</v>
      </c>
      <c r="U194" t="str">
        <f>IFERROR(__xludf.DUMMYFUNCTION("""COMPUTED_VALUE"""),"Good")</f>
        <v>Good</v>
      </c>
      <c r="V194" t="str">
        <f>IFERROR(__xludf.DUMMYFUNCTION("""COMPUTED_VALUE"""),"Good")</f>
        <v>Good</v>
      </c>
      <c r="W194" t="str">
        <f>IFERROR(__xludf.DUMMYFUNCTION("""COMPUTED_VALUE"""),"Good")</f>
        <v>Good</v>
      </c>
      <c r="X194" t="str">
        <f>IFERROR(__xludf.DUMMYFUNCTION("""COMPUTED_VALUE"""),"Good")</f>
        <v>Good</v>
      </c>
      <c r="Y194" t="str">
        <f>IFERROR(__xludf.DUMMYFUNCTION("""COMPUTED_VALUE"""),"Good")</f>
        <v>Good</v>
      </c>
      <c r="Z194" t="str">
        <f>IFERROR(__xludf.DUMMYFUNCTION("""COMPUTED_VALUE"""),"Good")</f>
        <v>Good</v>
      </c>
      <c r="AA194" t="str">
        <f>IFERROR(__xludf.DUMMYFUNCTION("""COMPUTED_VALUE"""),"Good")</f>
        <v>Good</v>
      </c>
      <c r="AB194" t="str">
        <f>IFERROR(__xludf.DUMMYFUNCTION("""COMPUTED_VALUE"""),"Good")</f>
        <v>Good</v>
      </c>
      <c r="AC194" t="str">
        <f>IFERROR(__xludf.DUMMYFUNCTION("""COMPUTED_VALUE"""),"Good")</f>
        <v>Good</v>
      </c>
      <c r="AE194" s="11"/>
      <c r="AF194" t="s">
        <v>32</v>
      </c>
      <c r="AG194" s="17" t="s">
        <v>18</v>
      </c>
      <c r="AH194" s="12">
        <v>1025.0</v>
      </c>
      <c r="AI194" s="12" t="s">
        <v>530</v>
      </c>
      <c r="AJ194" s="19" t="s">
        <v>531</v>
      </c>
      <c r="AK194" s="20" t="str">
        <f>HYPERLINK("https://docs.google.com/document/d/19Pl4hL-nT5KCVnZ4JEMGc1icTwYZpi4m7pzITqh2Uto/edit?usp=drivesdk","James Tomazinis - 11/7/2018 8:30 AM")</f>
        <v>James Tomazinis - 11/7/2018 8:30 AM</v>
      </c>
      <c r="AL194" s="12" t="s">
        <v>532</v>
      </c>
    </row>
    <row r="195">
      <c r="A195" s="10">
        <f>IFERROR(__xludf.DUMMYFUNCTION("""COMPUTED_VALUE"""),43412.719656030094)</f>
        <v>43412.71966</v>
      </c>
      <c r="B195" s="11" t="str">
        <f>IFERROR(__xludf.DUMMYFUNCTION("""COMPUTED_VALUE"""),"Pamela Marcum")</f>
        <v>Pamela Marcum</v>
      </c>
      <c r="C195" t="str">
        <f>IFERROR(__xludf.DUMMYFUNCTION("""COMPUTED_VALUE"""),"Pamela.Marcum@dep.state.fl.us")</f>
        <v>Pamela.Marcum@dep.state.fl.us</v>
      </c>
      <c r="D195" t="str">
        <f>IFERROR(__xludf.DUMMYFUNCTION("""COMPUTED_VALUE"""),"Research/Nikki")</f>
        <v>Research/Nikki</v>
      </c>
      <c r="E195" t="str">
        <f>IFERROR(__xludf.DUMMYFUNCTION("""COMPUTED_VALUE"""),"Crane Park - Shore Drive")</f>
        <v>Crane Park - Shore Drive</v>
      </c>
      <c r="F195" s="13">
        <f>IFERROR(__xludf.DUMMYFUNCTION("""COMPUTED_VALUE"""),0.3333333333321207)</f>
        <v>0.3333333333</v>
      </c>
      <c r="G195" s="14">
        <f>IFERROR(__xludf.DUMMYFUNCTION("""COMPUTED_VALUE"""),43413.0)</f>
        <v>43413</v>
      </c>
      <c r="H195" t="str">
        <f>IFERROR(__xludf.DUMMYFUNCTION("""COMPUTED_VALUE"""),"Marsh Creek")</f>
        <v>Marsh Creek</v>
      </c>
      <c r="I195" s="15">
        <f>IFERROR(__xludf.DUMMYFUNCTION("""COMPUTED_VALUE"""),0.5833333333321207)</f>
        <v>0.5833333333</v>
      </c>
      <c r="J195" s="16">
        <f>IFERROR(__xludf.DUMMYFUNCTION("""COMPUTED_VALUE"""),43412.625)</f>
        <v>43412.625</v>
      </c>
      <c r="K195" t="str">
        <f>IFERROR(__xludf.DUMMYFUNCTION("""COMPUTED_VALUE"""),"20ft Sea Ark FL5351SJ UNF 2015")</f>
        <v>20ft Sea Ark FL5351SJ UNF 2015</v>
      </c>
      <c r="M195" t="str">
        <f>IFERROR(__xludf.DUMMYFUNCTION("""COMPUTED_VALUE"""),"Ford F150 2008 - DEP18041 (SWMP Thing)")</f>
        <v>Ford F150 2008 - DEP18041 (SWMP Thing)</v>
      </c>
      <c r="N195" t="str">
        <f>IFERROR(__xludf.DUMMYFUNCTION("""COMPUTED_VALUE"""),"Pam Marcum, (480) 332-5414")</f>
        <v>Pam Marcum, (480) 332-5414</v>
      </c>
      <c r="O195" t="str">
        <f>IFERROR(__xludf.DUMMYFUNCTION("""COMPUTED_VALUE"""),"Matt Hayes, Chuck, Emily, Tess")</f>
        <v>Matt Hayes, Chuck, Emily, Tess</v>
      </c>
      <c r="P195" t="str">
        <f>IFERROR(__xludf.DUMMYFUNCTION("""COMPUTED_VALUE"""),"Pam")</f>
        <v>Pam</v>
      </c>
      <c r="Q195" t="str">
        <f>IFERROR(__xludf.DUMMYFUNCTION("""COMPUTED_VALUE"""),"Good")</f>
        <v>Good</v>
      </c>
      <c r="R195" t="str">
        <f>IFERROR(__xludf.DUMMYFUNCTION("""COMPUTED_VALUE"""),"Good")</f>
        <v>Good</v>
      </c>
      <c r="S195" t="str">
        <f>IFERROR(__xludf.DUMMYFUNCTION("""COMPUTED_VALUE"""),"Good")</f>
        <v>Good</v>
      </c>
      <c r="T195" t="str">
        <f>IFERROR(__xludf.DUMMYFUNCTION("""COMPUTED_VALUE"""),"Good")</f>
        <v>Good</v>
      </c>
      <c r="U195" t="str">
        <f>IFERROR(__xludf.DUMMYFUNCTION("""COMPUTED_VALUE"""),"Good")</f>
        <v>Good</v>
      </c>
      <c r="V195" t="str">
        <f>IFERROR(__xludf.DUMMYFUNCTION("""COMPUTED_VALUE"""),"Good")</f>
        <v>Good</v>
      </c>
      <c r="W195" t="str">
        <f>IFERROR(__xludf.DUMMYFUNCTION("""COMPUTED_VALUE"""),"Good")</f>
        <v>Good</v>
      </c>
      <c r="X195" t="str">
        <f>IFERROR(__xludf.DUMMYFUNCTION("""COMPUTED_VALUE"""),"Good")</f>
        <v>Good</v>
      </c>
      <c r="Y195" t="str">
        <f>IFERROR(__xludf.DUMMYFUNCTION("""COMPUTED_VALUE"""),"Good")</f>
        <v>Good</v>
      </c>
      <c r="Z195" t="str">
        <f>IFERROR(__xludf.DUMMYFUNCTION("""COMPUTED_VALUE"""),"Good")</f>
        <v>Good</v>
      </c>
      <c r="AA195" t="str">
        <f>IFERROR(__xludf.DUMMYFUNCTION("""COMPUTED_VALUE"""),"Good")</f>
        <v>Good</v>
      </c>
      <c r="AB195" t="str">
        <f>IFERROR(__xludf.DUMMYFUNCTION("""COMPUTED_VALUE"""),"Good")</f>
        <v>Good</v>
      </c>
      <c r="AC195" t="str">
        <f>IFERROR(__xludf.DUMMYFUNCTION("""COMPUTED_VALUE"""),"Good")</f>
        <v>Good</v>
      </c>
      <c r="AE195" s="11"/>
      <c r="AF195" t="s">
        <v>218</v>
      </c>
      <c r="AG195" s="17" t="s">
        <v>18</v>
      </c>
      <c r="AH195" s="12">
        <v>1600.0</v>
      </c>
      <c r="AI195" s="12" t="s">
        <v>533</v>
      </c>
      <c r="AJ195" s="19" t="s">
        <v>534</v>
      </c>
      <c r="AK195" s="20" t="str">
        <f>HYPERLINK("https://docs.google.com/document/d/1i7gzGMRtKsIfqsAqJWP2driUwJ2sHFfr9kkmwR3CAzc/edit?usp=drivesdk","Pamela Marcum - 11/9/2018 8:00 AM")</f>
        <v>Pamela Marcum - 11/9/2018 8:00 AM</v>
      </c>
      <c r="AL195" s="12" t="s">
        <v>535</v>
      </c>
    </row>
    <row r="196">
      <c r="A196" s="10">
        <f>IFERROR(__xludf.DUMMYFUNCTION("""COMPUTED_VALUE"""),43414.3412246412)</f>
        <v>43414.34122</v>
      </c>
      <c r="B196" s="11" t="str">
        <f>IFERROR(__xludf.DUMMYFUNCTION("""COMPUTED_VALUE"""),"Ben Mowbray")</f>
        <v>Ben Mowbray</v>
      </c>
      <c r="C196" t="str">
        <f>IFERROR(__xludf.DUMMYFUNCTION("""COMPUTED_VALUE"""),"ben.mowbray@dep.state.fl.us")</f>
        <v>ben.mowbray@dep.state.fl.us</v>
      </c>
      <c r="D196" t="str">
        <f>IFERROR(__xludf.DUMMYFUNCTION("""COMPUTED_VALUE"""),"Research/Nikki")</f>
        <v>Research/Nikki</v>
      </c>
      <c r="E196" t="str">
        <f>IFERROR(__xludf.DUMMYFUNCTION("""COMPUTED_VALUE"""),"Faver Dykes")</f>
        <v>Faver Dykes</v>
      </c>
      <c r="F196" s="13">
        <f>IFERROR(__xludf.DUMMYFUNCTION("""COMPUTED_VALUE"""),0.4166666666678793)</f>
        <v>0.4166666667</v>
      </c>
      <c r="G196" s="14">
        <f>IFERROR(__xludf.DUMMYFUNCTION("""COMPUTED_VALUE"""),43414.0)</f>
        <v>43414</v>
      </c>
      <c r="H196" t="str">
        <f>IFERROR(__xludf.DUMMYFUNCTION("""COMPUTED_VALUE"""),"Westernmost Transect")</f>
        <v>Westernmost Transect</v>
      </c>
      <c r="I196" s="15">
        <f>IFERROR(__xludf.DUMMYFUNCTION("""COMPUTED_VALUE"""),0.5)</f>
        <v>0.5</v>
      </c>
      <c r="J196" s="16">
        <f>IFERROR(__xludf.DUMMYFUNCTION("""COMPUTED_VALUE"""),43414.75)</f>
        <v>43414.75</v>
      </c>
      <c r="K196" t="str">
        <f>IFERROR(__xludf.DUMMYFUNCTION("""COMPUTED_VALUE"""),"20ft Sea Ark FL5351SJ UNF 2015")</f>
        <v>20ft Sea Ark FL5351SJ UNF 2015</v>
      </c>
      <c r="M196" t="str">
        <f>IFERROR(__xludf.DUMMYFUNCTION("""COMPUTED_VALUE"""),"Ford F150 2008 - DEP18041 (SWMP Thing)")</f>
        <v>Ford F150 2008 - DEP18041 (SWMP Thing)</v>
      </c>
      <c r="N196" t="str">
        <f>IFERROR(__xludf.DUMMYFUNCTION("""COMPUTED_VALUE"""),"Pam Marcum, (480) 332-5414, Ben Mowbray, (407) 962-8782")</f>
        <v>Pam Marcum, (480) 332-5414, Ben Mowbray, (407) 962-8782</v>
      </c>
      <c r="P196" t="str">
        <f>IFERROR(__xludf.DUMMYFUNCTION("""COMPUTED_VALUE"""),"Pam")</f>
        <v>Pam</v>
      </c>
      <c r="Q196" t="str">
        <f>IFERROR(__xludf.DUMMYFUNCTION("""COMPUTED_VALUE"""),"Good")</f>
        <v>Good</v>
      </c>
      <c r="R196" t="str">
        <f>IFERROR(__xludf.DUMMYFUNCTION("""COMPUTED_VALUE"""),"Good")</f>
        <v>Good</v>
      </c>
      <c r="S196" t="str">
        <f>IFERROR(__xludf.DUMMYFUNCTION("""COMPUTED_VALUE"""),"Good")</f>
        <v>Good</v>
      </c>
      <c r="T196" t="str">
        <f>IFERROR(__xludf.DUMMYFUNCTION("""COMPUTED_VALUE"""),"Good")</f>
        <v>Good</v>
      </c>
      <c r="U196" t="str">
        <f>IFERROR(__xludf.DUMMYFUNCTION("""COMPUTED_VALUE"""),"Good")</f>
        <v>Good</v>
      </c>
      <c r="V196" t="str">
        <f>IFERROR(__xludf.DUMMYFUNCTION("""COMPUTED_VALUE"""),"Good")</f>
        <v>Good</v>
      </c>
      <c r="W196" t="str">
        <f>IFERROR(__xludf.DUMMYFUNCTION("""COMPUTED_VALUE"""),"Good")</f>
        <v>Good</v>
      </c>
      <c r="X196" t="str">
        <f>IFERROR(__xludf.DUMMYFUNCTION("""COMPUTED_VALUE"""),"Good")</f>
        <v>Good</v>
      </c>
      <c r="Y196" t="str">
        <f>IFERROR(__xludf.DUMMYFUNCTION("""COMPUTED_VALUE"""),"Good")</f>
        <v>Good</v>
      </c>
      <c r="Z196" t="str">
        <f>IFERROR(__xludf.DUMMYFUNCTION("""COMPUTED_VALUE"""),"Good")</f>
        <v>Good</v>
      </c>
      <c r="AA196" t="str">
        <f>IFERROR(__xludf.DUMMYFUNCTION("""COMPUTED_VALUE"""),"Good")</f>
        <v>Good</v>
      </c>
      <c r="AB196" t="str">
        <f>IFERROR(__xludf.DUMMYFUNCTION("""COMPUTED_VALUE"""),"Good")</f>
        <v>Good</v>
      </c>
      <c r="AC196" t="str">
        <f>IFERROR(__xludf.DUMMYFUNCTION("""COMPUTED_VALUE"""),"Good")</f>
        <v>Good</v>
      </c>
      <c r="AE196" s="11"/>
      <c r="AF196" t="s">
        <v>218</v>
      </c>
      <c r="AG196" s="17" t="s">
        <v>43</v>
      </c>
      <c r="AH196" s="12">
        <v>1200.0</v>
      </c>
      <c r="AI196" s="12" t="s">
        <v>536</v>
      </c>
      <c r="AJ196" s="19" t="s">
        <v>537</v>
      </c>
      <c r="AK196" s="20" t="str">
        <f>HYPERLINK("https://docs.google.com/document/d/1633f9rTaCMPyS4IZy7tFzPfoCMpeoOCM4AqFBr6ZdaU/edit?usp=drivesdk","Ben Mowbray - 11/10/2018 10:00 AM")</f>
        <v>Ben Mowbray - 11/10/2018 10:00 AM</v>
      </c>
      <c r="AL196" s="12" t="s">
        <v>538</v>
      </c>
    </row>
    <row r="197">
      <c r="A197" s="10">
        <f>IFERROR(__xludf.DUMMYFUNCTION("""COMPUTED_VALUE"""),43417.557462129625)</f>
        <v>43417.55746</v>
      </c>
      <c r="B197" s="11" t="str">
        <f>IFERROR(__xludf.DUMMYFUNCTION("""COMPUTED_VALUE"""),"Pamela Marcum")</f>
        <v>Pamela Marcum</v>
      </c>
      <c r="C197" t="str">
        <f>IFERROR(__xludf.DUMMYFUNCTION("""COMPUTED_VALUE"""),"Pamela.Marcum@dep.state.fl.us")</f>
        <v>Pamela.Marcum@dep.state.fl.us</v>
      </c>
      <c r="D197" t="str">
        <f>IFERROR(__xludf.DUMMYFUNCTION("""COMPUTED_VALUE"""),"Research/Nikki")</f>
        <v>Research/Nikki</v>
      </c>
      <c r="E197" t="str">
        <f>IFERROR(__xludf.DUMMYFUNCTION("""COMPUTED_VALUE"""),"Aunt Kate's")</f>
        <v>Aunt Kate's</v>
      </c>
      <c r="F197" s="13">
        <f>IFERROR(__xludf.DUMMYFUNCTION("""COMPUTED_VALUE"""),0.5833333333321207)</f>
        <v>0.5833333333</v>
      </c>
      <c r="G197" s="14">
        <f>IFERROR(__xludf.DUMMYFUNCTION("""COMPUTED_VALUE"""),43417.0)</f>
        <v>43417</v>
      </c>
      <c r="H197" t="str">
        <f>IFERROR(__xludf.DUMMYFUNCTION("""COMPUTED_VALUE"""),"Pine Island then Hat Island")</f>
        <v>Pine Island then Hat Island</v>
      </c>
      <c r="I197" s="15">
        <f>IFERROR(__xludf.DUMMYFUNCTION("""COMPUTED_VALUE"""),0.6458333333321207)</f>
        <v>0.6458333333</v>
      </c>
      <c r="J197" s="16">
        <f>IFERROR(__xludf.DUMMYFUNCTION("""COMPUTED_VALUE"""),43417.66666666667)</f>
        <v>43417.66667</v>
      </c>
      <c r="K197" t="str">
        <f>IFERROR(__xludf.DUMMYFUNCTION("""COMPUTED_VALUE"""),"20ft Sea Ark FL5351SJ UNF 2015")</f>
        <v>20ft Sea Ark FL5351SJ UNF 2015</v>
      </c>
      <c r="M197" t="str">
        <f>IFERROR(__xludf.DUMMYFUNCTION("""COMPUTED_VALUE"""),"Ford F250 2017 (Moby Dix) - DEP0021578")</f>
        <v>Ford F250 2017 (Moby Dix) - DEP0021578</v>
      </c>
      <c r="N197" t="str">
        <f>IFERROR(__xludf.DUMMYFUNCTION("""COMPUTED_VALUE"""),"Pam Marcum, (480) 332-5414")</f>
        <v>Pam Marcum, (480) 332-5414</v>
      </c>
      <c r="O197" t="str">
        <f>IFERROR(__xludf.DUMMYFUNCTION("""COMPUTED_VALUE"""),"Michael Shirley, John Upton, Melissa")</f>
        <v>Michael Shirley, John Upton, Melissa</v>
      </c>
      <c r="P197" t="str">
        <f>IFERROR(__xludf.DUMMYFUNCTION("""COMPUTED_VALUE"""),"Pam")</f>
        <v>Pam</v>
      </c>
      <c r="Q197" t="str">
        <f>IFERROR(__xludf.DUMMYFUNCTION("""COMPUTED_VALUE"""),"Good")</f>
        <v>Good</v>
      </c>
      <c r="R197" t="str">
        <f>IFERROR(__xludf.DUMMYFUNCTION("""COMPUTED_VALUE"""),"Good")</f>
        <v>Good</v>
      </c>
      <c r="S197" t="str">
        <f>IFERROR(__xludf.DUMMYFUNCTION("""COMPUTED_VALUE"""),"Good")</f>
        <v>Good</v>
      </c>
      <c r="T197" t="str">
        <f>IFERROR(__xludf.DUMMYFUNCTION("""COMPUTED_VALUE"""),"Good")</f>
        <v>Good</v>
      </c>
      <c r="U197" t="str">
        <f>IFERROR(__xludf.DUMMYFUNCTION("""COMPUTED_VALUE"""),"Good")</f>
        <v>Good</v>
      </c>
      <c r="V197" t="str">
        <f>IFERROR(__xludf.DUMMYFUNCTION("""COMPUTED_VALUE"""),"Good")</f>
        <v>Good</v>
      </c>
      <c r="W197" t="str">
        <f>IFERROR(__xludf.DUMMYFUNCTION("""COMPUTED_VALUE"""),"Good")</f>
        <v>Good</v>
      </c>
      <c r="X197" t="str">
        <f>IFERROR(__xludf.DUMMYFUNCTION("""COMPUTED_VALUE"""),"Good")</f>
        <v>Good</v>
      </c>
      <c r="Y197" t="str">
        <f>IFERROR(__xludf.DUMMYFUNCTION("""COMPUTED_VALUE"""),"Good")</f>
        <v>Good</v>
      </c>
      <c r="Z197" t="str">
        <f>IFERROR(__xludf.DUMMYFUNCTION("""COMPUTED_VALUE"""),"Good")</f>
        <v>Good</v>
      </c>
      <c r="AA197" t="str">
        <f>IFERROR(__xludf.DUMMYFUNCTION("""COMPUTED_VALUE"""),"Good")</f>
        <v>Good</v>
      </c>
      <c r="AB197" t="str">
        <f>IFERROR(__xludf.DUMMYFUNCTION("""COMPUTED_VALUE"""),"Good")</f>
        <v>Good</v>
      </c>
      <c r="AC197" t="str">
        <f>IFERROR(__xludf.DUMMYFUNCTION("""COMPUTED_VALUE"""),"Good")</f>
        <v>Good</v>
      </c>
      <c r="AE197" s="11"/>
      <c r="AF197" t="s">
        <v>218</v>
      </c>
      <c r="AG197" s="18"/>
      <c r="AH197" s="12">
        <v>1600.0</v>
      </c>
      <c r="AI197" s="12" t="s">
        <v>539</v>
      </c>
      <c r="AJ197" s="19" t="s">
        <v>540</v>
      </c>
      <c r="AK197" s="20" t="str">
        <f>HYPERLINK("https://docs.google.com/document/d/1PL271tW_lqAUNom36USh5xQ5-3Fx9KBM5GmY4JnYfd4/edit?usp=drivesdk","Pamela Marcum - 11/13/2018 2:00 PM")</f>
        <v>Pamela Marcum - 11/13/2018 2:00 PM</v>
      </c>
      <c r="AL197" s="12" t="s">
        <v>541</v>
      </c>
    </row>
    <row r="198">
      <c r="A198" s="10">
        <f>IFERROR(__xludf.DUMMYFUNCTION("""COMPUTED_VALUE"""),43417.63059305556)</f>
        <v>43417.63059</v>
      </c>
      <c r="B198" s="11" t="str">
        <f>IFERROR(__xludf.DUMMYFUNCTION("""COMPUTED_VALUE"""),"Silas Tanner")</f>
        <v>Silas Tanner</v>
      </c>
      <c r="C198" t="str">
        <f>IFERROR(__xludf.DUMMYFUNCTION("""COMPUTED_VALUE"""),"silas.tanner@floridadep.gov")</f>
        <v>silas.tanner@floridadep.gov</v>
      </c>
      <c r="D198" t="str">
        <f>IFERROR(__xludf.DUMMYFUNCTION("""COMPUTED_VALUE"""),"Research/Nikki")</f>
        <v>Research/Nikki</v>
      </c>
      <c r="E198" t="str">
        <f>IFERROR(__xludf.DUMMYFUNCTION("""COMPUTED_VALUE"""),"Vilano county ramp")</f>
        <v>Vilano county ramp</v>
      </c>
      <c r="F198" s="13">
        <f>IFERROR(__xludf.DUMMYFUNCTION("""COMPUTED_VALUE"""),0.4375)</f>
        <v>0.4375</v>
      </c>
      <c r="G198" s="14">
        <f>IFERROR(__xludf.DUMMYFUNCTION("""COMPUTED_VALUE"""),43418.0)</f>
        <v>43418</v>
      </c>
      <c r="H198" t="str">
        <f>IFERROR(__xludf.DUMMYFUNCTION("""COMPUTED_VALUE"""),"ICW SWMP sites")</f>
        <v>ICW SWMP sites</v>
      </c>
      <c r="I198" s="15">
        <f>IFERROR(__xludf.DUMMYFUNCTION("""COMPUTED_VALUE"""),0.5833333333321207)</f>
        <v>0.5833333333</v>
      </c>
      <c r="J198" s="16">
        <f>IFERROR(__xludf.DUMMYFUNCTION("""COMPUTED_VALUE"""),43418.59375)</f>
        <v>43418.59375</v>
      </c>
      <c r="K198" t="str">
        <f>IFERROR(__xludf.DUMMYFUNCTION("""COMPUTED_VALUE"""),"20ft Sea Ark FL5351SJ UNF 2015")</f>
        <v>20ft Sea Ark FL5351SJ UNF 2015</v>
      </c>
      <c r="M198" t="str">
        <f>IFERROR(__xludf.DUMMYFUNCTION("""COMPUTED_VALUE"""),"Ford F250 2017 (Moby Dix) - DEP0021578")</f>
        <v>Ford F250 2017 (Moby Dix) - DEP0021578</v>
      </c>
      <c r="N198" t="str">
        <f>IFERROR(__xludf.DUMMYFUNCTION("""COMPUTED_VALUE"""),"Shannon Dunnigan, (803) 727-5734, Silas Tanner, (904) 483-8423")</f>
        <v>Shannon Dunnigan, (803) 727-5734, Silas Tanner, (904) 483-8423</v>
      </c>
      <c r="O198" t="str">
        <f>IFERROR(__xludf.DUMMYFUNCTION("""COMPUTED_VALUE"""),"Mike Darragh ")</f>
        <v>Mike Darragh </v>
      </c>
      <c r="P198" t="str">
        <f>IFERROR(__xludf.DUMMYFUNCTION("""COMPUTED_VALUE"""),"Dunnigan")</f>
        <v>Dunnigan</v>
      </c>
      <c r="Q198" t="str">
        <f>IFERROR(__xludf.DUMMYFUNCTION("""COMPUTED_VALUE"""),"Good")</f>
        <v>Good</v>
      </c>
      <c r="R198" t="str">
        <f>IFERROR(__xludf.DUMMYFUNCTION("""COMPUTED_VALUE"""),"Good")</f>
        <v>Good</v>
      </c>
      <c r="S198" t="str">
        <f>IFERROR(__xludf.DUMMYFUNCTION("""COMPUTED_VALUE"""),"Good")</f>
        <v>Good</v>
      </c>
      <c r="T198" t="str">
        <f>IFERROR(__xludf.DUMMYFUNCTION("""COMPUTED_VALUE"""),"Good")</f>
        <v>Good</v>
      </c>
      <c r="U198" t="str">
        <f>IFERROR(__xludf.DUMMYFUNCTION("""COMPUTED_VALUE"""),"Good")</f>
        <v>Good</v>
      </c>
      <c r="V198" t="str">
        <f>IFERROR(__xludf.DUMMYFUNCTION("""COMPUTED_VALUE"""),"Good")</f>
        <v>Good</v>
      </c>
      <c r="W198" t="str">
        <f>IFERROR(__xludf.DUMMYFUNCTION("""COMPUTED_VALUE"""),"Good")</f>
        <v>Good</v>
      </c>
      <c r="X198" t="str">
        <f>IFERROR(__xludf.DUMMYFUNCTION("""COMPUTED_VALUE"""),"Good")</f>
        <v>Good</v>
      </c>
      <c r="Y198" t="str">
        <f>IFERROR(__xludf.DUMMYFUNCTION("""COMPUTED_VALUE"""),"Good")</f>
        <v>Good</v>
      </c>
      <c r="Z198" t="str">
        <f>IFERROR(__xludf.DUMMYFUNCTION("""COMPUTED_VALUE"""),"Good")</f>
        <v>Good</v>
      </c>
      <c r="AA198" t="str">
        <f>IFERROR(__xludf.DUMMYFUNCTION("""COMPUTED_VALUE"""),"Good")</f>
        <v>Good</v>
      </c>
      <c r="AB198" t="str">
        <f>IFERROR(__xludf.DUMMYFUNCTION("""COMPUTED_VALUE"""),"Good")</f>
        <v>Good</v>
      </c>
      <c r="AC198" t="str">
        <f>IFERROR(__xludf.DUMMYFUNCTION("""COMPUTED_VALUE"""),"Good")</f>
        <v>Good</v>
      </c>
      <c r="AE198" s="11"/>
      <c r="AF198" t="s">
        <v>218</v>
      </c>
      <c r="AG198" s="18"/>
      <c r="AI198" s="12" t="s">
        <v>542</v>
      </c>
      <c r="AJ198" s="19" t="s">
        <v>543</v>
      </c>
      <c r="AK198" s="20" t="str">
        <f>HYPERLINK("https://docs.google.com/document/d/1kbvT1CsqWVSgIaGJKDYhYIm_4ojgiC2OS4qGLdNc4tI/edit?usp=drivesdk","Silas Tanner - 11/14/2018 10:30 AM")</f>
        <v>Silas Tanner - 11/14/2018 10:30 AM</v>
      </c>
      <c r="AL198" s="12" t="s">
        <v>544</v>
      </c>
    </row>
    <row r="199">
      <c r="A199" s="10">
        <f>IFERROR(__xludf.DUMMYFUNCTION("""COMPUTED_VALUE"""),43419.43572765047)</f>
        <v>43419.43573</v>
      </c>
      <c r="B199" s="11" t="str">
        <f>IFERROR(__xludf.DUMMYFUNCTION("""COMPUTED_VALUE"""),"Silas Tanner")</f>
        <v>Silas Tanner</v>
      </c>
      <c r="C199" t="str">
        <f>IFERROR(__xludf.DUMMYFUNCTION("""COMPUTED_VALUE"""),"silas.tanner@floridadep.gov")</f>
        <v>silas.tanner@floridadep.gov</v>
      </c>
      <c r="D199" t="str">
        <f>IFERROR(__xludf.DUMMYFUNCTION("""COMPUTED_VALUE"""),"Research/Nikki")</f>
        <v>Research/Nikki</v>
      </c>
      <c r="E199" t="str">
        <f>IFERROR(__xludf.DUMMYFUNCTION("""COMPUTED_VALUE"""),"Vilano county ramp")</f>
        <v>Vilano county ramp</v>
      </c>
      <c r="F199" s="13">
        <f>IFERROR(__xludf.DUMMYFUNCTION("""COMPUTED_VALUE"""),0.4583333333321207)</f>
        <v>0.4583333333</v>
      </c>
      <c r="G199" s="14">
        <f>IFERROR(__xludf.DUMMYFUNCTION("""COMPUTED_VALUE"""),43419.0)</f>
        <v>43419</v>
      </c>
      <c r="H199" t="str">
        <f>IFERROR(__xludf.DUMMYFUNCTION("""COMPUTED_VALUE"""),"ICW - SWMP sites")</f>
        <v>ICW - SWMP sites</v>
      </c>
      <c r="I199" s="15">
        <f>IFERROR(__xludf.DUMMYFUNCTION("""COMPUTED_VALUE"""),0.625)</f>
        <v>0.625</v>
      </c>
      <c r="J199" s="16">
        <f>IFERROR(__xludf.DUMMYFUNCTION("""COMPUTED_VALUE"""),43419.63541666667)</f>
        <v>43419.63542</v>
      </c>
      <c r="K199" t="str">
        <f>IFERROR(__xludf.DUMMYFUNCTION("""COMPUTED_VALUE"""),"20ft Sea Ark FL5351SJ UNF 2015")</f>
        <v>20ft Sea Ark FL5351SJ UNF 2015</v>
      </c>
      <c r="M199" t="str">
        <f>IFERROR(__xludf.DUMMYFUNCTION("""COMPUTED_VALUE"""),"Ford F250 2017 (Moby Dix) - DEP0021578")</f>
        <v>Ford F250 2017 (Moby Dix) - DEP0021578</v>
      </c>
      <c r="N199" t="str">
        <f>IFERROR(__xludf.DUMMYFUNCTION("""COMPUTED_VALUE"""),"Silas Tanner, (904) 483-8423")</f>
        <v>Silas Tanner, (904) 483-8423</v>
      </c>
      <c r="O199" t="str">
        <f>IFERROR(__xludf.DUMMYFUNCTION("""COMPUTED_VALUE"""),"Hunter Mathews, Mike Darragh")</f>
        <v>Hunter Mathews, Mike Darragh</v>
      </c>
      <c r="P199" t="str">
        <f>IFERROR(__xludf.DUMMYFUNCTION("""COMPUTED_VALUE"""),"S. Tanner")</f>
        <v>S. Tanner</v>
      </c>
      <c r="Q199" t="str">
        <f>IFERROR(__xludf.DUMMYFUNCTION("""COMPUTED_VALUE"""),"Good")</f>
        <v>Good</v>
      </c>
      <c r="R199" t="str">
        <f>IFERROR(__xludf.DUMMYFUNCTION("""COMPUTED_VALUE"""),"Good")</f>
        <v>Good</v>
      </c>
      <c r="S199" t="str">
        <f>IFERROR(__xludf.DUMMYFUNCTION("""COMPUTED_VALUE"""),"Good")</f>
        <v>Good</v>
      </c>
      <c r="T199" t="str">
        <f>IFERROR(__xludf.DUMMYFUNCTION("""COMPUTED_VALUE"""),"Good")</f>
        <v>Good</v>
      </c>
      <c r="U199" t="str">
        <f>IFERROR(__xludf.DUMMYFUNCTION("""COMPUTED_VALUE"""),"Good")</f>
        <v>Good</v>
      </c>
      <c r="V199" t="str">
        <f>IFERROR(__xludf.DUMMYFUNCTION("""COMPUTED_VALUE"""),"Good")</f>
        <v>Good</v>
      </c>
      <c r="W199" t="str">
        <f>IFERROR(__xludf.DUMMYFUNCTION("""COMPUTED_VALUE"""),"Good")</f>
        <v>Good</v>
      </c>
      <c r="X199" t="str">
        <f>IFERROR(__xludf.DUMMYFUNCTION("""COMPUTED_VALUE"""),"Good")</f>
        <v>Good</v>
      </c>
      <c r="Y199" t="str">
        <f>IFERROR(__xludf.DUMMYFUNCTION("""COMPUTED_VALUE"""),"Good")</f>
        <v>Good</v>
      </c>
      <c r="Z199" t="str">
        <f>IFERROR(__xludf.DUMMYFUNCTION("""COMPUTED_VALUE"""),"Good")</f>
        <v>Good</v>
      </c>
      <c r="AA199" t="str">
        <f>IFERROR(__xludf.DUMMYFUNCTION("""COMPUTED_VALUE"""),"Good")</f>
        <v>Good</v>
      </c>
      <c r="AB199" t="str">
        <f>IFERROR(__xludf.DUMMYFUNCTION("""COMPUTED_VALUE"""),"Good")</f>
        <v>Good</v>
      </c>
      <c r="AC199" t="str">
        <f>IFERROR(__xludf.DUMMYFUNCTION("""COMPUTED_VALUE"""),"Good")</f>
        <v>Good</v>
      </c>
      <c r="AE199" s="11"/>
      <c r="AF199" t="s">
        <v>218</v>
      </c>
      <c r="AG199" s="17" t="s">
        <v>128</v>
      </c>
      <c r="AH199" s="12">
        <v>1430.0</v>
      </c>
      <c r="AI199" s="12" t="s">
        <v>545</v>
      </c>
      <c r="AJ199" s="19" t="s">
        <v>546</v>
      </c>
      <c r="AK199" s="20" t="str">
        <f>HYPERLINK("https://docs.google.com/document/d/1Ro8NJhnFBHEkHT8r9UkoHcGushyxmf7T7UxF2d3EPTo/edit?usp=drivesdk","Silas Tanner - 11/15/2018 11:00 AM")</f>
        <v>Silas Tanner - 11/15/2018 11:00 AM</v>
      </c>
      <c r="AL199" s="12" t="s">
        <v>547</v>
      </c>
    </row>
    <row r="200">
      <c r="A200" s="10">
        <f>IFERROR(__xludf.DUMMYFUNCTION("""COMPUTED_VALUE"""),43430.614870833335)</f>
        <v>43430.61487</v>
      </c>
      <c r="B200" s="11" t="str">
        <f>IFERROR(__xludf.DUMMYFUNCTION("""COMPUTED_VALUE"""),"Ben Mowbray")</f>
        <v>Ben Mowbray</v>
      </c>
      <c r="C200" t="str">
        <f>IFERROR(__xludf.DUMMYFUNCTION("""COMPUTED_VALUE"""),"ben.mowbray@dep.state.fl.us")</f>
        <v>ben.mowbray@dep.state.fl.us</v>
      </c>
      <c r="D200" t="str">
        <f>IFERROR(__xludf.DUMMYFUNCTION("""COMPUTED_VALUE"""),"Research/Pam")</f>
        <v>Research/Pam</v>
      </c>
      <c r="E200" t="str">
        <f>IFERROR(__xludf.DUMMYFUNCTION("""COMPUTED_VALUE"""),"Douglas Crane")</f>
        <v>Douglas Crane</v>
      </c>
      <c r="F200" s="13">
        <f>IFERROR(__xludf.DUMMYFUNCTION("""COMPUTED_VALUE"""),0.6111111111094942)</f>
        <v>0.6111111111</v>
      </c>
      <c r="G200" s="14">
        <f>IFERROR(__xludf.DUMMYFUNCTION("""COMPUTED_VALUE"""),43431.0)</f>
        <v>43431</v>
      </c>
      <c r="H200" t="str">
        <f>IFERROR(__xludf.DUMMYFUNCTION("""COMPUTED_VALUE"""),"Chapman site and Marsh monitoring platforms")</f>
        <v>Chapman site and Marsh monitoring platforms</v>
      </c>
      <c r="I200" s="15">
        <f>IFERROR(__xludf.DUMMYFUNCTION("""COMPUTED_VALUE"""),0.6805555555547471)</f>
        <v>0.6805555556</v>
      </c>
      <c r="J200" s="16">
        <f>IFERROR(__xludf.DUMMYFUNCTION("""COMPUTED_VALUE"""),43431.70833333333)</f>
        <v>43431.70833</v>
      </c>
      <c r="K200" t="str">
        <f>IFERROR(__xludf.DUMMYFUNCTION("""COMPUTED_VALUE"""),"20ft Sea Ark FL5351SJ UNF 2015")</f>
        <v>20ft Sea Ark FL5351SJ UNF 2015</v>
      </c>
      <c r="M200" t="str">
        <f>IFERROR(__xludf.DUMMYFUNCTION("""COMPUTED_VALUE"""),"Ford F250 2017 (Moby Dix) - DEP0021578")</f>
        <v>Ford F250 2017 (Moby Dix) - DEP0021578</v>
      </c>
      <c r="N200" t="str">
        <f>IFERROR(__xludf.DUMMYFUNCTION("""COMPUTED_VALUE"""),"Ben Mowbray, (407) 962-8782")</f>
        <v>Ben Mowbray, (407) 962-8782</v>
      </c>
      <c r="O200" t="str">
        <f>IFERROR(__xludf.DUMMYFUNCTION("""COMPUTED_VALUE"""),"Gabby")</f>
        <v>Gabby</v>
      </c>
      <c r="P200" t="str">
        <f>IFERROR(__xludf.DUMMYFUNCTION("""COMPUTED_VALUE"""),"Ben")</f>
        <v>Ben</v>
      </c>
      <c r="Q200" t="str">
        <f>IFERROR(__xludf.DUMMYFUNCTION("""COMPUTED_VALUE"""),"Good")</f>
        <v>Good</v>
      </c>
      <c r="R200" t="str">
        <f>IFERROR(__xludf.DUMMYFUNCTION("""COMPUTED_VALUE"""),"Good")</f>
        <v>Good</v>
      </c>
      <c r="S200" t="str">
        <f>IFERROR(__xludf.DUMMYFUNCTION("""COMPUTED_VALUE"""),"Good")</f>
        <v>Good</v>
      </c>
      <c r="T200" t="str">
        <f>IFERROR(__xludf.DUMMYFUNCTION("""COMPUTED_VALUE"""),"Good")</f>
        <v>Good</v>
      </c>
      <c r="U200" t="str">
        <f>IFERROR(__xludf.DUMMYFUNCTION("""COMPUTED_VALUE"""),"Good")</f>
        <v>Good</v>
      </c>
      <c r="V200" t="str">
        <f>IFERROR(__xludf.DUMMYFUNCTION("""COMPUTED_VALUE"""),"Good")</f>
        <v>Good</v>
      </c>
      <c r="W200" t="str">
        <f>IFERROR(__xludf.DUMMYFUNCTION("""COMPUTED_VALUE"""),"Good")</f>
        <v>Good</v>
      </c>
      <c r="X200" t="str">
        <f>IFERROR(__xludf.DUMMYFUNCTION("""COMPUTED_VALUE"""),"Good")</f>
        <v>Good</v>
      </c>
      <c r="Y200" t="str">
        <f>IFERROR(__xludf.DUMMYFUNCTION("""COMPUTED_VALUE"""),"Good")</f>
        <v>Good</v>
      </c>
      <c r="Z200" t="str">
        <f>IFERROR(__xludf.DUMMYFUNCTION("""COMPUTED_VALUE"""),"Good")</f>
        <v>Good</v>
      </c>
      <c r="AA200" t="str">
        <f>IFERROR(__xludf.DUMMYFUNCTION("""COMPUTED_VALUE"""),"Good")</f>
        <v>Good</v>
      </c>
      <c r="AB200" t="str">
        <f>IFERROR(__xludf.DUMMYFUNCTION("""COMPUTED_VALUE"""),"Good")</f>
        <v>Good</v>
      </c>
      <c r="AC200" t="str">
        <f>IFERROR(__xludf.DUMMYFUNCTION("""COMPUTED_VALUE"""),"Good")</f>
        <v>Good</v>
      </c>
      <c r="AE200" s="11"/>
      <c r="AF200" t="s">
        <v>262</v>
      </c>
      <c r="AG200" s="17" t="s">
        <v>141</v>
      </c>
      <c r="AH200" s="12">
        <v>1620.0</v>
      </c>
      <c r="AI200" s="12" t="s">
        <v>548</v>
      </c>
      <c r="AJ200" s="19" t="s">
        <v>549</v>
      </c>
      <c r="AK200" s="20" t="str">
        <f>HYPERLINK("https://docs.google.com/document/d/1oCIbNyJwXRwNMINWHnLOK0AHi7aUYV5hxePSeCyfP2Q/edit?usp=drivesdk","Ben Mowbray - 11/27/2018 2:40 PM")</f>
        <v>Ben Mowbray - 11/27/2018 2:40 PM</v>
      </c>
      <c r="AL200" s="12" t="s">
        <v>550</v>
      </c>
    </row>
    <row r="201">
      <c r="A201" s="10">
        <f>IFERROR(__xludf.DUMMYFUNCTION("""COMPUTED_VALUE"""),43431.75820157407)</f>
        <v>43431.7582</v>
      </c>
      <c r="B201" s="11" t="str">
        <f>IFERROR(__xludf.DUMMYFUNCTION("""COMPUTED_VALUE"""),"Ben Mowbray")</f>
        <v>Ben Mowbray</v>
      </c>
      <c r="C201" t="str">
        <f>IFERROR(__xludf.DUMMYFUNCTION("""COMPUTED_VALUE"""),"ben.mowbray@dep.state.fl.us")</f>
        <v>ben.mowbray@dep.state.fl.us</v>
      </c>
      <c r="D201" t="str">
        <f>IFERROR(__xludf.DUMMYFUNCTION("""COMPUTED_VALUE"""),"Research/Nikki")</f>
        <v>Research/Nikki</v>
      </c>
      <c r="E201" t="str">
        <f>IFERROR(__xludf.DUMMYFUNCTION("""COMPUTED_VALUE"""),"Green Road")</f>
        <v>Green Road</v>
      </c>
      <c r="F201" s="13">
        <f>IFERROR(__xludf.DUMMYFUNCTION("""COMPUTED_VALUE"""),0.40972222222262644)</f>
        <v>0.4097222222</v>
      </c>
      <c r="G201" s="14">
        <f>IFERROR(__xludf.DUMMYFUNCTION("""COMPUTED_VALUE"""),43431.0)</f>
        <v>43431</v>
      </c>
      <c r="H201" t="str">
        <f>IFERROR(__xludf.DUMMYFUNCTION("""COMPUTED_VALUE"""),"Moses Creek, Devil's Elbow")</f>
        <v>Moses Creek, Devil's Elbow</v>
      </c>
      <c r="I201" s="15">
        <f>IFERROR(__xludf.DUMMYFUNCTION("""COMPUTED_VALUE"""),0.6666666666678793)</f>
        <v>0.6666666667</v>
      </c>
      <c r="J201" s="16">
        <f>IFERROR(__xludf.DUMMYFUNCTION("""COMPUTED_VALUE"""),43431.72222222222)</f>
        <v>43431.72222</v>
      </c>
      <c r="K201" t="str">
        <f>IFERROR(__xludf.DUMMYFUNCTION("""COMPUTED_VALUE"""),"20ft Sea Ark FL5351SJ UNF 2015")</f>
        <v>20ft Sea Ark FL5351SJ UNF 2015</v>
      </c>
      <c r="M201" t="str">
        <f>IFERROR(__xludf.DUMMYFUNCTION("""COMPUTED_VALUE"""),"Ford F250 2017 (Moby Dix) - DEP0021578")</f>
        <v>Ford F250 2017 (Moby Dix) - DEP0021578</v>
      </c>
      <c r="N201" t="str">
        <f>IFERROR(__xludf.DUMMYFUNCTION("""COMPUTED_VALUE"""),"Ben Mowbray, (407) 962-8782")</f>
        <v>Ben Mowbray, (407) 962-8782</v>
      </c>
      <c r="O201" t="str">
        <f>IFERROR(__xludf.DUMMYFUNCTION("""COMPUTED_VALUE"""),"Nicole Peckham, Rodrigo Pavani, Adrienne Brief-Pilz")</f>
        <v>Nicole Peckham, Rodrigo Pavani, Adrienne Brief-Pilz</v>
      </c>
      <c r="P201" t="str">
        <f>IFERROR(__xludf.DUMMYFUNCTION("""COMPUTED_VALUE"""),"Ben")</f>
        <v>Ben</v>
      </c>
      <c r="Q201" t="str">
        <f>IFERROR(__xludf.DUMMYFUNCTION("""COMPUTED_VALUE"""),"Good")</f>
        <v>Good</v>
      </c>
      <c r="R201" t="str">
        <f>IFERROR(__xludf.DUMMYFUNCTION("""COMPUTED_VALUE"""),"Good")</f>
        <v>Good</v>
      </c>
      <c r="S201" t="str">
        <f>IFERROR(__xludf.DUMMYFUNCTION("""COMPUTED_VALUE"""),"Good")</f>
        <v>Good</v>
      </c>
      <c r="T201" t="str">
        <f>IFERROR(__xludf.DUMMYFUNCTION("""COMPUTED_VALUE"""),"Good")</f>
        <v>Good</v>
      </c>
      <c r="U201" t="str">
        <f>IFERROR(__xludf.DUMMYFUNCTION("""COMPUTED_VALUE"""),"Good")</f>
        <v>Good</v>
      </c>
      <c r="V201" t="str">
        <f>IFERROR(__xludf.DUMMYFUNCTION("""COMPUTED_VALUE"""),"Good")</f>
        <v>Good</v>
      </c>
      <c r="W201" t="str">
        <f>IFERROR(__xludf.DUMMYFUNCTION("""COMPUTED_VALUE"""),"Good")</f>
        <v>Good</v>
      </c>
      <c r="X201" t="str">
        <f>IFERROR(__xludf.DUMMYFUNCTION("""COMPUTED_VALUE"""),"Good")</f>
        <v>Good</v>
      </c>
      <c r="Y201" t="str">
        <f>IFERROR(__xludf.DUMMYFUNCTION("""COMPUTED_VALUE"""),"Good")</f>
        <v>Good</v>
      </c>
      <c r="Z201" t="str">
        <f>IFERROR(__xludf.DUMMYFUNCTION("""COMPUTED_VALUE"""),"Good")</f>
        <v>Good</v>
      </c>
      <c r="AA201" t="str">
        <f>IFERROR(__xludf.DUMMYFUNCTION("""COMPUTED_VALUE"""),"Good")</f>
        <v>Good</v>
      </c>
      <c r="AB201" t="str">
        <f>IFERROR(__xludf.DUMMYFUNCTION("""COMPUTED_VALUE"""),"Good")</f>
        <v>Good</v>
      </c>
      <c r="AC201" t="str">
        <f>IFERROR(__xludf.DUMMYFUNCTION("""COMPUTED_VALUE"""),"Good")</f>
        <v>Good</v>
      </c>
      <c r="AE201" s="11"/>
      <c r="AF201" t="s">
        <v>218</v>
      </c>
      <c r="AG201" s="17" t="s">
        <v>448</v>
      </c>
      <c r="AH201" s="12">
        <v>1215.0</v>
      </c>
      <c r="AI201" s="12" t="s">
        <v>551</v>
      </c>
      <c r="AJ201" s="19" t="s">
        <v>552</v>
      </c>
      <c r="AK201" s="20" t="str">
        <f>HYPERLINK("https://docs.google.com/document/d/1UytU1qoyfwDOxvXCNFzuyxYJSlOMrr0F6BOQspPMTz0/edit?usp=drivesdk","Ben Mowbray - 11/27/2018 9:50 AM")</f>
        <v>Ben Mowbray - 11/27/2018 9:50 AM</v>
      </c>
      <c r="AL201" s="12" t="s">
        <v>553</v>
      </c>
    </row>
    <row r="202">
      <c r="A202" s="10">
        <f>IFERROR(__xludf.DUMMYFUNCTION("""COMPUTED_VALUE"""),43433.29053157407)</f>
        <v>43433.29053</v>
      </c>
      <c r="B202" s="11" t="str">
        <f>IFERROR(__xludf.DUMMYFUNCTION("""COMPUTED_VALUE"""),"Ben Mowbray")</f>
        <v>Ben Mowbray</v>
      </c>
      <c r="C202" t="str">
        <f>IFERROR(__xludf.DUMMYFUNCTION("""COMPUTED_VALUE"""),"ben.mowbray@dep.state.fl.us")</f>
        <v>ben.mowbray@dep.state.fl.us</v>
      </c>
      <c r="D202" t="str">
        <f>IFERROR(__xludf.DUMMYFUNCTION("""COMPUTED_VALUE"""),"Research/Pam")</f>
        <v>Research/Pam</v>
      </c>
      <c r="E202" t="str">
        <f>IFERROR(__xludf.DUMMYFUNCTION("""COMPUTED_VALUE"""),"Whitney")</f>
        <v>Whitney</v>
      </c>
      <c r="F202" s="13">
        <f>IFERROR(__xludf.DUMMYFUNCTION("""COMPUTED_VALUE"""),0.34722222222262644)</f>
        <v>0.3472222222</v>
      </c>
      <c r="G202" s="14">
        <f>IFERROR(__xludf.DUMMYFUNCTION("""COMPUTED_VALUE"""),43433.0)</f>
        <v>43433</v>
      </c>
      <c r="H202" t="str">
        <f>IFERROR(__xludf.DUMMYFUNCTION("""COMPUTED_VALUE"""),"Pellicer and Devil's Elbow reefs")</f>
        <v>Pellicer and Devil's Elbow reefs</v>
      </c>
      <c r="I202" s="15">
        <f>IFERROR(__xludf.DUMMYFUNCTION("""COMPUTED_VALUE"""),0.5833333333321207)</f>
        <v>0.5833333333</v>
      </c>
      <c r="J202" s="16">
        <f>IFERROR(__xludf.DUMMYFUNCTION("""COMPUTED_VALUE"""),43433.63888888889)</f>
        <v>43433.63889</v>
      </c>
      <c r="K202" t="str">
        <f>IFERROR(__xludf.DUMMYFUNCTION("""COMPUTED_VALUE"""),"20ft Sea Ark FL5351SJ UNF 2015")</f>
        <v>20ft Sea Ark FL5351SJ UNF 2015</v>
      </c>
      <c r="M202" t="str">
        <f>IFERROR(__xludf.DUMMYFUNCTION("""COMPUTED_VALUE"""),"Ford F250 2017 (Moby Dix) - DEP0021578")</f>
        <v>Ford F250 2017 (Moby Dix) - DEP0021578</v>
      </c>
      <c r="N202" t="str">
        <f>IFERROR(__xludf.DUMMYFUNCTION("""COMPUTED_VALUE"""),"Ben Mowbray, (407) 962-8782")</f>
        <v>Ben Mowbray, (407) 962-8782</v>
      </c>
      <c r="O202" t="str">
        <f>IFERROR(__xludf.DUMMYFUNCTION("""COMPUTED_VALUE"""),"Nicole Peckham, Adrienne Brief-Pilz")</f>
        <v>Nicole Peckham, Adrienne Brief-Pilz</v>
      </c>
      <c r="P202" t="str">
        <f>IFERROR(__xludf.DUMMYFUNCTION("""COMPUTED_VALUE"""),"Ben")</f>
        <v>Ben</v>
      </c>
      <c r="Q202" t="str">
        <f>IFERROR(__xludf.DUMMYFUNCTION("""COMPUTED_VALUE"""),"Good")</f>
        <v>Good</v>
      </c>
      <c r="R202" t="str">
        <f>IFERROR(__xludf.DUMMYFUNCTION("""COMPUTED_VALUE"""),"Good")</f>
        <v>Good</v>
      </c>
      <c r="S202" t="str">
        <f>IFERROR(__xludf.DUMMYFUNCTION("""COMPUTED_VALUE"""),"Good")</f>
        <v>Good</v>
      </c>
      <c r="T202" t="str">
        <f>IFERROR(__xludf.DUMMYFUNCTION("""COMPUTED_VALUE"""),"Good")</f>
        <v>Good</v>
      </c>
      <c r="U202" t="str">
        <f>IFERROR(__xludf.DUMMYFUNCTION("""COMPUTED_VALUE"""),"Good")</f>
        <v>Good</v>
      </c>
      <c r="V202" t="str">
        <f>IFERROR(__xludf.DUMMYFUNCTION("""COMPUTED_VALUE"""),"Good")</f>
        <v>Good</v>
      </c>
      <c r="W202" t="str">
        <f>IFERROR(__xludf.DUMMYFUNCTION("""COMPUTED_VALUE"""),"Good")</f>
        <v>Good</v>
      </c>
      <c r="X202" t="str">
        <f>IFERROR(__xludf.DUMMYFUNCTION("""COMPUTED_VALUE"""),"Good")</f>
        <v>Good</v>
      </c>
      <c r="Y202" t="str">
        <f>IFERROR(__xludf.DUMMYFUNCTION("""COMPUTED_VALUE"""),"Good")</f>
        <v>Good</v>
      </c>
      <c r="Z202" t="str">
        <f>IFERROR(__xludf.DUMMYFUNCTION("""COMPUTED_VALUE"""),"Good")</f>
        <v>Good</v>
      </c>
      <c r="AA202" t="str">
        <f>IFERROR(__xludf.DUMMYFUNCTION("""COMPUTED_VALUE"""),"Good")</f>
        <v>Good</v>
      </c>
      <c r="AB202" t="str">
        <f>IFERROR(__xludf.DUMMYFUNCTION("""COMPUTED_VALUE"""),"Good")</f>
        <v>Good</v>
      </c>
      <c r="AC202" t="str">
        <f>IFERROR(__xludf.DUMMYFUNCTION("""COMPUTED_VALUE"""),"Good")</f>
        <v>Good</v>
      </c>
      <c r="AE202" s="11"/>
      <c r="AF202" t="s">
        <v>262</v>
      </c>
      <c r="AG202" s="17" t="s">
        <v>448</v>
      </c>
      <c r="AH202" s="12">
        <v>1200.0</v>
      </c>
      <c r="AI202" s="12" t="s">
        <v>554</v>
      </c>
      <c r="AJ202" s="19" t="s">
        <v>555</v>
      </c>
      <c r="AK202" s="20" t="str">
        <f>HYPERLINK("https://docs.google.com/document/d/1WPXaA7dO7Ju4PLovG3d8P_hfoKL3mzHt2dO7NERh5Nc/edit?usp=drivesdk","Ben Mowbray - 11/29/2018 8:20 AM")</f>
        <v>Ben Mowbray - 11/29/2018 8:20 AM</v>
      </c>
      <c r="AL202" s="12" t="s">
        <v>556</v>
      </c>
    </row>
    <row r="203">
      <c r="A203" s="10">
        <f>IFERROR(__xludf.DUMMYFUNCTION("""COMPUTED_VALUE"""),43434.28727134259)</f>
        <v>43434.28727</v>
      </c>
      <c r="B203" s="11" t="str">
        <f>IFERROR(__xludf.DUMMYFUNCTION("""COMPUTED_VALUE"""),"Ben Mowbray")</f>
        <v>Ben Mowbray</v>
      </c>
      <c r="C203" t="str">
        <f>IFERROR(__xludf.DUMMYFUNCTION("""COMPUTED_VALUE"""),"ben.mowbray@dep.state.fl.us")</f>
        <v>ben.mowbray@dep.state.fl.us</v>
      </c>
      <c r="D203" t="str">
        <f>IFERROR(__xludf.DUMMYFUNCTION("""COMPUTED_VALUE"""),"Research/Nikki")</f>
        <v>Research/Nikki</v>
      </c>
      <c r="E203" t="str">
        <f>IFERROR(__xludf.DUMMYFUNCTION("""COMPUTED_VALUE"""),"Aunt Kate's")</f>
        <v>Aunt Kate's</v>
      </c>
      <c r="F203" s="13">
        <f>IFERROR(__xludf.DUMMYFUNCTION("""COMPUTED_VALUE"""),0.3055555555547471)</f>
        <v>0.3055555556</v>
      </c>
      <c r="G203" s="14">
        <f>IFERROR(__xludf.DUMMYFUNCTION("""COMPUTED_VALUE"""),43434.0)</f>
        <v>43434</v>
      </c>
      <c r="H203" t="str">
        <f>IFERROR(__xludf.DUMMYFUNCTION("""COMPUTED_VALUE"""),"TR, GR, SR reefs")</f>
        <v>TR, GR, SR reefs</v>
      </c>
      <c r="I203" s="15">
        <f>IFERROR(__xludf.DUMMYFUNCTION("""COMPUTED_VALUE"""),0.5138888888905058)</f>
        <v>0.5138888889</v>
      </c>
      <c r="J203" s="16">
        <f>IFERROR(__xludf.DUMMYFUNCTION("""COMPUTED_VALUE"""),43434.54166666667)</f>
        <v>43434.54167</v>
      </c>
      <c r="K203" t="str">
        <f>IFERROR(__xludf.DUMMYFUNCTION("""COMPUTED_VALUE"""),"20ft Sea Ark FL5351SJ UNF 2015")</f>
        <v>20ft Sea Ark FL5351SJ UNF 2015</v>
      </c>
      <c r="M203" t="str">
        <f>IFERROR(__xludf.DUMMYFUNCTION("""COMPUTED_VALUE"""),"Ford F250 2017 (Moby Dix) - DEP0021578")</f>
        <v>Ford F250 2017 (Moby Dix) - DEP0021578</v>
      </c>
      <c r="N203" t="str">
        <f>IFERROR(__xludf.DUMMYFUNCTION("""COMPUTED_VALUE"""),"Ben Mowbray, (407) 962-8782")</f>
        <v>Ben Mowbray, (407) 962-8782</v>
      </c>
      <c r="O203" t="str">
        <f>IFERROR(__xludf.DUMMYFUNCTION("""COMPUTED_VALUE"""),"Alicia Bishop")</f>
        <v>Alicia Bishop</v>
      </c>
      <c r="P203" t="str">
        <f>IFERROR(__xludf.DUMMYFUNCTION("""COMPUTED_VALUE"""),"Ben")</f>
        <v>Ben</v>
      </c>
      <c r="Q203" t="str">
        <f>IFERROR(__xludf.DUMMYFUNCTION("""COMPUTED_VALUE"""),"Good")</f>
        <v>Good</v>
      </c>
      <c r="R203" t="str">
        <f>IFERROR(__xludf.DUMMYFUNCTION("""COMPUTED_VALUE"""),"Good")</f>
        <v>Good</v>
      </c>
      <c r="S203" t="str">
        <f>IFERROR(__xludf.DUMMYFUNCTION("""COMPUTED_VALUE"""),"Good")</f>
        <v>Good</v>
      </c>
      <c r="T203" t="str">
        <f>IFERROR(__xludf.DUMMYFUNCTION("""COMPUTED_VALUE"""),"Good")</f>
        <v>Good</v>
      </c>
      <c r="U203" t="str">
        <f>IFERROR(__xludf.DUMMYFUNCTION("""COMPUTED_VALUE"""),"Good")</f>
        <v>Good</v>
      </c>
      <c r="V203" t="str">
        <f>IFERROR(__xludf.DUMMYFUNCTION("""COMPUTED_VALUE"""),"Good")</f>
        <v>Good</v>
      </c>
      <c r="W203" t="str">
        <f>IFERROR(__xludf.DUMMYFUNCTION("""COMPUTED_VALUE"""),"Good")</f>
        <v>Good</v>
      </c>
      <c r="X203" t="str">
        <f>IFERROR(__xludf.DUMMYFUNCTION("""COMPUTED_VALUE"""),"Good")</f>
        <v>Good</v>
      </c>
      <c r="Y203" t="str">
        <f>IFERROR(__xludf.DUMMYFUNCTION("""COMPUTED_VALUE"""),"Good")</f>
        <v>Good</v>
      </c>
      <c r="Z203" t="str">
        <f>IFERROR(__xludf.DUMMYFUNCTION("""COMPUTED_VALUE"""),"Good")</f>
        <v>Good</v>
      </c>
      <c r="AA203" t="str">
        <f>IFERROR(__xludf.DUMMYFUNCTION("""COMPUTED_VALUE"""),"Good")</f>
        <v>Good</v>
      </c>
      <c r="AB203" t="str">
        <f>IFERROR(__xludf.DUMMYFUNCTION("""COMPUTED_VALUE"""),"Good")</f>
        <v>Good</v>
      </c>
      <c r="AC203" t="str">
        <f>IFERROR(__xludf.DUMMYFUNCTION("""COMPUTED_VALUE"""),"Good")</f>
        <v>Good</v>
      </c>
      <c r="AE203" s="11"/>
      <c r="AF203" t="s">
        <v>218</v>
      </c>
      <c r="AG203" s="18"/>
      <c r="AH203" s="12">
        <v>1130.0</v>
      </c>
      <c r="AI203" s="12" t="s">
        <v>557</v>
      </c>
      <c r="AJ203" s="19" t="s">
        <v>558</v>
      </c>
      <c r="AK203" s="20" t="str">
        <f>HYPERLINK("https://docs.google.com/document/d/1-6d6hvJWvO6BYtbO2WWaqb1in49kdbEkIdMZcbPaJuo/edit?usp=drivesdk","Ben Mowbray - 11/30/2018 7:20 AM")</f>
        <v>Ben Mowbray - 11/30/2018 7:20 AM</v>
      </c>
      <c r="AL203" s="12" t="s">
        <v>559</v>
      </c>
    </row>
    <row r="204">
      <c r="A204" s="10">
        <f>IFERROR(__xludf.DUMMYFUNCTION("""COMPUTED_VALUE"""),43434.29646001158)</f>
        <v>43434.29646</v>
      </c>
      <c r="B204" s="11" t="str">
        <f>IFERROR(__xludf.DUMMYFUNCTION("""COMPUTED_VALUE"""),"Pamela Marcum")</f>
        <v>Pamela Marcum</v>
      </c>
      <c r="C204" t="str">
        <f>IFERROR(__xludf.DUMMYFUNCTION("""COMPUTED_VALUE"""),"Pamela.Marcum@Dep.state.fl.us")</f>
        <v>Pamela.Marcum@Dep.state.fl.us</v>
      </c>
      <c r="D204" t="str">
        <f>IFERROR(__xludf.DUMMYFUNCTION("""COMPUTED_VALUE"""),"Research/Nikki")</f>
        <v>Research/Nikki</v>
      </c>
      <c r="E204" t="str">
        <f>IFERROR(__xludf.DUMMYFUNCTION("""COMPUTED_VALUE"""),"Shore 7:30am, Green 9am, Bings 11pm")</f>
        <v>Shore 7:30am, Green 9am, Bings 11pm</v>
      </c>
      <c r="F204" s="13">
        <f>IFERROR(__xludf.DUMMYFUNCTION("""COMPUTED_VALUE"""),0.3333333333321207)</f>
        <v>0.3333333333</v>
      </c>
      <c r="G204" s="14">
        <f>IFERROR(__xludf.DUMMYFUNCTION("""COMPUTED_VALUE"""),43434.0)</f>
        <v>43434</v>
      </c>
      <c r="H204" t="str">
        <f>IFERROR(__xludf.DUMMYFUNCTION("""COMPUTED_VALUE"""),"Spat Trees - Southern ")</f>
        <v>Spat Trees - Southern </v>
      </c>
      <c r="I204" s="15">
        <f>IFERROR(__xludf.DUMMYFUNCTION("""COMPUTED_VALUE"""),0.5416666666678793)</f>
        <v>0.5416666667</v>
      </c>
      <c r="J204" s="16">
        <f>IFERROR(__xludf.DUMMYFUNCTION("""COMPUTED_VALUE"""),43434.5625)</f>
        <v>43434.5625</v>
      </c>
      <c r="K204" t="str">
        <f>IFERROR(__xludf.DUMMYFUNCTION("""COMPUTED_VALUE"""),"17ft Skill FL0642GW DEP07239")</f>
        <v>17ft Skill FL0642GW DEP07239</v>
      </c>
      <c r="M204" t="str">
        <f>IFERROR(__xludf.DUMMYFUNCTION("""COMPUTED_VALUE"""),"Ford F150 2010 - DEP07668 (4 door)")</f>
        <v>Ford F150 2010 - DEP07668 (4 door)</v>
      </c>
      <c r="N204" t="str">
        <f>IFERROR(__xludf.DUMMYFUNCTION("""COMPUTED_VALUE"""),"Pam Marcum, (480) 332-5414")</f>
        <v>Pam Marcum, (480) 332-5414</v>
      </c>
      <c r="O204" t="str">
        <f>IFERROR(__xludf.DUMMYFUNCTION("""COMPUTED_VALUE"""),"Abby Kuhn")</f>
        <v>Abby Kuhn</v>
      </c>
      <c r="P204" t="str">
        <f>IFERROR(__xludf.DUMMYFUNCTION("""COMPUTED_VALUE"""),"Pam")</f>
        <v>Pam</v>
      </c>
      <c r="Q204" t="str">
        <f>IFERROR(__xludf.DUMMYFUNCTION("""COMPUTED_VALUE"""),"Good")</f>
        <v>Good</v>
      </c>
      <c r="R204" t="str">
        <f>IFERROR(__xludf.DUMMYFUNCTION("""COMPUTED_VALUE"""),"Good")</f>
        <v>Good</v>
      </c>
      <c r="S204" t="str">
        <f>IFERROR(__xludf.DUMMYFUNCTION("""COMPUTED_VALUE"""),"Good")</f>
        <v>Good</v>
      </c>
      <c r="T204" t="str">
        <f>IFERROR(__xludf.DUMMYFUNCTION("""COMPUTED_VALUE"""),"Good")</f>
        <v>Good</v>
      </c>
      <c r="U204" t="str">
        <f>IFERROR(__xludf.DUMMYFUNCTION("""COMPUTED_VALUE"""),"Good")</f>
        <v>Good</v>
      </c>
      <c r="V204" t="str">
        <f>IFERROR(__xludf.DUMMYFUNCTION("""COMPUTED_VALUE"""),"Good")</f>
        <v>Good</v>
      </c>
      <c r="W204" t="str">
        <f>IFERROR(__xludf.DUMMYFUNCTION("""COMPUTED_VALUE"""),"Good")</f>
        <v>Good</v>
      </c>
      <c r="X204" t="str">
        <f>IFERROR(__xludf.DUMMYFUNCTION("""COMPUTED_VALUE"""),"Good")</f>
        <v>Good</v>
      </c>
      <c r="Y204" t="str">
        <f>IFERROR(__xludf.DUMMYFUNCTION("""COMPUTED_VALUE"""),"Good")</f>
        <v>Good</v>
      </c>
      <c r="Z204" t="str">
        <f>IFERROR(__xludf.DUMMYFUNCTION("""COMPUTED_VALUE"""),"Good")</f>
        <v>Good</v>
      </c>
      <c r="AA204" t="str">
        <f>IFERROR(__xludf.DUMMYFUNCTION("""COMPUTED_VALUE"""),"Good")</f>
        <v>Good</v>
      </c>
      <c r="AB204" t="str">
        <f>IFERROR(__xludf.DUMMYFUNCTION("""COMPUTED_VALUE"""),"Good")</f>
        <v>Good</v>
      </c>
      <c r="AC204" t="str">
        <f>IFERROR(__xludf.DUMMYFUNCTION("""COMPUTED_VALUE"""),"Good")</f>
        <v>Good</v>
      </c>
      <c r="AE204" s="11"/>
      <c r="AF204" t="s">
        <v>218</v>
      </c>
      <c r="AG204" s="17" t="s">
        <v>560</v>
      </c>
      <c r="AH204" s="12">
        <v>1230.0</v>
      </c>
      <c r="AI204" s="12" t="s">
        <v>561</v>
      </c>
      <c r="AJ204" s="19" t="s">
        <v>562</v>
      </c>
      <c r="AK204" s="20" t="str">
        <f>HYPERLINK("https://docs.google.com/document/d/1GVAYZH_XWuygN1DJkmLahy2vWDXRXeAZcQd7hsb812o/edit?usp=drivesdk","Pamela Marcum - 11/30/2018 8:00 AM")</f>
        <v>Pamela Marcum - 11/30/2018 8:00 AM</v>
      </c>
      <c r="AL204" s="12" t="s">
        <v>563</v>
      </c>
    </row>
    <row r="205">
      <c r="A205" s="10">
        <f>IFERROR(__xludf.DUMMYFUNCTION("""COMPUTED_VALUE"""),43437.60707626157)</f>
        <v>43437.60708</v>
      </c>
      <c r="B205" s="11" t="str">
        <f>IFERROR(__xludf.DUMMYFUNCTION("""COMPUTED_VALUE"""),"Silas Tanner")</f>
        <v>Silas Tanner</v>
      </c>
      <c r="C205" t="str">
        <f>IFERROR(__xludf.DUMMYFUNCTION("""COMPUTED_VALUE"""),"silas.tanner@floridadep.gov")</f>
        <v>silas.tanner@floridadep.gov</v>
      </c>
      <c r="D205" t="str">
        <f>IFERROR(__xludf.DUMMYFUNCTION("""COMPUTED_VALUE"""),"Research/Nikki")</f>
        <v>Research/Nikki</v>
      </c>
      <c r="E205" t="str">
        <f>IFERROR(__xludf.DUMMYFUNCTION("""COMPUTED_VALUE"""),"Vilano Landing (county ramp)")</f>
        <v>Vilano Landing (county ramp)</v>
      </c>
      <c r="F205" s="13">
        <f>IFERROR(__xludf.DUMMYFUNCTION("""COMPUTED_VALUE"""),0.3125)</f>
        <v>0.3125</v>
      </c>
      <c r="G205" s="14">
        <f>IFERROR(__xludf.DUMMYFUNCTION("""COMPUTED_VALUE"""),43438.0)</f>
        <v>43438</v>
      </c>
      <c r="H205" t="str">
        <f>IFERROR(__xludf.DUMMYFUNCTION("""COMPUTED_VALUE"""),"ICW SWMP sites")</f>
        <v>ICW SWMP sites</v>
      </c>
      <c r="I205" s="15">
        <f>IFERROR(__xludf.DUMMYFUNCTION("""COMPUTED_VALUE"""),0.5625)</f>
        <v>0.5625</v>
      </c>
      <c r="J205" s="16">
        <f>IFERROR(__xludf.DUMMYFUNCTION("""COMPUTED_VALUE"""),43438.58333333333)</f>
        <v>43438.58333</v>
      </c>
      <c r="K205" t="str">
        <f>IFERROR(__xludf.DUMMYFUNCTION("""COMPUTED_VALUE"""),"F 20ft Sea Ark (Easy 200) FL8534PY DEP21451")</f>
        <v>F 20ft Sea Ark (Easy 200) FL8534PY DEP21451</v>
      </c>
      <c r="M205" t="str">
        <f>IFERROR(__xludf.DUMMYFUNCTION("""COMPUTED_VALUE"""),"Ford F250 2017 (Moby Dix) - DEP0021578")</f>
        <v>Ford F250 2017 (Moby Dix) - DEP0021578</v>
      </c>
      <c r="N205" t="str">
        <f>IFERROR(__xludf.DUMMYFUNCTION("""COMPUTED_VALUE"""),"Silas Tanner, (904) 483-8423, Jimmy Tomazinis, (904) 547-0094")</f>
        <v>Silas Tanner, (904) 483-8423, Jimmy Tomazinis, (904) 547-0094</v>
      </c>
      <c r="O205" t="str">
        <f>IFERROR(__xludf.DUMMYFUNCTION("""COMPUTED_VALUE"""),"Jeff Finnan")</f>
        <v>Jeff Finnan</v>
      </c>
      <c r="P205" t="str">
        <f>IFERROR(__xludf.DUMMYFUNCTION("""COMPUTED_VALUE"""),"S. Tanner")</f>
        <v>S. Tanner</v>
      </c>
      <c r="Q205" t="str">
        <f>IFERROR(__xludf.DUMMYFUNCTION("""COMPUTED_VALUE"""),"Good")</f>
        <v>Good</v>
      </c>
      <c r="R205" t="str">
        <f>IFERROR(__xludf.DUMMYFUNCTION("""COMPUTED_VALUE"""),"Good")</f>
        <v>Good</v>
      </c>
      <c r="S205" t="str">
        <f>IFERROR(__xludf.DUMMYFUNCTION("""COMPUTED_VALUE"""),"Good")</f>
        <v>Good</v>
      </c>
      <c r="T205" t="str">
        <f>IFERROR(__xludf.DUMMYFUNCTION("""COMPUTED_VALUE"""),"Good")</f>
        <v>Good</v>
      </c>
      <c r="U205" t="str">
        <f>IFERROR(__xludf.DUMMYFUNCTION("""COMPUTED_VALUE"""),"Good")</f>
        <v>Good</v>
      </c>
      <c r="V205" t="str">
        <f>IFERROR(__xludf.DUMMYFUNCTION("""COMPUTED_VALUE"""),"Good")</f>
        <v>Good</v>
      </c>
      <c r="W205" t="str">
        <f>IFERROR(__xludf.DUMMYFUNCTION("""COMPUTED_VALUE"""),"Good")</f>
        <v>Good</v>
      </c>
      <c r="X205" t="str">
        <f>IFERROR(__xludf.DUMMYFUNCTION("""COMPUTED_VALUE"""),"Good")</f>
        <v>Good</v>
      </c>
      <c r="Y205" t="str">
        <f>IFERROR(__xludf.DUMMYFUNCTION("""COMPUTED_VALUE"""),"Good")</f>
        <v>Good</v>
      </c>
      <c r="Z205" t="str">
        <f>IFERROR(__xludf.DUMMYFUNCTION("""COMPUTED_VALUE"""),"Good")</f>
        <v>Good</v>
      </c>
      <c r="AA205" t="str">
        <f>IFERROR(__xludf.DUMMYFUNCTION("""COMPUTED_VALUE"""),"Good")</f>
        <v>Good</v>
      </c>
      <c r="AB205" t="str">
        <f>IFERROR(__xludf.DUMMYFUNCTION("""COMPUTED_VALUE"""),"Good")</f>
        <v>Good</v>
      </c>
      <c r="AC205" t="str">
        <f>IFERROR(__xludf.DUMMYFUNCTION("""COMPUTED_VALUE"""),"Good")</f>
        <v>Good</v>
      </c>
      <c r="AE205" s="11"/>
      <c r="AF205" t="s">
        <v>218</v>
      </c>
      <c r="AG205" s="17" t="s">
        <v>18</v>
      </c>
      <c r="AH205" s="12">
        <v>1220.0</v>
      </c>
      <c r="AI205" s="12" t="s">
        <v>8</v>
      </c>
      <c r="AJ205" s="12" t="s">
        <v>8</v>
      </c>
      <c r="AK205" s="12" t="s">
        <v>8</v>
      </c>
      <c r="AL205" s="12" t="s">
        <v>8</v>
      </c>
    </row>
    <row r="206">
      <c r="A206" s="10">
        <f>IFERROR(__xludf.DUMMYFUNCTION("""COMPUTED_VALUE"""),43438.36863532407)</f>
        <v>43438.36864</v>
      </c>
      <c r="B206" s="11" t="str">
        <f>IFERROR(__xludf.DUMMYFUNCTION("""COMPUTED_VALUE"""),"Ben Mowbray")</f>
        <v>Ben Mowbray</v>
      </c>
      <c r="C206" t="str">
        <f>IFERROR(__xludf.DUMMYFUNCTION("""COMPUTED_VALUE"""),"ben.mowbray@dep.state.fl.us")</f>
        <v>ben.mowbray@dep.state.fl.us</v>
      </c>
      <c r="D206" t="str">
        <f>IFERROR(__xludf.DUMMYFUNCTION("""COMPUTED_VALUE"""),"Research/Nikki")</f>
        <v>Research/Nikki</v>
      </c>
      <c r="E206" t="str">
        <f>IFERROR(__xludf.DUMMYFUNCTION("""COMPUTED_VALUE"""),"Aunt Kate's")</f>
        <v>Aunt Kate's</v>
      </c>
      <c r="F206" s="13">
        <f>IFERROR(__xludf.DUMMYFUNCTION("""COMPUTED_VALUE"""),0.4305555555547471)</f>
        <v>0.4305555556</v>
      </c>
      <c r="G206" s="14">
        <f>IFERROR(__xludf.DUMMYFUNCTION("""COMPUTED_VALUE"""),43438.0)</f>
        <v>43438</v>
      </c>
      <c r="H206" t="str">
        <f>IFERROR(__xludf.DUMMYFUNCTION("""COMPUTED_VALUE"""),"RC, TR, and GR kimbro reefs")</f>
        <v>RC, TR, and GR kimbro reefs</v>
      </c>
      <c r="I206" s="15">
        <f>IFERROR(__xludf.DUMMYFUNCTION("""COMPUTED_VALUE"""),0.625)</f>
        <v>0.625</v>
      </c>
      <c r="J206" s="16">
        <f>IFERROR(__xludf.DUMMYFUNCTION("""COMPUTED_VALUE"""),43438.65277777778)</f>
        <v>43438.65278</v>
      </c>
      <c r="K206" t="str">
        <f>IFERROR(__xludf.DUMMYFUNCTION("""COMPUTED_VALUE"""),"20ft Sea Ark FL5351SJ UNF 2015")</f>
        <v>20ft Sea Ark FL5351SJ UNF 2015</v>
      </c>
      <c r="M206" t="str">
        <f>IFERROR(__xludf.DUMMYFUNCTION("""COMPUTED_VALUE"""),"2010 F150 - DEP07668")</f>
        <v>2010 F150 - DEP07668</v>
      </c>
      <c r="N206" t="str">
        <f>IFERROR(__xludf.DUMMYFUNCTION("""COMPUTED_VALUE"""),"Ben Mowbray, (407) 962-8782")</f>
        <v>Ben Mowbray, (407) 962-8782</v>
      </c>
      <c r="O206" t="str">
        <f>IFERROR(__xludf.DUMMYFUNCTION("""COMPUTED_VALUE"""),"Nicole Peckham, Adrienne Brief-Pilz")</f>
        <v>Nicole Peckham, Adrienne Brief-Pilz</v>
      </c>
      <c r="P206" t="str">
        <f>IFERROR(__xludf.DUMMYFUNCTION("""COMPUTED_VALUE"""),"Ben")</f>
        <v>Ben</v>
      </c>
      <c r="Q206" t="str">
        <f>IFERROR(__xludf.DUMMYFUNCTION("""COMPUTED_VALUE"""),"Good")</f>
        <v>Good</v>
      </c>
      <c r="R206" t="str">
        <f>IFERROR(__xludf.DUMMYFUNCTION("""COMPUTED_VALUE"""),"Good")</f>
        <v>Good</v>
      </c>
      <c r="S206" t="str">
        <f>IFERROR(__xludf.DUMMYFUNCTION("""COMPUTED_VALUE"""),"Good")</f>
        <v>Good</v>
      </c>
      <c r="T206" t="str">
        <f>IFERROR(__xludf.DUMMYFUNCTION("""COMPUTED_VALUE"""),"Good")</f>
        <v>Good</v>
      </c>
      <c r="U206" t="str">
        <f>IFERROR(__xludf.DUMMYFUNCTION("""COMPUTED_VALUE"""),"Good")</f>
        <v>Good</v>
      </c>
      <c r="V206" t="str">
        <f>IFERROR(__xludf.DUMMYFUNCTION("""COMPUTED_VALUE"""),"Good")</f>
        <v>Good</v>
      </c>
      <c r="W206" t="str">
        <f>IFERROR(__xludf.DUMMYFUNCTION("""COMPUTED_VALUE"""),"Good")</f>
        <v>Good</v>
      </c>
      <c r="X206" t="str">
        <f>IFERROR(__xludf.DUMMYFUNCTION("""COMPUTED_VALUE"""),"Good")</f>
        <v>Good</v>
      </c>
      <c r="Y206" t="str">
        <f>IFERROR(__xludf.DUMMYFUNCTION("""COMPUTED_VALUE"""),"Good")</f>
        <v>Good</v>
      </c>
      <c r="Z206" t="str">
        <f>IFERROR(__xludf.DUMMYFUNCTION("""COMPUTED_VALUE"""),"Good")</f>
        <v>Good</v>
      </c>
      <c r="AA206" t="str">
        <f>IFERROR(__xludf.DUMMYFUNCTION("""COMPUTED_VALUE"""),"Good")</f>
        <v>Good</v>
      </c>
      <c r="AB206" t="str">
        <f>IFERROR(__xludf.DUMMYFUNCTION("""COMPUTED_VALUE"""),"Good")</f>
        <v>Good</v>
      </c>
      <c r="AC206" t="str">
        <f>IFERROR(__xludf.DUMMYFUNCTION("""COMPUTED_VALUE"""),"Good")</f>
        <v>Good</v>
      </c>
      <c r="AE206" s="11"/>
      <c r="AF206" t="s">
        <v>218</v>
      </c>
      <c r="AG206" s="17" t="s">
        <v>43</v>
      </c>
      <c r="AH206" s="12">
        <v>1424.0</v>
      </c>
      <c r="AI206" s="12" t="s">
        <v>564</v>
      </c>
      <c r="AJ206" s="19" t="s">
        <v>565</v>
      </c>
      <c r="AK206" s="20" t="str">
        <f>HYPERLINK("https://docs.google.com/document/d/1A8RL1csPx-oiXdee1EdEvumxx2HabklDEO-iwGQ4XE4/edit?usp=drivesdk","Ben Mowbray - 12/4/2018 10:20 AM")</f>
        <v>Ben Mowbray - 12/4/2018 10:20 AM</v>
      </c>
      <c r="AL206" s="12" t="s">
        <v>566</v>
      </c>
    </row>
    <row r="207">
      <c r="A207" s="10">
        <f>IFERROR(__xludf.DUMMYFUNCTION("""COMPUTED_VALUE"""),43438.427408854164)</f>
        <v>43438.42741</v>
      </c>
      <c r="B207" s="11" t="str">
        <f>IFERROR(__xludf.DUMMYFUNCTION("""COMPUTED_VALUE"""),"Pamela Marcum")</f>
        <v>Pamela Marcum</v>
      </c>
      <c r="C207" t="str">
        <f>IFERROR(__xludf.DUMMYFUNCTION("""COMPUTED_VALUE"""),"Pamela.Marcum@dep.state.fl.us")</f>
        <v>Pamela.Marcum@dep.state.fl.us</v>
      </c>
      <c r="D207" t="str">
        <f>IFERROR(__xludf.DUMMYFUNCTION("""COMPUTED_VALUE"""),"Research/Nikki")</f>
        <v>Research/Nikki</v>
      </c>
      <c r="E207" t="str">
        <f>IFERROR(__xludf.DUMMYFUNCTION("""COMPUTED_VALUE"""),"Faver-Dykes")</f>
        <v>Faver-Dykes</v>
      </c>
      <c r="F207" s="13">
        <f>IFERROR(__xludf.DUMMYFUNCTION("""COMPUTED_VALUE"""),0.4583333333321207)</f>
        <v>0.4583333333</v>
      </c>
      <c r="G207" s="14">
        <f>IFERROR(__xludf.DUMMYFUNCTION("""COMPUTED_VALUE"""),43438.0)</f>
        <v>43438</v>
      </c>
      <c r="H207" t="str">
        <f>IFERROR(__xludf.DUMMYFUNCTION("""COMPUTED_VALUE"""),"Pellicer Creek upper")</f>
        <v>Pellicer Creek upper</v>
      </c>
      <c r="I207" s="15">
        <f>IFERROR(__xludf.DUMMYFUNCTION("""COMPUTED_VALUE"""),0.5833333333321207)</f>
        <v>0.5833333333</v>
      </c>
      <c r="J207" s="16">
        <f>IFERROR(__xludf.DUMMYFUNCTION("""COMPUTED_VALUE"""),43438.625)</f>
        <v>43438.625</v>
      </c>
      <c r="K207" t="str">
        <f>IFERROR(__xludf.DUMMYFUNCTION("""COMPUTED_VALUE"""),"23ft Skiff (Bertha) FL7972LJ DEP07613")</f>
        <v>23ft Skiff (Bertha) FL7972LJ DEP07613</v>
      </c>
      <c r="M207" t="str">
        <f>IFERROR(__xludf.DUMMYFUNCTION("""COMPUTED_VALUE"""),"Ford F150 2008 - DEP18041 (SWMP Thing)")</f>
        <v>Ford F150 2008 - DEP18041 (SWMP Thing)</v>
      </c>
      <c r="N207" t="str">
        <f>IFERROR(__xludf.DUMMYFUNCTION("""COMPUTED_VALUE"""),"Pam Marcum, (480) 332-5414")</f>
        <v>Pam Marcum, (480) 332-5414</v>
      </c>
      <c r="O207" t="str">
        <f>IFERROR(__xludf.DUMMYFUNCTION("""COMPUTED_VALUE"""),"Duane Noel")</f>
        <v>Duane Noel</v>
      </c>
      <c r="P207" t="str">
        <f>IFERROR(__xludf.DUMMYFUNCTION("""COMPUTED_VALUE"""),"Pam")</f>
        <v>Pam</v>
      </c>
      <c r="Q207" t="str">
        <f>IFERROR(__xludf.DUMMYFUNCTION("""COMPUTED_VALUE"""),"Good")</f>
        <v>Good</v>
      </c>
      <c r="R207" t="str">
        <f>IFERROR(__xludf.DUMMYFUNCTION("""COMPUTED_VALUE"""),"Good")</f>
        <v>Good</v>
      </c>
      <c r="S207" t="str">
        <f>IFERROR(__xludf.DUMMYFUNCTION("""COMPUTED_VALUE"""),"Good")</f>
        <v>Good</v>
      </c>
      <c r="T207" t="str">
        <f>IFERROR(__xludf.DUMMYFUNCTION("""COMPUTED_VALUE"""),"Good")</f>
        <v>Good</v>
      </c>
      <c r="U207" t="str">
        <f>IFERROR(__xludf.DUMMYFUNCTION("""COMPUTED_VALUE"""),"Good")</f>
        <v>Good</v>
      </c>
      <c r="V207" t="str">
        <f>IFERROR(__xludf.DUMMYFUNCTION("""COMPUTED_VALUE"""),"Good")</f>
        <v>Good</v>
      </c>
      <c r="W207" t="str">
        <f>IFERROR(__xludf.DUMMYFUNCTION("""COMPUTED_VALUE"""),"Good")</f>
        <v>Good</v>
      </c>
      <c r="X207" t="str">
        <f>IFERROR(__xludf.DUMMYFUNCTION("""COMPUTED_VALUE"""),"Good")</f>
        <v>Good</v>
      </c>
      <c r="Y207" t="str">
        <f>IFERROR(__xludf.DUMMYFUNCTION("""COMPUTED_VALUE"""),"Good")</f>
        <v>Good</v>
      </c>
      <c r="Z207" t="str">
        <f>IFERROR(__xludf.DUMMYFUNCTION("""COMPUTED_VALUE"""),"Good")</f>
        <v>Good</v>
      </c>
      <c r="AA207" t="str">
        <f>IFERROR(__xludf.DUMMYFUNCTION("""COMPUTED_VALUE"""),"Good")</f>
        <v>Good</v>
      </c>
      <c r="AB207" t="str">
        <f>IFERROR(__xludf.DUMMYFUNCTION("""COMPUTED_VALUE"""),"Good")</f>
        <v>Good</v>
      </c>
      <c r="AC207" t="str">
        <f>IFERROR(__xludf.DUMMYFUNCTION("""COMPUTED_VALUE"""),"Good")</f>
        <v>Good</v>
      </c>
      <c r="AE207" s="11"/>
      <c r="AF207" t="s">
        <v>218</v>
      </c>
      <c r="AG207" s="17" t="s">
        <v>115</v>
      </c>
      <c r="AH207" s="12">
        <v>1415.0</v>
      </c>
      <c r="AI207" s="12" t="s">
        <v>567</v>
      </c>
      <c r="AJ207" s="19" t="s">
        <v>568</v>
      </c>
      <c r="AK207" s="20" t="str">
        <f>HYPERLINK("https://docs.google.com/document/d/1oTcfsWZOgZYgI5Fy-XeM-Rzu-vTXU288StIZED4uEX8/edit?usp=drivesdk","Pamela Marcum - 12/4/2018 11:00 AM")</f>
        <v>Pamela Marcum - 12/4/2018 11:00 AM</v>
      </c>
      <c r="AL207" s="12" t="s">
        <v>569</v>
      </c>
    </row>
    <row r="208">
      <c r="A208" s="10">
        <f>IFERROR(__xludf.DUMMYFUNCTION("""COMPUTED_VALUE"""),43438.61326200231)</f>
        <v>43438.61326</v>
      </c>
      <c r="B208" s="11" t="str">
        <f>IFERROR(__xludf.DUMMYFUNCTION("""COMPUTED_VALUE"""),"James Tomazinis")</f>
        <v>James Tomazinis</v>
      </c>
      <c r="C208" t="str">
        <f>IFERROR(__xludf.DUMMYFUNCTION("""COMPUTED_VALUE"""),"james.tomazinis@floridadep.gov")</f>
        <v>james.tomazinis@floridadep.gov</v>
      </c>
      <c r="D208" t="str">
        <f>IFERROR(__xludf.DUMMYFUNCTION("""COMPUTED_VALUE"""),"Stewardship (Aquatic)")</f>
        <v>Stewardship (Aquatic)</v>
      </c>
      <c r="E208" t="str">
        <f>IFERROR(__xludf.DUMMYFUNCTION("""COMPUTED_VALUE"""),"Guana Dam")</f>
        <v>Guana Dam</v>
      </c>
      <c r="F208" s="13">
        <f>IFERROR(__xludf.DUMMYFUNCTION("""COMPUTED_VALUE"""),0.3333333333321207)</f>
        <v>0.3333333333</v>
      </c>
      <c r="G208" s="14">
        <f>IFERROR(__xludf.DUMMYFUNCTION("""COMPUTED_VALUE"""),43439.0)</f>
        <v>43439</v>
      </c>
      <c r="H208" t="str">
        <f>IFERROR(__xludf.DUMMYFUNCTION("""COMPUTED_VALUE"""),"Guana River WQ sites")</f>
        <v>Guana River WQ sites</v>
      </c>
      <c r="I208" s="15">
        <f>IFERROR(__xludf.DUMMYFUNCTION("""COMPUTED_VALUE"""),0.3854166666678793)</f>
        <v>0.3854166667</v>
      </c>
      <c r="J208" s="16"/>
      <c r="K208" t="str">
        <f>IFERROR(__xludf.DUMMYFUNCTION("""COMPUTED_VALUE"""),"Jon Boat FL0484NP DEP06819")</f>
        <v>Jon Boat FL0484NP DEP06819</v>
      </c>
      <c r="M208" t="str">
        <f>IFERROR(__xludf.DUMMYFUNCTION("""COMPUTED_VALUE"""),"Ford F150 2015 (White) - DEP21448")</f>
        <v>Ford F150 2015 (White) - DEP21448</v>
      </c>
      <c r="N208" t="str">
        <f>IFERROR(__xludf.DUMMYFUNCTION("""COMPUTED_VALUE"""),"Jimmy Tomazinis, (904) 547-0094")</f>
        <v>Jimmy Tomazinis, (904) 547-0094</v>
      </c>
      <c r="O208" t="str">
        <f>IFERROR(__xludf.DUMMYFUNCTION("""COMPUTED_VALUE"""),"Benjamin Mowbray, (407) 962-8782")</f>
        <v>Benjamin Mowbray, (407) 962-8782</v>
      </c>
      <c r="P208" t="str">
        <f>IFERROR(__xludf.DUMMYFUNCTION("""COMPUTED_VALUE"""),"Jimmy")</f>
        <v>Jimmy</v>
      </c>
      <c r="Q208" t="str">
        <f>IFERROR(__xludf.DUMMYFUNCTION("""COMPUTED_VALUE"""),"Good")</f>
        <v>Good</v>
      </c>
      <c r="R208" t="str">
        <f>IFERROR(__xludf.DUMMYFUNCTION("""COMPUTED_VALUE"""),"Good")</f>
        <v>Good</v>
      </c>
      <c r="S208" t="str">
        <f>IFERROR(__xludf.DUMMYFUNCTION("""COMPUTED_VALUE"""),"Good")</f>
        <v>Good</v>
      </c>
      <c r="T208" t="str">
        <f>IFERROR(__xludf.DUMMYFUNCTION("""COMPUTED_VALUE"""),"Good")</f>
        <v>Good</v>
      </c>
      <c r="U208" t="str">
        <f>IFERROR(__xludf.DUMMYFUNCTION("""COMPUTED_VALUE"""),"Good")</f>
        <v>Good</v>
      </c>
      <c r="V208" t="str">
        <f>IFERROR(__xludf.DUMMYFUNCTION("""COMPUTED_VALUE"""),"Good")</f>
        <v>Good</v>
      </c>
      <c r="W208" t="str">
        <f>IFERROR(__xludf.DUMMYFUNCTION("""COMPUTED_VALUE"""),"Good")</f>
        <v>Good</v>
      </c>
      <c r="X208" t="str">
        <f>IFERROR(__xludf.DUMMYFUNCTION("""COMPUTED_VALUE"""),"Good")</f>
        <v>Good</v>
      </c>
      <c r="Y208" t="str">
        <f>IFERROR(__xludf.DUMMYFUNCTION("""COMPUTED_VALUE"""),"Good")</f>
        <v>Good</v>
      </c>
      <c r="Z208" t="str">
        <f>IFERROR(__xludf.DUMMYFUNCTION("""COMPUTED_VALUE"""),"Good")</f>
        <v>Good</v>
      </c>
      <c r="AA208" t="str">
        <f>IFERROR(__xludf.DUMMYFUNCTION("""COMPUTED_VALUE"""),"Good")</f>
        <v>Good</v>
      </c>
      <c r="AB208" t="str">
        <f>IFERROR(__xludf.DUMMYFUNCTION("""COMPUTED_VALUE"""),"Good")</f>
        <v>Good</v>
      </c>
      <c r="AC208" t="str">
        <f>IFERROR(__xludf.DUMMYFUNCTION("""COMPUTED_VALUE"""),"Good")</f>
        <v>Good</v>
      </c>
      <c r="AE208" s="11"/>
      <c r="AF208" t="s">
        <v>32</v>
      </c>
      <c r="AG208" s="17" t="s">
        <v>18</v>
      </c>
      <c r="AH208" s="12">
        <v>950.0</v>
      </c>
      <c r="AI208" s="12" t="s">
        <v>570</v>
      </c>
      <c r="AJ208" s="19" t="s">
        <v>571</v>
      </c>
      <c r="AK208" s="20" t="str">
        <f>HYPERLINK("https://docs.google.com/document/d/1hauw2vE5xdSX1EdBY3STcNLUeeUqh_H2hN1zo1cocKU/edit?usp=drivesdk","James Tomazinis - 12/5/2018 8:00 AM")</f>
        <v>James Tomazinis - 12/5/2018 8:00 AM</v>
      </c>
      <c r="AL208" s="12" t="s">
        <v>572</v>
      </c>
    </row>
    <row r="209">
      <c r="A209" s="10">
        <f>IFERROR(__xludf.DUMMYFUNCTION("""COMPUTED_VALUE"""),43439.37891410879)</f>
        <v>43439.37891</v>
      </c>
      <c r="B209" s="11" t="str">
        <f>IFERROR(__xludf.DUMMYFUNCTION("""COMPUTED_VALUE"""),"Pamela Marcum")</f>
        <v>Pamela Marcum</v>
      </c>
      <c r="C209" t="str">
        <f>IFERROR(__xludf.DUMMYFUNCTION("""COMPUTED_VALUE"""),"Pamela.Marcum@dep.state.fl.us")</f>
        <v>Pamela.Marcum@dep.state.fl.us</v>
      </c>
      <c r="D209" t="str">
        <f>IFERROR(__xludf.DUMMYFUNCTION("""COMPUTED_VALUE"""),"Research/Nikki")</f>
        <v>Research/Nikki</v>
      </c>
      <c r="E209" t="str">
        <f>IFERROR(__xludf.DUMMYFUNCTION("""COMPUTED_VALUE"""),"Faver-Dykes")</f>
        <v>Faver-Dykes</v>
      </c>
      <c r="F209" s="13">
        <f>IFERROR(__xludf.DUMMYFUNCTION("""COMPUTED_VALUE"""),0.4375)</f>
        <v>0.4375</v>
      </c>
      <c r="G209" s="14">
        <f>IFERROR(__xludf.DUMMYFUNCTION("""COMPUTED_VALUE"""),43439.0)</f>
        <v>43439</v>
      </c>
      <c r="H209" t="str">
        <f>IFERROR(__xludf.DUMMYFUNCTION("""COMPUTED_VALUE"""),"Upper Pellicer Creek")</f>
        <v>Upper Pellicer Creek</v>
      </c>
      <c r="I209" s="15">
        <f>IFERROR(__xludf.DUMMYFUNCTION("""COMPUTED_VALUE"""),0.5833333333321207)</f>
        <v>0.5833333333</v>
      </c>
      <c r="J209" s="16">
        <f>IFERROR(__xludf.DUMMYFUNCTION("""COMPUTED_VALUE"""),43439.70833333333)</f>
        <v>43439.70833</v>
      </c>
      <c r="K209" t="str">
        <f>IFERROR(__xludf.DUMMYFUNCTION("""COMPUTED_VALUE"""),"23ft Skiff (Bertha) FL7972LJ DEP07613")</f>
        <v>23ft Skiff (Bertha) FL7972LJ DEP07613</v>
      </c>
      <c r="M209" t="str">
        <f>IFERROR(__xludf.DUMMYFUNCTION("""COMPUTED_VALUE"""),"Ford F150 2008 - DEP18041 (SWMP Thing)")</f>
        <v>Ford F150 2008 - DEP18041 (SWMP Thing)</v>
      </c>
      <c r="N209" t="str">
        <f>IFERROR(__xludf.DUMMYFUNCTION("""COMPUTED_VALUE"""),"Pam Marcum, (480) 332-5414")</f>
        <v>Pam Marcum, (480) 332-5414</v>
      </c>
      <c r="O209" t="str">
        <f>IFERROR(__xludf.DUMMYFUNCTION("""COMPUTED_VALUE"""),"Tom Fox")</f>
        <v>Tom Fox</v>
      </c>
      <c r="P209" t="str">
        <f>IFERROR(__xludf.DUMMYFUNCTION("""COMPUTED_VALUE"""),"Pam")</f>
        <v>Pam</v>
      </c>
      <c r="Q209" t="str">
        <f>IFERROR(__xludf.DUMMYFUNCTION("""COMPUTED_VALUE"""),"Good")</f>
        <v>Good</v>
      </c>
      <c r="R209" t="str">
        <f>IFERROR(__xludf.DUMMYFUNCTION("""COMPUTED_VALUE"""),"Good")</f>
        <v>Good</v>
      </c>
      <c r="S209" t="str">
        <f>IFERROR(__xludf.DUMMYFUNCTION("""COMPUTED_VALUE"""),"Good")</f>
        <v>Good</v>
      </c>
      <c r="T209" t="str">
        <f>IFERROR(__xludf.DUMMYFUNCTION("""COMPUTED_VALUE"""),"Good")</f>
        <v>Good</v>
      </c>
      <c r="U209" t="str">
        <f>IFERROR(__xludf.DUMMYFUNCTION("""COMPUTED_VALUE"""),"Good")</f>
        <v>Good</v>
      </c>
      <c r="V209" t="str">
        <f>IFERROR(__xludf.DUMMYFUNCTION("""COMPUTED_VALUE"""),"Good")</f>
        <v>Good</v>
      </c>
      <c r="W209" t="str">
        <f>IFERROR(__xludf.DUMMYFUNCTION("""COMPUTED_VALUE"""),"Good")</f>
        <v>Good</v>
      </c>
      <c r="X209" t="str">
        <f>IFERROR(__xludf.DUMMYFUNCTION("""COMPUTED_VALUE"""),"Good")</f>
        <v>Good</v>
      </c>
      <c r="Y209" t="str">
        <f>IFERROR(__xludf.DUMMYFUNCTION("""COMPUTED_VALUE"""),"Good")</f>
        <v>Good</v>
      </c>
      <c r="Z209" t="str">
        <f>IFERROR(__xludf.DUMMYFUNCTION("""COMPUTED_VALUE"""),"Good")</f>
        <v>Good</v>
      </c>
      <c r="AA209" t="str">
        <f>IFERROR(__xludf.DUMMYFUNCTION("""COMPUTED_VALUE"""),"Good")</f>
        <v>Good</v>
      </c>
      <c r="AB209" t="str">
        <f>IFERROR(__xludf.DUMMYFUNCTION("""COMPUTED_VALUE"""),"Good")</f>
        <v>Good</v>
      </c>
      <c r="AC209" t="str">
        <f>IFERROR(__xludf.DUMMYFUNCTION("""COMPUTED_VALUE"""),"Good")</f>
        <v>Good</v>
      </c>
      <c r="AE209" s="11"/>
      <c r="AF209" t="s">
        <v>218</v>
      </c>
      <c r="AG209" s="17" t="s">
        <v>128</v>
      </c>
      <c r="AH209" s="12">
        <v>1410.0</v>
      </c>
      <c r="AI209" s="12" t="s">
        <v>573</v>
      </c>
      <c r="AJ209" s="19" t="s">
        <v>574</v>
      </c>
      <c r="AK209" s="20" t="str">
        <f>HYPERLINK("https://docs.google.com/document/d/1uWbC2LTTPyzZ9D7G8dbN75G0kC0n3ExQXQUhFHsruTY/edit?usp=drivesdk","Pamela Marcum - 12/5/2018 10:30 AM")</f>
        <v>Pamela Marcum - 12/5/2018 10:30 AM</v>
      </c>
      <c r="AL209" s="12" t="s">
        <v>575</v>
      </c>
    </row>
    <row r="210">
      <c r="A210" s="10">
        <f>IFERROR(__xludf.DUMMYFUNCTION("""COMPUTED_VALUE"""),43444.34138909722)</f>
        <v>43444.34139</v>
      </c>
      <c r="B210" s="11" t="str">
        <f>IFERROR(__xludf.DUMMYFUNCTION("""COMPUTED_VALUE"""),"Pamela Marcum")</f>
        <v>Pamela Marcum</v>
      </c>
      <c r="C210" t="str">
        <f>IFERROR(__xludf.DUMMYFUNCTION("""COMPUTED_VALUE"""),"Pamela.Marcum@dep.state.fl.us")</f>
        <v>Pamela.Marcum@dep.state.fl.us</v>
      </c>
      <c r="D210" t="str">
        <f>IFERROR(__xludf.DUMMYFUNCTION("""COMPUTED_VALUE"""),"Research/Nikki")</f>
        <v>Research/Nikki</v>
      </c>
      <c r="E210" t="str">
        <f>IFERROR(__xludf.DUMMYFUNCTION("""COMPUTED_VALUE"""),"Faver-Dykes")</f>
        <v>Faver-Dykes</v>
      </c>
      <c r="F210" s="13">
        <f>IFERROR(__xludf.DUMMYFUNCTION("""COMPUTED_VALUE"""),0.4375)</f>
        <v>0.4375</v>
      </c>
      <c r="G210" s="14">
        <f>IFERROR(__xludf.DUMMYFUNCTION("""COMPUTED_VALUE"""),43444.0)</f>
        <v>43444</v>
      </c>
      <c r="H210" t="str">
        <f>IFERROR(__xludf.DUMMYFUNCTION("""COMPUTED_VALUE"""),"Upper Pellicer Creek")</f>
        <v>Upper Pellicer Creek</v>
      </c>
      <c r="I210" s="15">
        <f>IFERROR(__xludf.DUMMYFUNCTION("""COMPUTED_VALUE"""),0.625)</f>
        <v>0.625</v>
      </c>
      <c r="J210" s="16">
        <f>IFERROR(__xludf.DUMMYFUNCTION("""COMPUTED_VALUE"""),43444.66666666667)</f>
        <v>43444.66667</v>
      </c>
      <c r="K210" t="str">
        <f>IFERROR(__xludf.DUMMYFUNCTION("""COMPUTED_VALUE"""),"23ft Skiff (Bertha) FL7972LJ DEP07613")</f>
        <v>23ft Skiff (Bertha) FL7972LJ DEP07613</v>
      </c>
      <c r="M210" t="str">
        <f>IFERROR(__xludf.DUMMYFUNCTION("""COMPUTED_VALUE"""),"Ford F150 2015 (White) - DEP21448")</f>
        <v>Ford F150 2015 (White) - DEP21448</v>
      </c>
      <c r="N210" t="str">
        <f>IFERROR(__xludf.DUMMYFUNCTION("""COMPUTED_VALUE"""),"Pam Marcum, (480) 332-5414")</f>
        <v>Pam Marcum, (480) 332-5414</v>
      </c>
      <c r="O210" t="str">
        <f>IFERROR(__xludf.DUMMYFUNCTION("""COMPUTED_VALUE"""),"Ken Harp")</f>
        <v>Ken Harp</v>
      </c>
      <c r="P210" t="str">
        <f>IFERROR(__xludf.DUMMYFUNCTION("""COMPUTED_VALUE"""),"Pam")</f>
        <v>Pam</v>
      </c>
      <c r="Q210" t="str">
        <f>IFERROR(__xludf.DUMMYFUNCTION("""COMPUTED_VALUE"""),"Good")</f>
        <v>Good</v>
      </c>
      <c r="R210" t="str">
        <f>IFERROR(__xludf.DUMMYFUNCTION("""COMPUTED_VALUE"""),"Good")</f>
        <v>Good</v>
      </c>
      <c r="S210" t="str">
        <f>IFERROR(__xludf.DUMMYFUNCTION("""COMPUTED_VALUE"""),"Good")</f>
        <v>Good</v>
      </c>
      <c r="T210" t="str">
        <f>IFERROR(__xludf.DUMMYFUNCTION("""COMPUTED_VALUE"""),"Good")</f>
        <v>Good</v>
      </c>
      <c r="U210" t="str">
        <f>IFERROR(__xludf.DUMMYFUNCTION("""COMPUTED_VALUE"""),"Good")</f>
        <v>Good</v>
      </c>
      <c r="V210" t="str">
        <f>IFERROR(__xludf.DUMMYFUNCTION("""COMPUTED_VALUE"""),"Good")</f>
        <v>Good</v>
      </c>
      <c r="W210" t="str">
        <f>IFERROR(__xludf.DUMMYFUNCTION("""COMPUTED_VALUE"""),"Good")</f>
        <v>Good</v>
      </c>
      <c r="X210" t="str">
        <f>IFERROR(__xludf.DUMMYFUNCTION("""COMPUTED_VALUE"""),"Good")</f>
        <v>Good</v>
      </c>
      <c r="Y210" t="str">
        <f>IFERROR(__xludf.DUMMYFUNCTION("""COMPUTED_VALUE"""),"Good")</f>
        <v>Good</v>
      </c>
      <c r="Z210" t="str">
        <f>IFERROR(__xludf.DUMMYFUNCTION("""COMPUTED_VALUE"""),"Good")</f>
        <v>Good</v>
      </c>
      <c r="AA210" t="str">
        <f>IFERROR(__xludf.DUMMYFUNCTION("""COMPUTED_VALUE"""),"Good")</f>
        <v>Good</v>
      </c>
      <c r="AB210" t="str">
        <f>IFERROR(__xludf.DUMMYFUNCTION("""COMPUTED_VALUE"""),"Good")</f>
        <v>Good</v>
      </c>
      <c r="AC210" t="str">
        <f>IFERROR(__xludf.DUMMYFUNCTION("""COMPUTED_VALUE"""),"Good")</f>
        <v>Good</v>
      </c>
      <c r="AE210" s="11"/>
      <c r="AF210" t="s">
        <v>218</v>
      </c>
      <c r="AG210" s="17" t="s">
        <v>18</v>
      </c>
      <c r="AH210" s="12">
        <v>1340.0</v>
      </c>
      <c r="AI210" s="12" t="s">
        <v>576</v>
      </c>
      <c r="AJ210" s="19" t="s">
        <v>577</v>
      </c>
      <c r="AK210" s="20" t="str">
        <f>HYPERLINK("https://docs.google.com/document/d/1MdfvTIYnceoqzhRGfam7t0apLcYPKCV83LbdbuAQAkg/edit?usp=drivesdk","Pamela Marcum - 12/10/2018 10:30 AM")</f>
        <v>Pamela Marcum - 12/10/2018 10:30 AM</v>
      </c>
      <c r="AL210" s="12" t="s">
        <v>578</v>
      </c>
    </row>
    <row r="211">
      <c r="A211" s="10">
        <f>IFERROR(__xludf.DUMMYFUNCTION("""COMPUTED_VALUE"""),43445.34919153935)</f>
        <v>43445.34919</v>
      </c>
      <c r="B211" s="11" t="str">
        <f>IFERROR(__xludf.DUMMYFUNCTION("""COMPUTED_VALUE"""),"Pam Marcum")</f>
        <v>Pam Marcum</v>
      </c>
      <c r="C211" t="str">
        <f>IFERROR(__xludf.DUMMYFUNCTION("""COMPUTED_VALUE"""),"Pamela.Marcum@dep.state.fl.us")</f>
        <v>Pamela.Marcum@dep.state.fl.us</v>
      </c>
      <c r="D211" t="str">
        <f>IFERROR(__xludf.DUMMYFUNCTION("""COMPUTED_VALUE"""),"Stewardship (Aquatic)")</f>
        <v>Stewardship (Aquatic)</v>
      </c>
      <c r="E211" t="str">
        <f>IFERROR(__xludf.DUMMYFUNCTION("""COMPUTED_VALUE"""),"Faver-Dykes")</f>
        <v>Faver-Dykes</v>
      </c>
      <c r="F211" s="13">
        <f>IFERROR(__xludf.DUMMYFUNCTION("""COMPUTED_VALUE"""),0.3958333333321207)</f>
        <v>0.3958333333</v>
      </c>
      <c r="G211" s="14">
        <f>IFERROR(__xludf.DUMMYFUNCTION("""COMPUTED_VALUE"""),43445.0)</f>
        <v>43445</v>
      </c>
      <c r="H211" t="str">
        <f>IFERROR(__xludf.DUMMYFUNCTION("""COMPUTED_VALUE"""),"Upper Pellicer")</f>
        <v>Upper Pellicer</v>
      </c>
      <c r="I211" s="15">
        <f>IFERROR(__xludf.DUMMYFUNCTION("""COMPUTED_VALUE"""),0.625)</f>
        <v>0.625</v>
      </c>
      <c r="J211" s="16">
        <f>IFERROR(__xludf.DUMMYFUNCTION("""COMPUTED_VALUE"""),43446.375)</f>
        <v>43446.375</v>
      </c>
      <c r="K211" t="str">
        <f>IFERROR(__xludf.DUMMYFUNCTION("""COMPUTED_VALUE"""),"23ft Skiff (Bertha) FL7972LJ DEP07613")</f>
        <v>23ft Skiff (Bertha) FL7972LJ DEP07613</v>
      </c>
      <c r="M211" t="str">
        <f>IFERROR(__xludf.DUMMYFUNCTION("""COMPUTED_VALUE"""),"Ford F150 2015 (White) - DEP21448")</f>
        <v>Ford F150 2015 (White) - DEP21448</v>
      </c>
      <c r="N211" t="str">
        <f>IFERROR(__xludf.DUMMYFUNCTION("""COMPUTED_VALUE"""),"Pam Marcum, (480) 332-5414")</f>
        <v>Pam Marcum, (480) 332-5414</v>
      </c>
      <c r="O211" t="str">
        <f>IFERROR(__xludf.DUMMYFUNCTION("""COMPUTED_VALUE"""),"Jim Moye")</f>
        <v>Jim Moye</v>
      </c>
      <c r="P211" t="str">
        <f>IFERROR(__xludf.DUMMYFUNCTION("""COMPUTED_VALUE"""),"Pam")</f>
        <v>Pam</v>
      </c>
      <c r="Q211" t="str">
        <f>IFERROR(__xludf.DUMMYFUNCTION("""COMPUTED_VALUE"""),"Good")</f>
        <v>Good</v>
      </c>
      <c r="R211" t="str">
        <f>IFERROR(__xludf.DUMMYFUNCTION("""COMPUTED_VALUE"""),"Good")</f>
        <v>Good</v>
      </c>
      <c r="S211" t="str">
        <f>IFERROR(__xludf.DUMMYFUNCTION("""COMPUTED_VALUE"""),"Good")</f>
        <v>Good</v>
      </c>
      <c r="T211" t="str">
        <f>IFERROR(__xludf.DUMMYFUNCTION("""COMPUTED_VALUE"""),"Good")</f>
        <v>Good</v>
      </c>
      <c r="U211" t="str">
        <f>IFERROR(__xludf.DUMMYFUNCTION("""COMPUTED_VALUE"""),"Good")</f>
        <v>Good</v>
      </c>
      <c r="V211" t="str">
        <f>IFERROR(__xludf.DUMMYFUNCTION("""COMPUTED_VALUE"""),"Good")</f>
        <v>Good</v>
      </c>
      <c r="W211" t="str">
        <f>IFERROR(__xludf.DUMMYFUNCTION("""COMPUTED_VALUE"""),"Good")</f>
        <v>Good</v>
      </c>
      <c r="X211" t="str">
        <f>IFERROR(__xludf.DUMMYFUNCTION("""COMPUTED_VALUE"""),"Good")</f>
        <v>Good</v>
      </c>
      <c r="Y211" t="str">
        <f>IFERROR(__xludf.DUMMYFUNCTION("""COMPUTED_VALUE"""),"Good")</f>
        <v>Good</v>
      </c>
      <c r="Z211" t="str">
        <f>IFERROR(__xludf.DUMMYFUNCTION("""COMPUTED_VALUE"""),"Good")</f>
        <v>Good</v>
      </c>
      <c r="AA211" t="str">
        <f>IFERROR(__xludf.DUMMYFUNCTION("""COMPUTED_VALUE"""),"Good")</f>
        <v>Good</v>
      </c>
      <c r="AB211" t="str">
        <f>IFERROR(__xludf.DUMMYFUNCTION("""COMPUTED_VALUE"""),"Good")</f>
        <v>Good</v>
      </c>
      <c r="AC211" t="str">
        <f>IFERROR(__xludf.DUMMYFUNCTION("""COMPUTED_VALUE"""),"Good")</f>
        <v>Good</v>
      </c>
      <c r="AE211" s="11"/>
      <c r="AF211" t="s">
        <v>32</v>
      </c>
      <c r="AG211" s="17" t="s">
        <v>18</v>
      </c>
      <c r="AH211" s="12">
        <v>1330.0</v>
      </c>
      <c r="AI211" s="12" t="s">
        <v>579</v>
      </c>
      <c r="AJ211" s="19" t="s">
        <v>580</v>
      </c>
      <c r="AK211" s="20" t="str">
        <f>HYPERLINK("https://docs.google.com/document/d/1h0R2PZU0rvgtqbs53JDBEKKuDogTM-nMHYHY7C7YB0Q/edit?usp=drivesdk","Pam Marcum - 12/11/2018 9:30 AM")</f>
        <v>Pam Marcum - 12/11/2018 9:30 AM</v>
      </c>
      <c r="AL211" s="12" t="s">
        <v>581</v>
      </c>
    </row>
    <row r="212">
      <c r="A212" s="10">
        <f>IFERROR(__xludf.DUMMYFUNCTION("""COMPUTED_VALUE"""),43447.3659006713)</f>
        <v>43447.3659</v>
      </c>
      <c r="B212" s="11" t="str">
        <f>IFERROR(__xludf.DUMMYFUNCTION("""COMPUTED_VALUE"""),"Pamela Marcum")</f>
        <v>Pamela Marcum</v>
      </c>
      <c r="C212" t="str">
        <f>IFERROR(__xludf.DUMMYFUNCTION("""COMPUTED_VALUE"""),"Pamela.Marcum@dep.state.fl.us")</f>
        <v>Pamela.Marcum@dep.state.fl.us</v>
      </c>
      <c r="D212" t="str">
        <f>IFERROR(__xludf.DUMMYFUNCTION("""COMPUTED_VALUE"""),"Stewardship (Aquatic)")</f>
        <v>Stewardship (Aquatic)</v>
      </c>
      <c r="E212" t="str">
        <f>IFERROR(__xludf.DUMMYFUNCTION("""COMPUTED_VALUE"""),"Faver-Dykes")</f>
        <v>Faver-Dykes</v>
      </c>
      <c r="F212" s="13">
        <f>IFERROR(__xludf.DUMMYFUNCTION("""COMPUTED_VALUE"""),0.4375)</f>
        <v>0.4375</v>
      </c>
      <c r="G212" s="14">
        <f>IFERROR(__xludf.DUMMYFUNCTION("""COMPUTED_VALUE"""),43447.0)</f>
        <v>43447</v>
      </c>
      <c r="H212" t="str">
        <f>IFERROR(__xludf.DUMMYFUNCTION("""COMPUTED_VALUE"""),"Upper Pellicer Creek")</f>
        <v>Upper Pellicer Creek</v>
      </c>
      <c r="I212" s="15">
        <f>IFERROR(__xludf.DUMMYFUNCTION("""COMPUTED_VALUE"""),0.625)</f>
        <v>0.625</v>
      </c>
      <c r="J212" s="16">
        <f>IFERROR(__xludf.DUMMYFUNCTION("""COMPUTED_VALUE"""),43447.6875)</f>
        <v>43447.6875</v>
      </c>
      <c r="K212" t="str">
        <f>IFERROR(__xludf.DUMMYFUNCTION("""COMPUTED_VALUE"""),"23ft Skiff (Bertha) FL7972LJ DEP07613")</f>
        <v>23ft Skiff (Bertha) FL7972LJ DEP07613</v>
      </c>
      <c r="M212" t="str">
        <f>IFERROR(__xludf.DUMMYFUNCTION("""COMPUTED_VALUE"""),"Ford F150 2015 (White) - DEP21448")</f>
        <v>Ford F150 2015 (White) - DEP21448</v>
      </c>
      <c r="N212" t="str">
        <f>IFERROR(__xludf.DUMMYFUNCTION("""COMPUTED_VALUE"""),"Pam Marcum, (480) 332-5414")</f>
        <v>Pam Marcum, (480) 332-5414</v>
      </c>
      <c r="O212" t="str">
        <f>IFERROR(__xludf.DUMMYFUNCTION("""COMPUTED_VALUE"""),"Tom Fox")</f>
        <v>Tom Fox</v>
      </c>
      <c r="P212" t="str">
        <f>IFERROR(__xludf.DUMMYFUNCTION("""COMPUTED_VALUE"""),"Pam")</f>
        <v>Pam</v>
      </c>
      <c r="Q212" t="str">
        <f>IFERROR(__xludf.DUMMYFUNCTION("""COMPUTED_VALUE"""),"Good")</f>
        <v>Good</v>
      </c>
      <c r="R212" t="str">
        <f>IFERROR(__xludf.DUMMYFUNCTION("""COMPUTED_VALUE"""),"Good")</f>
        <v>Good</v>
      </c>
      <c r="S212" t="str">
        <f>IFERROR(__xludf.DUMMYFUNCTION("""COMPUTED_VALUE"""),"Good")</f>
        <v>Good</v>
      </c>
      <c r="T212" t="str">
        <f>IFERROR(__xludf.DUMMYFUNCTION("""COMPUTED_VALUE"""),"Good")</f>
        <v>Good</v>
      </c>
      <c r="U212" t="str">
        <f>IFERROR(__xludf.DUMMYFUNCTION("""COMPUTED_VALUE"""),"Good")</f>
        <v>Good</v>
      </c>
      <c r="V212" t="str">
        <f>IFERROR(__xludf.DUMMYFUNCTION("""COMPUTED_VALUE"""),"Good")</f>
        <v>Good</v>
      </c>
      <c r="W212" t="str">
        <f>IFERROR(__xludf.DUMMYFUNCTION("""COMPUTED_VALUE"""),"Good")</f>
        <v>Good</v>
      </c>
      <c r="X212" t="str">
        <f>IFERROR(__xludf.DUMMYFUNCTION("""COMPUTED_VALUE"""),"Good")</f>
        <v>Good</v>
      </c>
      <c r="Y212" t="str">
        <f>IFERROR(__xludf.DUMMYFUNCTION("""COMPUTED_VALUE"""),"Good")</f>
        <v>Good</v>
      </c>
      <c r="Z212" t="str">
        <f>IFERROR(__xludf.DUMMYFUNCTION("""COMPUTED_VALUE"""),"Good")</f>
        <v>Good</v>
      </c>
      <c r="AA212" t="str">
        <f>IFERROR(__xludf.DUMMYFUNCTION("""COMPUTED_VALUE"""),"Good")</f>
        <v>Good</v>
      </c>
      <c r="AB212" t="str">
        <f>IFERROR(__xludf.DUMMYFUNCTION("""COMPUTED_VALUE"""),"Good")</f>
        <v>Good</v>
      </c>
      <c r="AC212" t="str">
        <f>IFERROR(__xludf.DUMMYFUNCTION("""COMPUTED_VALUE"""),"Good")</f>
        <v>Good</v>
      </c>
      <c r="AE212" s="11"/>
      <c r="AF212" t="s">
        <v>32</v>
      </c>
      <c r="AG212" s="17" t="s">
        <v>18</v>
      </c>
      <c r="AH212" s="12">
        <v>1200.0</v>
      </c>
      <c r="AI212" s="12" t="s">
        <v>582</v>
      </c>
      <c r="AJ212" s="19" t="s">
        <v>583</v>
      </c>
      <c r="AK212" s="20" t="str">
        <f>HYPERLINK("https://docs.google.com/document/d/1zstXvM6CwDhboX8ljkxSJeWbw2aJlIOMC9rK3xtsd2U/edit?usp=drivesdk","Pamela Marcum - 12/13/2018 10:30 AM")</f>
        <v>Pamela Marcum - 12/13/2018 10:30 AM</v>
      </c>
      <c r="AL212" s="12" t="s">
        <v>584</v>
      </c>
    </row>
    <row r="213">
      <c r="A213" s="10">
        <f>IFERROR(__xludf.DUMMYFUNCTION("""COMPUTED_VALUE"""),43451.33877928241)</f>
        <v>43451.33878</v>
      </c>
      <c r="B213" s="11" t="str">
        <f>IFERROR(__xludf.DUMMYFUNCTION("""COMPUTED_VALUE"""),"james tomazinis")</f>
        <v>james tomazinis</v>
      </c>
      <c r="C213" t="str">
        <f>IFERROR(__xludf.DUMMYFUNCTION("""COMPUTED_VALUE"""),"james.tomazinis@floridadep.gov")</f>
        <v>james.tomazinis@floridadep.gov</v>
      </c>
      <c r="D213" t="str">
        <f>IFERROR(__xludf.DUMMYFUNCTION("""COMPUTED_VALUE"""),"Stewardship (Aquatic)")</f>
        <v>Stewardship (Aquatic)</v>
      </c>
      <c r="E213" t="str">
        <f>IFERROR(__xludf.DUMMYFUNCTION("""COMPUTED_VALUE"""),"Sawpit Creek")</f>
        <v>Sawpit Creek</v>
      </c>
      <c r="F213" s="13">
        <f>IFERROR(__xludf.DUMMYFUNCTION("""COMPUTED_VALUE"""),0.40625)</f>
        <v>0.40625</v>
      </c>
      <c r="G213" s="14">
        <f>IFERROR(__xludf.DUMMYFUNCTION("""COMPUTED_VALUE"""),43451.0)</f>
        <v>43451</v>
      </c>
      <c r="H213" t="str">
        <f>IFERROR(__xludf.DUMMYFUNCTION("""COMPUTED_VALUE"""),"Nassauville and Nassau sound")</f>
        <v>Nassauville and Nassau sound</v>
      </c>
      <c r="I213" s="15">
        <f>IFERROR(__xludf.DUMMYFUNCTION("""COMPUTED_VALUE"""),0.6666666666678793)</f>
        <v>0.6666666667</v>
      </c>
      <c r="J213" s="16"/>
      <c r="K213" t="str">
        <f>IFERROR(__xludf.DUMMYFUNCTION("""COMPUTED_VALUE"""),"F 20ft Sea Ark (Easy 200) FL8534PY DEP21451")</f>
        <v>F 20ft Sea Ark (Easy 200) FL8534PY DEP21451</v>
      </c>
      <c r="M213" t="str">
        <f>IFERROR(__xludf.DUMMYFUNCTION("""COMPUTED_VALUE"""),"Ford F150 2015 (White) - DEP21448")</f>
        <v>Ford F150 2015 (White) - DEP21448</v>
      </c>
      <c r="N213" t="str">
        <f>IFERROR(__xludf.DUMMYFUNCTION("""COMPUTED_VALUE"""),"Scott Eastman, (904) 501-9267, Jimmy Tomazinis, (904) 547-0094, Mike Dicksone")</f>
        <v>Scott Eastman, (904) 501-9267, Jimmy Tomazinis, (904) 547-0094, Mike Dicksone</v>
      </c>
      <c r="O213" t="str">
        <f>IFERROR(__xludf.DUMMYFUNCTION("""COMPUTED_VALUE"""),"Suzi Porterfield")</f>
        <v>Suzi Porterfield</v>
      </c>
      <c r="P213" t="str">
        <f>IFERROR(__xludf.DUMMYFUNCTION("""COMPUTED_VALUE"""),"Jimmy")</f>
        <v>Jimmy</v>
      </c>
      <c r="Q213" t="str">
        <f>IFERROR(__xludf.DUMMYFUNCTION("""COMPUTED_VALUE"""),"Good")</f>
        <v>Good</v>
      </c>
      <c r="R213" t="str">
        <f>IFERROR(__xludf.DUMMYFUNCTION("""COMPUTED_VALUE"""),"Good")</f>
        <v>Good</v>
      </c>
      <c r="S213" t="str">
        <f>IFERROR(__xludf.DUMMYFUNCTION("""COMPUTED_VALUE"""),"Good")</f>
        <v>Good</v>
      </c>
      <c r="T213" t="str">
        <f>IFERROR(__xludf.DUMMYFUNCTION("""COMPUTED_VALUE"""),"Good")</f>
        <v>Good</v>
      </c>
      <c r="U213" t="str">
        <f>IFERROR(__xludf.DUMMYFUNCTION("""COMPUTED_VALUE"""),"Good")</f>
        <v>Good</v>
      </c>
      <c r="V213" t="str">
        <f>IFERROR(__xludf.DUMMYFUNCTION("""COMPUTED_VALUE"""),"Good")</f>
        <v>Good</v>
      </c>
      <c r="W213" t="str">
        <f>IFERROR(__xludf.DUMMYFUNCTION("""COMPUTED_VALUE"""),"Good")</f>
        <v>Good</v>
      </c>
      <c r="X213" t="str">
        <f>IFERROR(__xludf.DUMMYFUNCTION("""COMPUTED_VALUE"""),"Good")</f>
        <v>Good</v>
      </c>
      <c r="Y213" t="str">
        <f>IFERROR(__xludf.DUMMYFUNCTION("""COMPUTED_VALUE"""),"Good")</f>
        <v>Good</v>
      </c>
      <c r="Z213" t="str">
        <f>IFERROR(__xludf.DUMMYFUNCTION("""COMPUTED_VALUE"""),"Good")</f>
        <v>Good</v>
      </c>
      <c r="AA213" t="str">
        <f>IFERROR(__xludf.DUMMYFUNCTION("""COMPUTED_VALUE"""),"Good")</f>
        <v>Good</v>
      </c>
      <c r="AB213" t="str">
        <f>IFERROR(__xludf.DUMMYFUNCTION("""COMPUTED_VALUE"""),"Good")</f>
        <v>Good</v>
      </c>
      <c r="AC213" t="str">
        <f>IFERROR(__xludf.DUMMYFUNCTION("""COMPUTED_VALUE"""),"Good")</f>
        <v>Good</v>
      </c>
      <c r="AE213" s="11"/>
      <c r="AF213" t="s">
        <v>32</v>
      </c>
      <c r="AG213" s="17" t="s">
        <v>22</v>
      </c>
      <c r="AH213" s="12">
        <v>1500.0</v>
      </c>
      <c r="AI213" s="12" t="s">
        <v>585</v>
      </c>
      <c r="AJ213" s="19" t="s">
        <v>586</v>
      </c>
      <c r="AK213" s="20" t="str">
        <f>HYPERLINK("https://docs.google.com/document/d/1YjoS9sKmNES22k8xi23oxX83WayzKLWesHbnmpWte98/edit?usp=drivesdk","james tomazinis - 12/17/2018 9:45 AM")</f>
        <v>james tomazinis - 12/17/2018 9:45 AM</v>
      </c>
      <c r="AL213" s="12" t="s">
        <v>587</v>
      </c>
    </row>
    <row r="214">
      <c r="A214" s="10">
        <f>IFERROR(__xludf.DUMMYFUNCTION("""COMPUTED_VALUE"""),43453.28199550926)</f>
        <v>43453.282</v>
      </c>
      <c r="B214" s="11" t="str">
        <f>IFERROR(__xludf.DUMMYFUNCTION("""COMPUTED_VALUE"""),"Silas Tanner")</f>
        <v>Silas Tanner</v>
      </c>
      <c r="C214" t="str">
        <f>IFERROR(__xludf.DUMMYFUNCTION("""COMPUTED_VALUE"""),"silas.tanner@floridadep.gov")</f>
        <v>silas.tanner@floridadep.gov</v>
      </c>
      <c r="D214" t="str">
        <f>IFERROR(__xludf.DUMMYFUNCTION("""COMPUTED_VALUE"""),"Research/Nikki")</f>
        <v>Research/Nikki</v>
      </c>
      <c r="E214" t="str">
        <f>IFERROR(__xludf.DUMMYFUNCTION("""COMPUTED_VALUE"""),"Vilano Landing")</f>
        <v>Vilano Landing</v>
      </c>
      <c r="F214" s="13">
        <f>IFERROR(__xludf.DUMMYFUNCTION("""COMPUTED_VALUE"""),0.29861111110949423)</f>
        <v>0.2986111111</v>
      </c>
      <c r="G214" s="14">
        <f>IFERROR(__xludf.DUMMYFUNCTION("""COMPUTED_VALUE"""),43453.0)</f>
        <v>43453</v>
      </c>
      <c r="H214" t="str">
        <f>IFERROR(__xludf.DUMMYFUNCTION("""COMPUTED_VALUE"""),"ICW SWMP sites")</f>
        <v>ICW SWMP sites</v>
      </c>
      <c r="I214" s="15">
        <f>IFERROR(__xludf.DUMMYFUNCTION("""COMPUTED_VALUE"""),0.53125)</f>
        <v>0.53125</v>
      </c>
      <c r="J214" s="16">
        <f>IFERROR(__xludf.DUMMYFUNCTION("""COMPUTED_VALUE"""),43453.55208333333)</f>
        <v>43453.55208</v>
      </c>
      <c r="K214" t="str">
        <f>IFERROR(__xludf.DUMMYFUNCTION("""COMPUTED_VALUE"""),"20ft Sea Ark FL5351SJ UNF 2015")</f>
        <v>20ft Sea Ark FL5351SJ UNF 2015</v>
      </c>
      <c r="M214" t="str">
        <f>IFERROR(__xludf.DUMMYFUNCTION("""COMPUTED_VALUE"""),"Ford F250 2017 (Moby Dix) - DEP0021578")</f>
        <v>Ford F250 2017 (Moby Dix) - DEP0021578</v>
      </c>
      <c r="N214" t="str">
        <f>IFERROR(__xludf.DUMMYFUNCTION("""COMPUTED_VALUE"""),"Silas Tanner, (904) 483-8423")</f>
        <v>Silas Tanner, (904) 483-8423</v>
      </c>
      <c r="O214" t="str">
        <f>IFERROR(__xludf.DUMMYFUNCTION("""COMPUTED_VALUE"""),"Suzi Porterfield")</f>
        <v>Suzi Porterfield</v>
      </c>
      <c r="P214" t="str">
        <f>IFERROR(__xludf.DUMMYFUNCTION("""COMPUTED_VALUE"""),"Tanner")</f>
        <v>Tanner</v>
      </c>
      <c r="Q214" t="str">
        <f>IFERROR(__xludf.DUMMYFUNCTION("""COMPUTED_VALUE"""),"Good")</f>
        <v>Good</v>
      </c>
      <c r="R214" t="str">
        <f>IFERROR(__xludf.DUMMYFUNCTION("""COMPUTED_VALUE"""),"Good")</f>
        <v>Good</v>
      </c>
      <c r="S214" t="str">
        <f>IFERROR(__xludf.DUMMYFUNCTION("""COMPUTED_VALUE"""),"Good")</f>
        <v>Good</v>
      </c>
      <c r="T214" t="str">
        <f>IFERROR(__xludf.DUMMYFUNCTION("""COMPUTED_VALUE"""),"Good")</f>
        <v>Good</v>
      </c>
      <c r="U214" t="str">
        <f>IFERROR(__xludf.DUMMYFUNCTION("""COMPUTED_VALUE"""),"Good")</f>
        <v>Good</v>
      </c>
      <c r="V214" t="str">
        <f>IFERROR(__xludf.DUMMYFUNCTION("""COMPUTED_VALUE"""),"Good")</f>
        <v>Good</v>
      </c>
      <c r="W214" t="str">
        <f>IFERROR(__xludf.DUMMYFUNCTION("""COMPUTED_VALUE"""),"Good")</f>
        <v>Good</v>
      </c>
      <c r="X214" t="str">
        <f>IFERROR(__xludf.DUMMYFUNCTION("""COMPUTED_VALUE"""),"Good")</f>
        <v>Good</v>
      </c>
      <c r="Y214" t="str">
        <f>IFERROR(__xludf.DUMMYFUNCTION("""COMPUTED_VALUE"""),"Good")</f>
        <v>Good</v>
      </c>
      <c r="Z214" t="str">
        <f>IFERROR(__xludf.DUMMYFUNCTION("""COMPUTED_VALUE"""),"Good")</f>
        <v>Good</v>
      </c>
      <c r="AA214" t="str">
        <f>IFERROR(__xludf.DUMMYFUNCTION("""COMPUTED_VALUE"""),"Good")</f>
        <v>Good</v>
      </c>
      <c r="AB214" t="str">
        <f>IFERROR(__xludf.DUMMYFUNCTION("""COMPUTED_VALUE"""),"Good")</f>
        <v>Good</v>
      </c>
      <c r="AC214" t="str">
        <f>IFERROR(__xludf.DUMMYFUNCTION("""COMPUTED_VALUE"""),"Good")</f>
        <v>Good</v>
      </c>
      <c r="AE214" s="11"/>
      <c r="AF214" t="s">
        <v>218</v>
      </c>
      <c r="AG214" s="17" t="s">
        <v>18</v>
      </c>
      <c r="AH214" s="12">
        <v>1145.0</v>
      </c>
      <c r="AI214" s="12" t="s">
        <v>588</v>
      </c>
      <c r="AJ214" s="19" t="s">
        <v>589</v>
      </c>
      <c r="AK214" s="20" t="str">
        <f>HYPERLINK("https://docs.google.com/document/d/1YiWcFq3l08V3qBUS4JCJ18wDAAtAadOsJGTbNWJ7y0o/edit?usp=drivesdk","Silas Tanner - 12/19/2018 7:10 AM")</f>
        <v>Silas Tanner - 12/19/2018 7:10 AM</v>
      </c>
      <c r="AL214" s="12" t="s">
        <v>590</v>
      </c>
    </row>
    <row r="215">
      <c r="A215" s="10">
        <f>IFERROR(__xludf.DUMMYFUNCTION("""COMPUTED_VALUE"""),43460.40788493055)</f>
        <v>43460.40788</v>
      </c>
      <c r="B215" s="11" t="str">
        <f>IFERROR(__xludf.DUMMYFUNCTION("""COMPUTED_VALUE"""),"Ben Mowbray")</f>
        <v>Ben Mowbray</v>
      </c>
      <c r="C215" t="str">
        <f>IFERROR(__xludf.DUMMYFUNCTION("""COMPUTED_VALUE"""),"ben.mowbray@dep.state.fl.us")</f>
        <v>ben.mowbray@dep.state.fl.us</v>
      </c>
      <c r="D215" t="str">
        <f>IFERROR(__xludf.DUMMYFUNCTION("""COMPUTED_VALUE"""),"Research/Pam")</f>
        <v>Research/Pam</v>
      </c>
      <c r="E215" t="str">
        <f>IFERROR(__xludf.DUMMYFUNCTION("""COMPUTED_VALUE"""),"Douglas Crane")</f>
        <v>Douglas Crane</v>
      </c>
      <c r="F215" s="13">
        <f>IFERROR(__xludf.DUMMYFUNCTION("""COMPUTED_VALUE"""),0.4583333333321207)</f>
        <v>0.4583333333</v>
      </c>
      <c r="G215" s="14">
        <f>IFERROR(__xludf.DUMMYFUNCTION("""COMPUTED_VALUE"""),43460.0)</f>
        <v>43460</v>
      </c>
      <c r="H215" t="str">
        <f>IFERROR(__xludf.DUMMYFUNCTION("""COMPUTED_VALUE"""),"Chapman Middle Site")</f>
        <v>Chapman Middle Site</v>
      </c>
      <c r="I215" s="15">
        <f>IFERROR(__xludf.DUMMYFUNCTION("""COMPUTED_VALUE"""),0.6666666666678793)</f>
        <v>0.6666666667</v>
      </c>
      <c r="J215" s="16">
        <f>IFERROR(__xludf.DUMMYFUNCTION("""COMPUTED_VALUE"""),43460.694444444445)</f>
        <v>43460.69444</v>
      </c>
      <c r="K215" t="str">
        <f>IFERROR(__xludf.DUMMYFUNCTION("""COMPUTED_VALUE"""),"F 20ft Sea Ark (Easy 200) FL8534PY DEP21451")</f>
        <v>F 20ft Sea Ark (Easy 200) FL8534PY DEP21451</v>
      </c>
      <c r="M215" t="str">
        <f>IFERROR(__xludf.DUMMYFUNCTION("""COMPUTED_VALUE"""),"Ford F250 2017 (Moby Dix) - DEP0021578")</f>
        <v>Ford F250 2017 (Moby Dix) - DEP0021578</v>
      </c>
      <c r="N215" t="str">
        <f>IFERROR(__xludf.DUMMYFUNCTION("""COMPUTED_VALUE"""),"Ben Mowbray, (407) 962-8782")</f>
        <v>Ben Mowbray, (407) 962-8782</v>
      </c>
      <c r="O215" t="str">
        <f>IFERROR(__xludf.DUMMYFUNCTION("""COMPUTED_VALUE"""),"Gabriela Canas, (904) 891-9743")</f>
        <v>Gabriela Canas, (904) 891-9743</v>
      </c>
      <c r="P215" t="str">
        <f>IFERROR(__xludf.DUMMYFUNCTION("""COMPUTED_VALUE"""),"Ben")</f>
        <v>Ben</v>
      </c>
      <c r="Q215" t="str">
        <f>IFERROR(__xludf.DUMMYFUNCTION("""COMPUTED_VALUE"""),"Good")</f>
        <v>Good</v>
      </c>
      <c r="R215" t="str">
        <f>IFERROR(__xludf.DUMMYFUNCTION("""COMPUTED_VALUE"""),"Good")</f>
        <v>Good</v>
      </c>
      <c r="S215" t="str">
        <f>IFERROR(__xludf.DUMMYFUNCTION("""COMPUTED_VALUE"""),"Good")</f>
        <v>Good</v>
      </c>
      <c r="T215" t="str">
        <f>IFERROR(__xludf.DUMMYFUNCTION("""COMPUTED_VALUE"""),"Good")</f>
        <v>Good</v>
      </c>
      <c r="U215" t="str">
        <f>IFERROR(__xludf.DUMMYFUNCTION("""COMPUTED_VALUE"""),"Good")</f>
        <v>Good</v>
      </c>
      <c r="V215" t="str">
        <f>IFERROR(__xludf.DUMMYFUNCTION("""COMPUTED_VALUE"""),"Good")</f>
        <v>Good</v>
      </c>
      <c r="W215" t="str">
        <f>IFERROR(__xludf.DUMMYFUNCTION("""COMPUTED_VALUE"""),"Good")</f>
        <v>Good</v>
      </c>
      <c r="X215" t="str">
        <f>IFERROR(__xludf.DUMMYFUNCTION("""COMPUTED_VALUE"""),"Good")</f>
        <v>Good</v>
      </c>
      <c r="Y215" t="str">
        <f>IFERROR(__xludf.DUMMYFUNCTION("""COMPUTED_VALUE"""),"Good")</f>
        <v>Good</v>
      </c>
      <c r="Z215" t="str">
        <f>IFERROR(__xludf.DUMMYFUNCTION("""COMPUTED_VALUE"""),"Good")</f>
        <v>Good</v>
      </c>
      <c r="AA215" t="str">
        <f>IFERROR(__xludf.DUMMYFUNCTION("""COMPUTED_VALUE"""),"Good")</f>
        <v>Good</v>
      </c>
      <c r="AB215" t="str">
        <f>IFERROR(__xludf.DUMMYFUNCTION("""COMPUTED_VALUE"""),"Good")</f>
        <v>Good</v>
      </c>
      <c r="AC215" t="str">
        <f>IFERROR(__xludf.DUMMYFUNCTION("""COMPUTED_VALUE"""),"Good")</f>
        <v>Good</v>
      </c>
      <c r="AE215" s="11"/>
      <c r="AF215" t="s">
        <v>262</v>
      </c>
      <c r="AG215" s="17" t="s">
        <v>43</v>
      </c>
      <c r="AH215" s="12">
        <v>1630.0</v>
      </c>
      <c r="AI215" s="12" t="s">
        <v>591</v>
      </c>
      <c r="AJ215" s="19" t="s">
        <v>592</v>
      </c>
      <c r="AK215" s="20" t="str">
        <f>HYPERLINK("https://docs.google.com/document/d/1urGKS6Hhgz61wxKnJxIwXPH6FT9q0n0PP04qBW5_huw/edit?usp=drivesdk","Ben Mowbray - 12/26/2018 11:00 AM")</f>
        <v>Ben Mowbray - 12/26/2018 11:00 AM</v>
      </c>
      <c r="AL215" s="12" t="s">
        <v>593</v>
      </c>
    </row>
    <row r="216">
      <c r="A216" s="10">
        <f>IFERROR(__xludf.DUMMYFUNCTION("""COMPUTED_VALUE"""),43467.38464540509)</f>
        <v>43467.38465</v>
      </c>
      <c r="B216" s="11" t="str">
        <f>IFERROR(__xludf.DUMMYFUNCTION("""COMPUTED_VALUE"""),"Ben Mowbray")</f>
        <v>Ben Mowbray</v>
      </c>
      <c r="C216" t="str">
        <f>IFERROR(__xludf.DUMMYFUNCTION("""COMPUTED_VALUE"""),"ben.mowbray@dep.state.fl.us")</f>
        <v>ben.mowbray@dep.state.fl.us</v>
      </c>
      <c r="D216" t="str">
        <f>IFERROR(__xludf.DUMMYFUNCTION("""COMPUTED_VALUE"""),"Research/Nikki")</f>
        <v>Research/Nikki</v>
      </c>
      <c r="E216" t="str">
        <f>IFERROR(__xludf.DUMMYFUNCTION("""COMPUTED_VALUE"""),"Aunt Kate's")</f>
        <v>Aunt Kate's</v>
      </c>
      <c r="F216" s="13">
        <f>IFERROR(__xludf.DUMMYFUNCTION("""COMPUTED_VALUE"""),0.4166666666678793)</f>
        <v>0.4166666667</v>
      </c>
      <c r="G216" s="14">
        <f>IFERROR(__xludf.DUMMYFUNCTION("""COMPUTED_VALUE"""),43467.0)</f>
        <v>43467</v>
      </c>
      <c r="H216" t="str">
        <f>IFERROR(__xludf.DUMMYFUNCTION("""COMPUTED_VALUE"""),"Spat Run")</f>
        <v>Spat Run</v>
      </c>
      <c r="I216" s="15">
        <f>IFERROR(__xludf.DUMMYFUNCTION("""COMPUTED_VALUE"""),0.625)</f>
        <v>0.625</v>
      </c>
      <c r="J216" s="16">
        <f>IFERROR(__xludf.DUMMYFUNCTION("""COMPUTED_VALUE"""),43467.65277777778)</f>
        <v>43467.65278</v>
      </c>
      <c r="K216" t="str">
        <f>IFERROR(__xludf.DUMMYFUNCTION("""COMPUTED_VALUE"""),"23ft Skiff (Bertha) FL7972LJ DEP07613")</f>
        <v>23ft Skiff (Bertha) FL7972LJ DEP07613</v>
      </c>
      <c r="M216" t="str">
        <f>IFERROR(__xludf.DUMMYFUNCTION("""COMPUTED_VALUE"""),"Ford F150 2015 (White) - DEP21448")</f>
        <v>Ford F150 2015 (White) - DEP21448</v>
      </c>
      <c r="N216" t="str">
        <f>IFERROR(__xludf.DUMMYFUNCTION("""COMPUTED_VALUE"""),"Ben Mowbray, (407) 962-8782")</f>
        <v>Ben Mowbray, (407) 962-8782</v>
      </c>
      <c r="O216" t="str">
        <f>IFERROR(__xludf.DUMMYFUNCTION("""COMPUTED_VALUE"""),"Alicia Bishop")</f>
        <v>Alicia Bishop</v>
      </c>
      <c r="P216" t="str">
        <f>IFERROR(__xludf.DUMMYFUNCTION("""COMPUTED_VALUE"""),"Ben")</f>
        <v>Ben</v>
      </c>
      <c r="Q216" t="str">
        <f>IFERROR(__xludf.DUMMYFUNCTION("""COMPUTED_VALUE"""),"Good")</f>
        <v>Good</v>
      </c>
      <c r="R216" t="str">
        <f>IFERROR(__xludf.DUMMYFUNCTION("""COMPUTED_VALUE"""),"Good")</f>
        <v>Good</v>
      </c>
      <c r="S216" t="str">
        <f>IFERROR(__xludf.DUMMYFUNCTION("""COMPUTED_VALUE"""),"Good")</f>
        <v>Good</v>
      </c>
      <c r="T216" t="str">
        <f>IFERROR(__xludf.DUMMYFUNCTION("""COMPUTED_VALUE"""),"Good")</f>
        <v>Good</v>
      </c>
      <c r="U216" t="str">
        <f>IFERROR(__xludf.DUMMYFUNCTION("""COMPUTED_VALUE"""),"Good")</f>
        <v>Good</v>
      </c>
      <c r="V216" t="str">
        <f>IFERROR(__xludf.DUMMYFUNCTION("""COMPUTED_VALUE"""),"Good")</f>
        <v>Good</v>
      </c>
      <c r="W216" t="str">
        <f>IFERROR(__xludf.DUMMYFUNCTION("""COMPUTED_VALUE"""),"Good")</f>
        <v>Good</v>
      </c>
      <c r="X216" t="str">
        <f>IFERROR(__xludf.DUMMYFUNCTION("""COMPUTED_VALUE"""),"Good")</f>
        <v>Good</v>
      </c>
      <c r="Y216" t="str">
        <f>IFERROR(__xludf.DUMMYFUNCTION("""COMPUTED_VALUE"""),"Good")</f>
        <v>Good</v>
      </c>
      <c r="Z216" t="str">
        <f>IFERROR(__xludf.DUMMYFUNCTION("""COMPUTED_VALUE"""),"Good")</f>
        <v>Good</v>
      </c>
      <c r="AA216" t="str">
        <f>IFERROR(__xludf.DUMMYFUNCTION("""COMPUTED_VALUE"""),"Good")</f>
        <v>Good</v>
      </c>
      <c r="AB216" t="str">
        <f>IFERROR(__xludf.DUMMYFUNCTION("""COMPUTED_VALUE"""),"Good")</f>
        <v>Good</v>
      </c>
      <c r="AC216" t="str">
        <f>IFERROR(__xludf.DUMMYFUNCTION("""COMPUTED_VALUE"""),"Good")</f>
        <v>Good</v>
      </c>
      <c r="AE216" s="11"/>
      <c r="AF216" t="s">
        <v>218</v>
      </c>
      <c r="AG216" s="17" t="s">
        <v>43</v>
      </c>
      <c r="AH216" s="12">
        <v>1600.0</v>
      </c>
      <c r="AI216" s="12" t="s">
        <v>594</v>
      </c>
      <c r="AJ216" s="19" t="s">
        <v>595</v>
      </c>
      <c r="AK216" s="20" t="str">
        <f>HYPERLINK("https://docs.google.com/document/d/1Uul-M4yHrQoQPnrQFZYN9DfqLTVHhiUvwWZpw-wNmWI/edit?usp=drivesdk","Ben Mowbray - 1/2/2019 10:00 AM")</f>
        <v>Ben Mowbray - 1/2/2019 10:00 AM</v>
      </c>
      <c r="AL216" s="12" t="s">
        <v>596</v>
      </c>
    </row>
    <row r="217">
      <c r="A217" s="10">
        <f>IFERROR(__xludf.DUMMYFUNCTION("""COMPUTED_VALUE"""),43467.40095329861)</f>
        <v>43467.40095</v>
      </c>
      <c r="B217" s="11" t="str">
        <f>IFERROR(__xludf.DUMMYFUNCTION("""COMPUTED_VALUE"""),"Pamela Marcum")</f>
        <v>Pamela Marcum</v>
      </c>
      <c r="C217" t="str">
        <f>IFERROR(__xludf.DUMMYFUNCTION("""COMPUTED_VALUE"""),"Pamela.Marcum@dep.state.fl.us")</f>
        <v>Pamela.Marcum@dep.state.fl.us</v>
      </c>
      <c r="D217" t="str">
        <f>IFERROR(__xludf.DUMMYFUNCTION("""COMPUTED_VALUE"""),"Research/Nikki")</f>
        <v>Research/Nikki</v>
      </c>
      <c r="E217" t="str">
        <f>IFERROR(__xludf.DUMMYFUNCTION("""COMPUTED_VALUE"""),"Shore Drive 10a, Green Rd 1p, Bings 3p")</f>
        <v>Shore Drive 10a, Green Rd 1p, Bings 3p</v>
      </c>
      <c r="F217" s="13">
        <f>IFERROR(__xludf.DUMMYFUNCTION("""COMPUTED_VALUE"""),0.4166666666678793)</f>
        <v>0.4166666667</v>
      </c>
      <c r="G217" s="14">
        <f>IFERROR(__xludf.DUMMYFUNCTION("""COMPUTED_VALUE"""),43467.0)</f>
        <v>43467</v>
      </c>
      <c r="H217" t="str">
        <f>IFERROR(__xludf.DUMMYFUNCTION("""COMPUTED_VALUE"""),"spat trees")</f>
        <v>spat trees</v>
      </c>
      <c r="I217" s="15">
        <f>IFERROR(__xludf.DUMMYFUNCTION("""COMPUTED_VALUE"""),0.7083333333321207)</f>
        <v>0.7083333333</v>
      </c>
      <c r="J217" s="16">
        <f>IFERROR(__xludf.DUMMYFUNCTION("""COMPUTED_VALUE"""),43467.77083333333)</f>
        <v>43467.77083</v>
      </c>
      <c r="K217" t="str">
        <f>IFERROR(__xludf.DUMMYFUNCTION("""COMPUTED_VALUE"""),"20ft Sea Ark FL5351SJ UNF 2015")</f>
        <v>20ft Sea Ark FL5351SJ UNF 2015</v>
      </c>
      <c r="M217" t="str">
        <f>IFERROR(__xludf.DUMMYFUNCTION("""COMPUTED_VALUE"""),"Ford F150 2008 - DEP18041 (SWMP Thing)")</f>
        <v>Ford F150 2008 - DEP18041 (SWMP Thing)</v>
      </c>
      <c r="N217" t="str">
        <f>IFERROR(__xludf.DUMMYFUNCTION("""COMPUTED_VALUE"""),"Pam Marcum, (480) 332-5414, Remo Mondazzi")</f>
        <v>Pam Marcum, (480) 332-5414, Remo Mondazzi</v>
      </c>
      <c r="P217" t="str">
        <f>IFERROR(__xludf.DUMMYFUNCTION("""COMPUTED_VALUE"""),"Pam")</f>
        <v>Pam</v>
      </c>
      <c r="Q217" t="str">
        <f>IFERROR(__xludf.DUMMYFUNCTION("""COMPUTED_VALUE"""),"Good")</f>
        <v>Good</v>
      </c>
      <c r="R217" t="str">
        <f>IFERROR(__xludf.DUMMYFUNCTION("""COMPUTED_VALUE"""),"Good")</f>
        <v>Good</v>
      </c>
      <c r="S217" t="str">
        <f>IFERROR(__xludf.DUMMYFUNCTION("""COMPUTED_VALUE"""),"Good")</f>
        <v>Good</v>
      </c>
      <c r="T217" t="str">
        <f>IFERROR(__xludf.DUMMYFUNCTION("""COMPUTED_VALUE"""),"Good")</f>
        <v>Good</v>
      </c>
      <c r="U217" t="str">
        <f>IFERROR(__xludf.DUMMYFUNCTION("""COMPUTED_VALUE"""),"Good")</f>
        <v>Good</v>
      </c>
      <c r="V217" t="str">
        <f>IFERROR(__xludf.DUMMYFUNCTION("""COMPUTED_VALUE"""),"Good")</f>
        <v>Good</v>
      </c>
      <c r="W217" t="str">
        <f>IFERROR(__xludf.DUMMYFUNCTION("""COMPUTED_VALUE"""),"Good")</f>
        <v>Good</v>
      </c>
      <c r="X217" t="str">
        <f>IFERROR(__xludf.DUMMYFUNCTION("""COMPUTED_VALUE"""),"Good")</f>
        <v>Good</v>
      </c>
      <c r="Y217" t="str">
        <f>IFERROR(__xludf.DUMMYFUNCTION("""COMPUTED_VALUE"""),"Good")</f>
        <v>Good</v>
      </c>
      <c r="Z217" t="str">
        <f>IFERROR(__xludf.DUMMYFUNCTION("""COMPUTED_VALUE"""),"Good")</f>
        <v>Good</v>
      </c>
      <c r="AA217" t="str">
        <f>IFERROR(__xludf.DUMMYFUNCTION("""COMPUTED_VALUE"""),"Good")</f>
        <v>Good</v>
      </c>
      <c r="AB217" t="str">
        <f>IFERROR(__xludf.DUMMYFUNCTION("""COMPUTED_VALUE"""),"Good")</f>
        <v>Good</v>
      </c>
      <c r="AC217" t="str">
        <f>IFERROR(__xludf.DUMMYFUNCTION("""COMPUTED_VALUE"""),"Good")</f>
        <v>Good</v>
      </c>
      <c r="AE217" s="11"/>
      <c r="AF217" t="s">
        <v>218</v>
      </c>
      <c r="AG217" s="17" t="s">
        <v>43</v>
      </c>
      <c r="AH217" s="12">
        <v>1440.0</v>
      </c>
      <c r="AI217" s="12" t="s">
        <v>597</v>
      </c>
      <c r="AJ217" s="19" t="s">
        <v>598</v>
      </c>
      <c r="AK217" s="20" t="str">
        <f>HYPERLINK("https://docs.google.com/document/d/11wDe1iSta-uPiSj3aBwpM_PUcVB86619YC5CLL_mQ-I/edit?usp=drivesdk","Pamela Marcum - 1/2/2019 10:00 AM")</f>
        <v>Pamela Marcum - 1/2/2019 10:00 AM</v>
      </c>
      <c r="AL217" s="12" t="s">
        <v>599</v>
      </c>
    </row>
    <row r="218">
      <c r="A218" s="10">
        <f>IFERROR(__xludf.DUMMYFUNCTION("""COMPUTED_VALUE"""),43467.78624292823)</f>
        <v>43467.78624</v>
      </c>
      <c r="B218" s="11" t="str">
        <f>IFERROR(__xludf.DUMMYFUNCTION("""COMPUTED_VALUE"""),"Pamela Marcum")</f>
        <v>Pamela Marcum</v>
      </c>
      <c r="C218" t="str">
        <f>IFERROR(__xludf.DUMMYFUNCTION("""COMPUTED_VALUE"""),"Pamela.Marcum@dep.state.fl.us")</f>
        <v>Pamela.Marcum@dep.state.fl.us</v>
      </c>
      <c r="D218" t="str">
        <f>IFERROR(__xludf.DUMMYFUNCTION("""COMPUTED_VALUE"""),"Research/Nikki")</f>
        <v>Research/Nikki</v>
      </c>
      <c r="E218" t="str">
        <f>IFERROR(__xludf.DUMMYFUNCTION("""COMPUTED_VALUE"""),"Lighthouse 0930, Shore Dr 1130")</f>
        <v>Lighthouse 0930, Shore Dr 1130</v>
      </c>
      <c r="F218" s="13">
        <f>IFERROR(__xludf.DUMMYFUNCTION("""COMPUTED_VALUE"""),0.3958333333321207)</f>
        <v>0.3958333333</v>
      </c>
      <c r="G218" s="14">
        <f>IFERROR(__xludf.DUMMYFUNCTION("""COMPUTED_VALUE"""),43468.0)</f>
        <v>43468</v>
      </c>
      <c r="H218" t="str">
        <f>IFERROR(__xludf.DUMMYFUNCTION("""COMPUTED_VALUE"""),"Salt Run &amp; St. Aug Kimbro sites")</f>
        <v>Salt Run &amp; St. Aug Kimbro sites</v>
      </c>
      <c r="I218" s="15">
        <f>IFERROR(__xludf.DUMMYFUNCTION("""COMPUTED_VALUE"""),0.5625)</f>
        <v>0.5625</v>
      </c>
      <c r="J218" s="16">
        <f>IFERROR(__xludf.DUMMYFUNCTION("""COMPUTED_VALUE"""),43468.58333333333)</f>
        <v>43468.58333</v>
      </c>
      <c r="K218" t="str">
        <f>IFERROR(__xludf.DUMMYFUNCTION("""COMPUTED_VALUE"""),"20ft Sea Ark FL5351SJ UNF 2015")</f>
        <v>20ft Sea Ark FL5351SJ UNF 2015</v>
      </c>
      <c r="M218" t="str">
        <f>IFERROR(__xludf.DUMMYFUNCTION("""COMPUTED_VALUE"""),"Ford F150 2008 - DEP18041 (SWMP Thing)")</f>
        <v>Ford F150 2008 - DEP18041 (SWMP Thing)</v>
      </c>
      <c r="N218" t="str">
        <f>IFERROR(__xludf.DUMMYFUNCTION("""COMPUTED_VALUE"""),"Pam Marcum, (480) 332-5414")</f>
        <v>Pam Marcum, (480) 332-5414</v>
      </c>
      <c r="O218" t="str">
        <f>IFERROR(__xludf.DUMMYFUNCTION("""COMPUTED_VALUE"""),"Nicole Peckham, Adrienne Breef-Pilz")</f>
        <v>Nicole Peckham, Adrienne Breef-Pilz</v>
      </c>
      <c r="P218" t="str">
        <f>IFERROR(__xludf.DUMMYFUNCTION("""COMPUTED_VALUE"""),"Pam")</f>
        <v>Pam</v>
      </c>
      <c r="Q218" t="str">
        <f>IFERROR(__xludf.DUMMYFUNCTION("""COMPUTED_VALUE"""),"Good")</f>
        <v>Good</v>
      </c>
      <c r="R218" t="str">
        <f>IFERROR(__xludf.DUMMYFUNCTION("""COMPUTED_VALUE"""),"Good")</f>
        <v>Good</v>
      </c>
      <c r="S218" t="str">
        <f>IFERROR(__xludf.DUMMYFUNCTION("""COMPUTED_VALUE"""),"Good")</f>
        <v>Good</v>
      </c>
      <c r="T218" t="str">
        <f>IFERROR(__xludf.DUMMYFUNCTION("""COMPUTED_VALUE"""),"Good")</f>
        <v>Good</v>
      </c>
      <c r="U218" t="str">
        <f>IFERROR(__xludf.DUMMYFUNCTION("""COMPUTED_VALUE"""),"Good")</f>
        <v>Good</v>
      </c>
      <c r="V218" t="str">
        <f>IFERROR(__xludf.DUMMYFUNCTION("""COMPUTED_VALUE"""),"Good")</f>
        <v>Good</v>
      </c>
      <c r="W218" t="str">
        <f>IFERROR(__xludf.DUMMYFUNCTION("""COMPUTED_VALUE"""),"Good")</f>
        <v>Good</v>
      </c>
      <c r="X218" t="str">
        <f>IFERROR(__xludf.DUMMYFUNCTION("""COMPUTED_VALUE"""),"Good")</f>
        <v>Good</v>
      </c>
      <c r="Y218" t="str">
        <f>IFERROR(__xludf.DUMMYFUNCTION("""COMPUTED_VALUE"""),"Good")</f>
        <v>Good</v>
      </c>
      <c r="Z218" t="str">
        <f>IFERROR(__xludf.DUMMYFUNCTION("""COMPUTED_VALUE"""),"Good")</f>
        <v>Good</v>
      </c>
      <c r="AA218" t="str">
        <f>IFERROR(__xludf.DUMMYFUNCTION("""COMPUTED_VALUE"""),"Good")</f>
        <v>Good</v>
      </c>
      <c r="AB218" t="str">
        <f>IFERROR(__xludf.DUMMYFUNCTION("""COMPUTED_VALUE"""),"Good")</f>
        <v>Good</v>
      </c>
      <c r="AC218" t="str">
        <f>IFERROR(__xludf.DUMMYFUNCTION("""COMPUTED_VALUE"""),"Good")</f>
        <v>Good</v>
      </c>
      <c r="AE218" s="11"/>
      <c r="AF218" t="s">
        <v>218</v>
      </c>
      <c r="AG218" s="17" t="s">
        <v>128</v>
      </c>
      <c r="AH218" s="12">
        <v>1445.0</v>
      </c>
      <c r="AI218" s="12" t="s">
        <v>600</v>
      </c>
      <c r="AJ218" s="19" t="s">
        <v>601</v>
      </c>
      <c r="AK218" s="20" t="str">
        <f>HYPERLINK("https://docs.google.com/document/d/16OYOj5TIsxB7aLpe8-WmMHmeLPl3WJceZcqhaNcR8ug/edit?usp=drivesdk","Pamela Marcum - 1/3/2019 9:30 AM")</f>
        <v>Pamela Marcum - 1/3/2019 9:30 AM</v>
      </c>
      <c r="AL218" s="12" t="s">
        <v>602</v>
      </c>
    </row>
    <row r="219">
      <c r="A219" s="10">
        <f>IFERROR(__xludf.DUMMYFUNCTION("""COMPUTED_VALUE"""),43469.34359679398)</f>
        <v>43469.3436</v>
      </c>
      <c r="B219" s="11" t="str">
        <f>IFERROR(__xludf.DUMMYFUNCTION("""COMPUTED_VALUE"""),"James Tomazinis")</f>
        <v>James Tomazinis</v>
      </c>
      <c r="C219" t="str">
        <f>IFERROR(__xludf.DUMMYFUNCTION("""COMPUTED_VALUE"""),"james.tomazinis@floridadep.gov")</f>
        <v>james.tomazinis@floridadep.gov</v>
      </c>
      <c r="D219" t="str">
        <f>IFERROR(__xludf.DUMMYFUNCTION("""COMPUTED_VALUE"""),"Stewardship (Aquatic)")</f>
        <v>Stewardship (Aquatic)</v>
      </c>
      <c r="E219" t="str">
        <f>IFERROR(__xludf.DUMMYFUNCTION("""COMPUTED_VALUE"""),"Aunt Kates")</f>
        <v>Aunt Kates</v>
      </c>
      <c r="F219" s="13">
        <f>IFERROR(__xludf.DUMMYFUNCTION("""COMPUTED_VALUE"""),0.375)</f>
        <v>0.375</v>
      </c>
      <c r="G219" s="14">
        <f>IFERROR(__xludf.DUMMYFUNCTION("""COMPUTED_VALUE"""),43469.0)</f>
        <v>43469</v>
      </c>
      <c r="H219" t="str">
        <f>IFERROR(__xludf.DUMMYFUNCTION("""COMPUTED_VALUE"""),"Tolomato River near airport")</f>
        <v>Tolomato River near airport</v>
      </c>
      <c r="I219" s="15">
        <f>IFERROR(__xludf.DUMMYFUNCTION("""COMPUTED_VALUE"""),0.5208333333321207)</f>
        <v>0.5208333333</v>
      </c>
      <c r="J219" s="16"/>
      <c r="K219" t="str">
        <f>IFERROR(__xludf.DUMMYFUNCTION("""COMPUTED_VALUE"""),"23ft Skiff (Bertha) FL7972LJ DEP07613")</f>
        <v>23ft Skiff (Bertha) FL7972LJ DEP07613</v>
      </c>
      <c r="M219" t="str">
        <f>IFERROR(__xludf.DUMMYFUNCTION("""COMPUTED_VALUE"""),"Ford F150 2015 (White) - DEP21448")</f>
        <v>Ford F150 2015 (White) - DEP21448</v>
      </c>
      <c r="N219" t="str">
        <f>IFERROR(__xludf.DUMMYFUNCTION("""COMPUTED_VALUE"""),"Jimmy Tomazinis, (904) 547-0094, Ben Mowbray, (407) 962-8782")</f>
        <v>Jimmy Tomazinis, (904) 547-0094, Ben Mowbray, (407) 962-8782</v>
      </c>
      <c r="O219" t="str">
        <f>IFERROR(__xludf.DUMMYFUNCTION("""COMPUTED_VALUE"""),"Benjamin Mowbray, (407) 962-8782, Gabriela Canas, (904) 891-9743, Ed McGinley")</f>
        <v>Benjamin Mowbray, (407) 962-8782, Gabriela Canas, (904) 891-9743, Ed McGinley</v>
      </c>
      <c r="P219" t="str">
        <f>IFERROR(__xludf.DUMMYFUNCTION("""COMPUTED_VALUE"""),"Jimmy")</f>
        <v>Jimmy</v>
      </c>
      <c r="Q219" t="str">
        <f>IFERROR(__xludf.DUMMYFUNCTION("""COMPUTED_VALUE"""),"Good")</f>
        <v>Good</v>
      </c>
      <c r="R219" t="str">
        <f>IFERROR(__xludf.DUMMYFUNCTION("""COMPUTED_VALUE"""),"Good")</f>
        <v>Good</v>
      </c>
      <c r="S219" t="str">
        <f>IFERROR(__xludf.DUMMYFUNCTION("""COMPUTED_VALUE"""),"Good")</f>
        <v>Good</v>
      </c>
      <c r="T219" t="str">
        <f>IFERROR(__xludf.DUMMYFUNCTION("""COMPUTED_VALUE"""),"Good")</f>
        <v>Good</v>
      </c>
      <c r="U219" t="str">
        <f>IFERROR(__xludf.DUMMYFUNCTION("""COMPUTED_VALUE"""),"Good")</f>
        <v>Good</v>
      </c>
      <c r="V219" t="str">
        <f>IFERROR(__xludf.DUMMYFUNCTION("""COMPUTED_VALUE"""),"Good")</f>
        <v>Good</v>
      </c>
      <c r="W219" t="str">
        <f>IFERROR(__xludf.DUMMYFUNCTION("""COMPUTED_VALUE"""),"Good")</f>
        <v>Good</v>
      </c>
      <c r="X219" t="str">
        <f>IFERROR(__xludf.DUMMYFUNCTION("""COMPUTED_VALUE"""),"Good")</f>
        <v>Good</v>
      </c>
      <c r="Y219" t="str">
        <f>IFERROR(__xludf.DUMMYFUNCTION("""COMPUTED_VALUE"""),"Good")</f>
        <v>Good</v>
      </c>
      <c r="Z219" t="str">
        <f>IFERROR(__xludf.DUMMYFUNCTION("""COMPUTED_VALUE"""),"Good")</f>
        <v>Good</v>
      </c>
      <c r="AA219" t="str">
        <f>IFERROR(__xludf.DUMMYFUNCTION("""COMPUTED_VALUE"""),"Good")</f>
        <v>Good</v>
      </c>
      <c r="AB219" t="str">
        <f>IFERROR(__xludf.DUMMYFUNCTION("""COMPUTED_VALUE"""),"Good")</f>
        <v>Good</v>
      </c>
      <c r="AC219" t="str">
        <f>IFERROR(__xludf.DUMMYFUNCTION("""COMPUTED_VALUE"""),"Good")</f>
        <v>Good</v>
      </c>
      <c r="AE219" s="11"/>
      <c r="AF219" t="s">
        <v>32</v>
      </c>
      <c r="AG219" s="17" t="s">
        <v>128</v>
      </c>
      <c r="AH219" s="12">
        <v>1255.0</v>
      </c>
      <c r="AI219" s="12" t="s">
        <v>603</v>
      </c>
      <c r="AJ219" s="19" t="s">
        <v>604</v>
      </c>
      <c r="AK219" s="20" t="str">
        <f>HYPERLINK("https://docs.google.com/document/d/16SdYODC-uCZ2zFLn33qfp7Qjty_GYbog-ssGQaMREx8/edit?usp=drivesdk","James Tomazinis - 1/4/2019 9:00 AM")</f>
        <v>James Tomazinis - 1/4/2019 9:00 AM</v>
      </c>
      <c r="AL219" s="12" t="s">
        <v>605</v>
      </c>
    </row>
    <row r="220">
      <c r="A220" s="10">
        <f>IFERROR(__xludf.DUMMYFUNCTION("""COMPUTED_VALUE"""),43469.414208009264)</f>
        <v>43469.41421</v>
      </c>
      <c r="B220" s="11" t="str">
        <f>IFERROR(__xludf.DUMMYFUNCTION("""COMPUTED_VALUE"""),"Pamela Marcum")</f>
        <v>Pamela Marcum</v>
      </c>
      <c r="C220" t="str">
        <f>IFERROR(__xludf.DUMMYFUNCTION("""COMPUTED_VALUE"""),"Pamela.Marcum@dep.state.fl.us")</f>
        <v>Pamela.Marcum@dep.state.fl.us</v>
      </c>
      <c r="D220" t="str">
        <f>IFERROR(__xludf.DUMMYFUNCTION("""COMPUTED_VALUE"""),"Research/Nikki")</f>
        <v>Research/Nikki</v>
      </c>
      <c r="E220" t="str">
        <f>IFERROR(__xludf.DUMMYFUNCTION("""COMPUTED_VALUE"""),"Shore Dr 10am, Aunt Kate's 11am")</f>
        <v>Shore Dr 10am, Aunt Kate's 11am</v>
      </c>
      <c r="F220" s="13">
        <f>IFERROR(__xludf.DUMMYFUNCTION("""COMPUTED_VALUE"""),0.4166666666678793)</f>
        <v>0.4166666667</v>
      </c>
      <c r="G220" s="14">
        <f>IFERROR(__xludf.DUMMYFUNCTION("""COMPUTED_VALUE"""),43469.0)</f>
        <v>43469</v>
      </c>
      <c r="H220" t="str">
        <f>IFERROR(__xludf.DUMMYFUNCTION("""COMPUTED_VALUE"""),"Northern Kimbro sites")</f>
        <v>Northern Kimbro sites</v>
      </c>
      <c r="I220" s="15">
        <f>IFERROR(__xludf.DUMMYFUNCTION("""COMPUTED_VALUE"""),0.625)</f>
        <v>0.625</v>
      </c>
      <c r="J220" s="16">
        <f>IFERROR(__xludf.DUMMYFUNCTION("""COMPUTED_VALUE"""),43469.64583333333)</f>
        <v>43469.64583</v>
      </c>
      <c r="K220" t="str">
        <f>IFERROR(__xludf.DUMMYFUNCTION("""COMPUTED_VALUE"""),"20ft Sea Ark FL5351SJ UNF 2015")</f>
        <v>20ft Sea Ark FL5351SJ UNF 2015</v>
      </c>
      <c r="M220" t="str">
        <f>IFERROR(__xludf.DUMMYFUNCTION("""COMPUTED_VALUE"""),"Ford F150 2008 - DEP18041 (SWMP Thing)")</f>
        <v>Ford F150 2008 - DEP18041 (SWMP Thing)</v>
      </c>
      <c r="N220" t="str">
        <f>IFERROR(__xludf.DUMMYFUNCTION("""COMPUTED_VALUE"""),"Pam Marcum, (480) 332-5414")</f>
        <v>Pam Marcum, (480) 332-5414</v>
      </c>
      <c r="O220" t="str">
        <f>IFERROR(__xludf.DUMMYFUNCTION("""COMPUTED_VALUE"""),"Adrienne Breef-Pilz, Nicoloe Peckham")</f>
        <v>Adrienne Breef-Pilz, Nicoloe Peckham</v>
      </c>
      <c r="P220" t="str">
        <f>IFERROR(__xludf.DUMMYFUNCTION("""COMPUTED_VALUE"""),"Pam")</f>
        <v>Pam</v>
      </c>
      <c r="Q220" t="str">
        <f>IFERROR(__xludf.DUMMYFUNCTION("""COMPUTED_VALUE"""),"Good")</f>
        <v>Good</v>
      </c>
      <c r="R220" t="str">
        <f>IFERROR(__xludf.DUMMYFUNCTION("""COMPUTED_VALUE"""),"Good")</f>
        <v>Good</v>
      </c>
      <c r="S220" t="str">
        <f>IFERROR(__xludf.DUMMYFUNCTION("""COMPUTED_VALUE"""),"Good")</f>
        <v>Good</v>
      </c>
      <c r="T220" t="str">
        <f>IFERROR(__xludf.DUMMYFUNCTION("""COMPUTED_VALUE"""),"Good")</f>
        <v>Good</v>
      </c>
      <c r="U220" t="str">
        <f>IFERROR(__xludf.DUMMYFUNCTION("""COMPUTED_VALUE"""),"Good")</f>
        <v>Good</v>
      </c>
      <c r="V220" t="str">
        <f>IFERROR(__xludf.DUMMYFUNCTION("""COMPUTED_VALUE"""),"Good")</f>
        <v>Good</v>
      </c>
      <c r="W220" t="str">
        <f>IFERROR(__xludf.DUMMYFUNCTION("""COMPUTED_VALUE"""),"Good")</f>
        <v>Good</v>
      </c>
      <c r="X220" t="str">
        <f>IFERROR(__xludf.DUMMYFUNCTION("""COMPUTED_VALUE"""),"Good")</f>
        <v>Good</v>
      </c>
      <c r="Y220" t="str">
        <f>IFERROR(__xludf.DUMMYFUNCTION("""COMPUTED_VALUE"""),"Good")</f>
        <v>Good</v>
      </c>
      <c r="Z220" t="str">
        <f>IFERROR(__xludf.DUMMYFUNCTION("""COMPUTED_VALUE"""),"Good")</f>
        <v>Good</v>
      </c>
      <c r="AA220" t="str">
        <f>IFERROR(__xludf.DUMMYFUNCTION("""COMPUTED_VALUE"""),"Good")</f>
        <v>Good</v>
      </c>
      <c r="AB220" t="str">
        <f>IFERROR(__xludf.DUMMYFUNCTION("""COMPUTED_VALUE"""),"Good")</f>
        <v>Good</v>
      </c>
      <c r="AC220" t="str">
        <f>IFERROR(__xludf.DUMMYFUNCTION("""COMPUTED_VALUE"""),"Good")</f>
        <v>Good</v>
      </c>
      <c r="AE220" s="11"/>
      <c r="AF220" t="s">
        <v>218</v>
      </c>
      <c r="AG220" s="17" t="s">
        <v>128</v>
      </c>
      <c r="AI220" s="12" t="s">
        <v>606</v>
      </c>
      <c r="AJ220" s="19" t="s">
        <v>607</v>
      </c>
      <c r="AK220" s="20" t="str">
        <f>HYPERLINK("https://docs.google.com/document/d/1p7s5sR34YXc9wg1z-_VVivHlRGZkuTUZxMHhBUHtCco/edit?usp=drivesdk","Pamela Marcum - 1/4/2019 10:00 AM")</f>
        <v>Pamela Marcum - 1/4/2019 10:00 AM</v>
      </c>
      <c r="AL220" s="12" t="s">
        <v>608</v>
      </c>
    </row>
    <row r="221">
      <c r="A221" s="10">
        <f>IFERROR(__xludf.DUMMYFUNCTION("""COMPUTED_VALUE"""),43472.65924579861)</f>
        <v>43472.65925</v>
      </c>
      <c r="B221" s="11" t="str">
        <f>IFERROR(__xludf.DUMMYFUNCTION("""COMPUTED_VALUE"""),"Silas Tanner")</f>
        <v>Silas Tanner</v>
      </c>
      <c r="C221" t="str">
        <f>IFERROR(__xludf.DUMMYFUNCTION("""COMPUTED_VALUE"""),"silas.tanner@floridadep.gov")</f>
        <v>silas.tanner@floridadep.gov</v>
      </c>
      <c r="D221" t="str">
        <f>IFERROR(__xludf.DUMMYFUNCTION("""COMPUTED_VALUE"""),"Research/Nikki")</f>
        <v>Research/Nikki</v>
      </c>
      <c r="E221" t="str">
        <f>IFERROR(__xludf.DUMMYFUNCTION("""COMPUTED_VALUE"""),"Vilano Landing")</f>
        <v>Vilano Landing</v>
      </c>
      <c r="F221" s="13">
        <f>IFERROR(__xludf.DUMMYFUNCTION("""COMPUTED_VALUE"""),0.3645833333321207)</f>
        <v>0.3645833333</v>
      </c>
      <c r="G221" s="14">
        <f>IFERROR(__xludf.DUMMYFUNCTION("""COMPUTED_VALUE"""),43473.0)</f>
        <v>43473</v>
      </c>
      <c r="H221" t="str">
        <f>IFERROR(__xludf.DUMMYFUNCTION("""COMPUTED_VALUE"""),"ICW: SWMP Stations")</f>
        <v>ICW: SWMP Stations</v>
      </c>
      <c r="I221" s="15">
        <f>IFERROR(__xludf.DUMMYFUNCTION("""COMPUTED_VALUE"""),0.53125)</f>
        <v>0.53125</v>
      </c>
      <c r="J221" s="16">
        <f>IFERROR(__xludf.DUMMYFUNCTION("""COMPUTED_VALUE"""),43473.54166666667)</f>
        <v>43473.54167</v>
      </c>
      <c r="K221" t="str">
        <f>IFERROR(__xludf.DUMMYFUNCTION("""COMPUTED_VALUE"""),"20ft Sea Ark FL5351SJ UNF 2015")</f>
        <v>20ft Sea Ark FL5351SJ UNF 2015</v>
      </c>
      <c r="M221" t="str">
        <f>IFERROR(__xludf.DUMMYFUNCTION("""COMPUTED_VALUE"""),"Ford F250 2017 (Moby Dix) - DEP0021578")</f>
        <v>Ford F250 2017 (Moby Dix) - DEP0021578</v>
      </c>
      <c r="N221" t="str">
        <f>IFERROR(__xludf.DUMMYFUNCTION("""COMPUTED_VALUE"""),"Silas Tanner, (904) 483-8423, Remo Mondazi")</f>
        <v>Silas Tanner, (904) 483-8423, Remo Mondazi</v>
      </c>
      <c r="P221" t="str">
        <f>IFERROR(__xludf.DUMMYFUNCTION("""COMPUTED_VALUE"""),"S. Tanner")</f>
        <v>S. Tanner</v>
      </c>
      <c r="Q221" t="str">
        <f>IFERROR(__xludf.DUMMYFUNCTION("""COMPUTED_VALUE"""),"Good")</f>
        <v>Good</v>
      </c>
      <c r="R221" t="str">
        <f>IFERROR(__xludf.DUMMYFUNCTION("""COMPUTED_VALUE"""),"Good")</f>
        <v>Good</v>
      </c>
      <c r="S221" t="str">
        <f>IFERROR(__xludf.DUMMYFUNCTION("""COMPUTED_VALUE"""),"Good")</f>
        <v>Good</v>
      </c>
      <c r="T221" t="str">
        <f>IFERROR(__xludf.DUMMYFUNCTION("""COMPUTED_VALUE"""),"Good")</f>
        <v>Good</v>
      </c>
      <c r="U221" t="str">
        <f>IFERROR(__xludf.DUMMYFUNCTION("""COMPUTED_VALUE"""),"Good")</f>
        <v>Good</v>
      </c>
      <c r="V221" t="str">
        <f>IFERROR(__xludf.DUMMYFUNCTION("""COMPUTED_VALUE"""),"Good")</f>
        <v>Good</v>
      </c>
      <c r="W221" t="str">
        <f>IFERROR(__xludf.DUMMYFUNCTION("""COMPUTED_VALUE"""),"Good")</f>
        <v>Good</v>
      </c>
      <c r="X221" t="str">
        <f>IFERROR(__xludf.DUMMYFUNCTION("""COMPUTED_VALUE"""),"Good")</f>
        <v>Good</v>
      </c>
      <c r="Y221" t="str">
        <f>IFERROR(__xludf.DUMMYFUNCTION("""COMPUTED_VALUE"""),"Good")</f>
        <v>Good</v>
      </c>
      <c r="Z221" t="str">
        <f>IFERROR(__xludf.DUMMYFUNCTION("""COMPUTED_VALUE"""),"Good")</f>
        <v>Good</v>
      </c>
      <c r="AA221" t="str">
        <f>IFERROR(__xludf.DUMMYFUNCTION("""COMPUTED_VALUE"""),"Good")</f>
        <v>Good</v>
      </c>
      <c r="AB221" t="str">
        <f>IFERROR(__xludf.DUMMYFUNCTION("""COMPUTED_VALUE"""),"Good")</f>
        <v>Good</v>
      </c>
      <c r="AC221" t="str">
        <f>IFERROR(__xludf.DUMMYFUNCTION("""COMPUTED_VALUE"""),"Good")</f>
        <v>Good</v>
      </c>
      <c r="AE221" s="11"/>
      <c r="AF221" t="s">
        <v>218</v>
      </c>
      <c r="AG221" s="17" t="s">
        <v>18</v>
      </c>
      <c r="AH221" s="12">
        <v>1220.0</v>
      </c>
      <c r="AI221" s="12" t="s">
        <v>609</v>
      </c>
      <c r="AJ221" s="19" t="s">
        <v>610</v>
      </c>
      <c r="AK221" s="20" t="str">
        <f>HYPERLINK("https://docs.google.com/document/d/1w5yvrJDRg-YgyWDyeVMe6dpoKT5A2GMePvS1bvcmC00/edit?usp=drivesdk","Silas Tanner - 1/8/2019 8:45 AM")</f>
        <v>Silas Tanner - 1/8/2019 8:45 AM</v>
      </c>
      <c r="AL221" s="12" t="s">
        <v>611</v>
      </c>
    </row>
    <row r="222">
      <c r="A222" s="10">
        <f>IFERROR(__xludf.DUMMYFUNCTION("""COMPUTED_VALUE"""),43474.34273142361)</f>
        <v>43474.34273</v>
      </c>
      <c r="B222" s="11" t="str">
        <f>IFERROR(__xludf.DUMMYFUNCTION("""COMPUTED_VALUE"""),"James Tomazinis")</f>
        <v>James Tomazinis</v>
      </c>
      <c r="C222" t="str">
        <f>IFERROR(__xludf.DUMMYFUNCTION("""COMPUTED_VALUE"""),"james.tomazinis@floridadep.gov")</f>
        <v>james.tomazinis@floridadep.gov</v>
      </c>
      <c r="D222" t="str">
        <f>IFERROR(__xludf.DUMMYFUNCTION("""COMPUTED_VALUE"""),"Stewardship (Aquatic)")</f>
        <v>Stewardship (Aquatic)</v>
      </c>
      <c r="E222" t="str">
        <f>IFERROR(__xludf.DUMMYFUNCTION("""COMPUTED_VALUE"""),"Vilano")</f>
        <v>Vilano</v>
      </c>
      <c r="F222" s="13">
        <f>IFERROR(__xludf.DUMMYFUNCTION("""COMPUTED_VALUE"""),0.375)</f>
        <v>0.375</v>
      </c>
      <c r="G222" s="14">
        <f>IFERROR(__xludf.DUMMYFUNCTION("""COMPUTED_VALUE"""),43474.0)</f>
        <v>43474</v>
      </c>
      <c r="H222" t="str">
        <f>IFERROR(__xludf.DUMMYFUNCTION("""COMPUTED_VALUE"""),"Tolomato River Nekton Sites")</f>
        <v>Tolomato River Nekton Sites</v>
      </c>
      <c r="I222" s="15">
        <f>IFERROR(__xludf.DUMMYFUNCTION("""COMPUTED_VALUE"""),0.6979166666678793)</f>
        <v>0.6979166667</v>
      </c>
      <c r="J222" s="16"/>
      <c r="K222" t="str">
        <f>IFERROR(__xludf.DUMMYFUNCTION("""COMPUTED_VALUE"""),"23ft Skiff (Bertha) FL7972LJ DEP07613")</f>
        <v>23ft Skiff (Bertha) FL7972LJ DEP07613</v>
      </c>
      <c r="M222" t="str">
        <f>IFERROR(__xludf.DUMMYFUNCTION("""COMPUTED_VALUE"""),"Ford F150 2015 (White) - DEP21448")</f>
        <v>Ford F150 2015 (White) - DEP21448</v>
      </c>
      <c r="N222" t="str">
        <f>IFERROR(__xludf.DUMMYFUNCTION("""COMPUTED_VALUE"""),"Jimmy Tomazinis, (904) 547-0094")</f>
        <v>Jimmy Tomazinis, (904) 547-0094</v>
      </c>
      <c r="O222" t="str">
        <f>IFERROR(__xludf.DUMMYFUNCTION("""COMPUTED_VALUE"""),"Doug Plishka, Jeff Finnan, Jim Cedarburg")</f>
        <v>Doug Plishka, Jeff Finnan, Jim Cedarburg</v>
      </c>
      <c r="P222" t="str">
        <f>IFERROR(__xludf.DUMMYFUNCTION("""COMPUTED_VALUE"""),"Jimmy")</f>
        <v>Jimmy</v>
      </c>
      <c r="Q222" t="str">
        <f>IFERROR(__xludf.DUMMYFUNCTION("""COMPUTED_VALUE"""),"Good")</f>
        <v>Good</v>
      </c>
      <c r="R222" t="str">
        <f>IFERROR(__xludf.DUMMYFUNCTION("""COMPUTED_VALUE"""),"Good")</f>
        <v>Good</v>
      </c>
      <c r="S222" t="str">
        <f>IFERROR(__xludf.DUMMYFUNCTION("""COMPUTED_VALUE"""),"Good")</f>
        <v>Good</v>
      </c>
      <c r="T222" t="str">
        <f>IFERROR(__xludf.DUMMYFUNCTION("""COMPUTED_VALUE"""),"Good")</f>
        <v>Good</v>
      </c>
      <c r="U222" t="str">
        <f>IFERROR(__xludf.DUMMYFUNCTION("""COMPUTED_VALUE"""),"Good")</f>
        <v>Good</v>
      </c>
      <c r="V222" t="str">
        <f>IFERROR(__xludf.DUMMYFUNCTION("""COMPUTED_VALUE"""),"Good")</f>
        <v>Good</v>
      </c>
      <c r="W222" t="str">
        <f>IFERROR(__xludf.DUMMYFUNCTION("""COMPUTED_VALUE"""),"Good")</f>
        <v>Good</v>
      </c>
      <c r="X222" t="str">
        <f>IFERROR(__xludf.DUMMYFUNCTION("""COMPUTED_VALUE"""),"Good")</f>
        <v>Good</v>
      </c>
      <c r="Y222" t="str">
        <f>IFERROR(__xludf.DUMMYFUNCTION("""COMPUTED_VALUE"""),"Good")</f>
        <v>Good</v>
      </c>
      <c r="Z222" t="str">
        <f>IFERROR(__xludf.DUMMYFUNCTION("""COMPUTED_VALUE"""),"Good")</f>
        <v>Good</v>
      </c>
      <c r="AA222" t="str">
        <f>IFERROR(__xludf.DUMMYFUNCTION("""COMPUTED_VALUE"""),"Good")</f>
        <v>Good</v>
      </c>
      <c r="AB222" t="str">
        <f>IFERROR(__xludf.DUMMYFUNCTION("""COMPUTED_VALUE"""),"Good")</f>
        <v>Good</v>
      </c>
      <c r="AC222" t="str">
        <f>IFERROR(__xludf.DUMMYFUNCTION("""COMPUTED_VALUE"""),"Good")</f>
        <v>Good</v>
      </c>
      <c r="AE222" s="11"/>
      <c r="AF222" t="s">
        <v>32</v>
      </c>
      <c r="AG222" s="17" t="s">
        <v>225</v>
      </c>
      <c r="AH222" s="12" t="s">
        <v>282</v>
      </c>
      <c r="AI222" s="12" t="s">
        <v>612</v>
      </c>
      <c r="AJ222" s="19" t="s">
        <v>613</v>
      </c>
      <c r="AK222" s="20" t="str">
        <f>HYPERLINK("https://docs.google.com/document/d/1UTMHhAq_kXygMb9yCTHtxEDXQXCiJxKdNDQMS38t11M/edit?usp=drivesdk","James Tomazinis - 1/9/2019 9:00 AM")</f>
        <v>James Tomazinis - 1/9/2019 9:00 AM</v>
      </c>
      <c r="AL222" s="12" t="s">
        <v>614</v>
      </c>
    </row>
    <row r="223">
      <c r="A223" s="10">
        <f>IFERROR(__xludf.DUMMYFUNCTION("""COMPUTED_VALUE"""),43475.36164498843)</f>
        <v>43475.36164</v>
      </c>
      <c r="B223" s="11" t="str">
        <f>IFERROR(__xludf.DUMMYFUNCTION("""COMPUTED_VALUE"""),"Silas Tanner")</f>
        <v>Silas Tanner</v>
      </c>
      <c r="C223" t="str">
        <f>IFERROR(__xludf.DUMMYFUNCTION("""COMPUTED_VALUE"""),"silas.tanner@floridadep.gov")</f>
        <v>silas.tanner@floridadep.gov</v>
      </c>
      <c r="D223" t="str">
        <f>IFERROR(__xludf.DUMMYFUNCTION("""COMPUTED_VALUE"""),"Research/Nikki")</f>
        <v>Research/Nikki</v>
      </c>
      <c r="E223" t="str">
        <f>IFERROR(__xludf.DUMMYFUNCTION("""COMPUTED_VALUE"""),"Bings")</f>
        <v>Bings</v>
      </c>
      <c r="F223" s="13">
        <f>IFERROR(__xludf.DUMMYFUNCTION("""COMPUTED_VALUE"""),0.3645833333321207)</f>
        <v>0.3645833333</v>
      </c>
      <c r="G223" s="14">
        <f>IFERROR(__xludf.DUMMYFUNCTION("""COMPUTED_VALUE"""),43475.0)</f>
        <v>43475</v>
      </c>
      <c r="H223" t="str">
        <f>IFERROR(__xludf.DUMMYFUNCTION("""COMPUTED_VALUE"""),"ICW Bings Kimbo sites")</f>
        <v>ICW Bings Kimbo sites</v>
      </c>
      <c r="I223" s="15">
        <f>IFERROR(__xludf.DUMMYFUNCTION("""COMPUTED_VALUE"""),0.5416666666678793)</f>
        <v>0.5416666667</v>
      </c>
      <c r="J223" s="16">
        <f>IFERROR(__xludf.DUMMYFUNCTION("""COMPUTED_VALUE"""),43475.66666666667)</f>
        <v>43475.66667</v>
      </c>
      <c r="K223" t="str">
        <f>IFERROR(__xludf.DUMMYFUNCTION("""COMPUTED_VALUE"""),"20ft Sea Ark FL5351SJ UNF 2015")</f>
        <v>20ft Sea Ark FL5351SJ UNF 2015</v>
      </c>
      <c r="M223" t="str">
        <f>IFERROR(__xludf.DUMMYFUNCTION("""COMPUTED_VALUE"""),"Ford F150 2008 - DEP18041 (SWMP Thing)")</f>
        <v>Ford F150 2008 - DEP18041 (SWMP Thing)</v>
      </c>
      <c r="N223" t="str">
        <f>IFERROR(__xludf.DUMMYFUNCTION("""COMPUTED_VALUE"""),"Pam Marcum, (480) 332-5414, Silas Tanner, (904) 483-8423")</f>
        <v>Pam Marcum, (480) 332-5414, Silas Tanner, (904) 483-8423</v>
      </c>
      <c r="O223" t="str">
        <f>IFERROR(__xludf.DUMMYFUNCTION("""COMPUTED_VALUE"""),"Kimbro group")</f>
        <v>Kimbro group</v>
      </c>
      <c r="P223" t="str">
        <f>IFERROR(__xludf.DUMMYFUNCTION("""COMPUTED_VALUE"""),"Tanner")</f>
        <v>Tanner</v>
      </c>
      <c r="Q223" t="str">
        <f>IFERROR(__xludf.DUMMYFUNCTION("""COMPUTED_VALUE"""),"Good")</f>
        <v>Good</v>
      </c>
      <c r="R223" t="str">
        <f>IFERROR(__xludf.DUMMYFUNCTION("""COMPUTED_VALUE"""),"Good")</f>
        <v>Good</v>
      </c>
      <c r="S223" t="str">
        <f>IFERROR(__xludf.DUMMYFUNCTION("""COMPUTED_VALUE"""),"Good")</f>
        <v>Good</v>
      </c>
      <c r="T223" t="str">
        <f>IFERROR(__xludf.DUMMYFUNCTION("""COMPUTED_VALUE"""),"Good")</f>
        <v>Good</v>
      </c>
      <c r="U223" t="str">
        <f>IFERROR(__xludf.DUMMYFUNCTION("""COMPUTED_VALUE"""),"Good")</f>
        <v>Good</v>
      </c>
      <c r="V223" t="str">
        <f>IFERROR(__xludf.DUMMYFUNCTION("""COMPUTED_VALUE"""),"Good")</f>
        <v>Good</v>
      </c>
      <c r="W223" t="str">
        <f>IFERROR(__xludf.DUMMYFUNCTION("""COMPUTED_VALUE"""),"Good")</f>
        <v>Good</v>
      </c>
      <c r="X223" t="str">
        <f>IFERROR(__xludf.DUMMYFUNCTION("""COMPUTED_VALUE"""),"Good")</f>
        <v>Good</v>
      </c>
      <c r="Y223" t="str">
        <f>IFERROR(__xludf.DUMMYFUNCTION("""COMPUTED_VALUE"""),"Good")</f>
        <v>Good</v>
      </c>
      <c r="Z223" t="str">
        <f>IFERROR(__xludf.DUMMYFUNCTION("""COMPUTED_VALUE"""),"Good")</f>
        <v>Good</v>
      </c>
      <c r="AA223" t="str">
        <f>IFERROR(__xludf.DUMMYFUNCTION("""COMPUTED_VALUE"""),"Good")</f>
        <v>Good</v>
      </c>
      <c r="AB223" t="str">
        <f>IFERROR(__xludf.DUMMYFUNCTION("""COMPUTED_VALUE"""),"Good")</f>
        <v>Good</v>
      </c>
      <c r="AC223" t="str">
        <f>IFERROR(__xludf.DUMMYFUNCTION("""COMPUTED_VALUE"""),"Good")</f>
        <v>Good</v>
      </c>
      <c r="AE223" s="11"/>
      <c r="AF223" t="s">
        <v>218</v>
      </c>
      <c r="AG223" s="17" t="s">
        <v>18</v>
      </c>
      <c r="AH223" s="12">
        <v>1105.0</v>
      </c>
      <c r="AI223" s="12" t="s">
        <v>615</v>
      </c>
      <c r="AJ223" s="19" t="s">
        <v>616</v>
      </c>
      <c r="AK223" s="20" t="str">
        <f>HYPERLINK("https://docs.google.com/document/d/1SXZqdzN-q45bqHiSwks60gp_1yChmg6o0A3CtR_bRFY/edit?usp=drivesdk","Silas Tanner - 1/10/2019 8:45 AM")</f>
        <v>Silas Tanner - 1/10/2019 8:45 AM</v>
      </c>
      <c r="AL223" s="12" t="s">
        <v>617</v>
      </c>
    </row>
    <row r="224">
      <c r="A224" s="10">
        <f>IFERROR(__xludf.DUMMYFUNCTION("""COMPUTED_VALUE"""),43475.36341305555)</f>
        <v>43475.36341</v>
      </c>
      <c r="B224" s="11" t="str">
        <f>IFERROR(__xludf.DUMMYFUNCTION("""COMPUTED_VALUE"""),"Ben Mowbray")</f>
        <v>Ben Mowbray</v>
      </c>
      <c r="C224" t="str">
        <f>IFERROR(__xludf.DUMMYFUNCTION("""COMPUTED_VALUE"""),"ben.mowbray@dep.state.fl.us")</f>
        <v>ben.mowbray@dep.state.fl.us</v>
      </c>
      <c r="D224" t="str">
        <f>IFERROR(__xludf.DUMMYFUNCTION("""COMPUTED_VALUE"""),"Research/Nikki")</f>
        <v>Research/Nikki</v>
      </c>
      <c r="E224" t="str">
        <f>IFERROR(__xludf.DUMMYFUNCTION("""COMPUTED_VALUE"""),"Aunt Kate's")</f>
        <v>Aunt Kate's</v>
      </c>
      <c r="F224" s="13">
        <f>IFERROR(__xludf.DUMMYFUNCTION("""COMPUTED_VALUE"""),0.3958333333321207)</f>
        <v>0.3958333333</v>
      </c>
      <c r="G224" s="14">
        <f>IFERROR(__xludf.DUMMYFUNCTION("""COMPUTED_VALUE"""),43475.0)</f>
        <v>43475</v>
      </c>
      <c r="H224" t="str">
        <f>IFERROR(__xludf.DUMMYFUNCTION("""COMPUTED_VALUE"""),"Guana Peninsula")</f>
        <v>Guana Peninsula</v>
      </c>
      <c r="I224" s="15">
        <f>IFERROR(__xludf.DUMMYFUNCTION("""COMPUTED_VALUE"""),0.6666666666678793)</f>
        <v>0.6666666667</v>
      </c>
      <c r="J224" s="16">
        <f>IFERROR(__xludf.DUMMYFUNCTION("""COMPUTED_VALUE"""),43475.694444444445)</f>
        <v>43475.69444</v>
      </c>
      <c r="K224" t="str">
        <f>IFERROR(__xludf.DUMMYFUNCTION("""COMPUTED_VALUE"""),"F 20ft Sea Ark (Easy 200) FL8534PY DEP21451")</f>
        <v>F 20ft Sea Ark (Easy 200) FL8534PY DEP21451</v>
      </c>
      <c r="M224" t="str">
        <f>IFERROR(__xludf.DUMMYFUNCTION("""COMPUTED_VALUE"""),"Ford F250 2017 (Moby Dix) - DEP0021578")</f>
        <v>Ford F250 2017 (Moby Dix) - DEP0021578</v>
      </c>
      <c r="N224" t="str">
        <f>IFERROR(__xludf.DUMMYFUNCTION("""COMPUTED_VALUE"""),"Ben Mowbray, (407) 962-8782")</f>
        <v>Ben Mowbray, (407) 962-8782</v>
      </c>
      <c r="O224" t="str">
        <f>IFERROR(__xludf.DUMMYFUNCTION("""COMPUTED_VALUE"""),"Mike Dickson")</f>
        <v>Mike Dickson</v>
      </c>
      <c r="P224" t="str">
        <f>IFERROR(__xludf.DUMMYFUNCTION("""COMPUTED_VALUE"""),"Ben")</f>
        <v>Ben</v>
      </c>
      <c r="Q224" t="str">
        <f>IFERROR(__xludf.DUMMYFUNCTION("""COMPUTED_VALUE"""),"Good")</f>
        <v>Good</v>
      </c>
      <c r="R224" t="str">
        <f>IFERROR(__xludf.DUMMYFUNCTION("""COMPUTED_VALUE"""),"Good")</f>
        <v>Good</v>
      </c>
      <c r="S224" t="str">
        <f>IFERROR(__xludf.DUMMYFUNCTION("""COMPUTED_VALUE"""),"Good")</f>
        <v>Good</v>
      </c>
      <c r="T224" t="str">
        <f>IFERROR(__xludf.DUMMYFUNCTION("""COMPUTED_VALUE"""),"Good")</f>
        <v>Good</v>
      </c>
      <c r="U224" t="str">
        <f>IFERROR(__xludf.DUMMYFUNCTION("""COMPUTED_VALUE"""),"Good")</f>
        <v>Good</v>
      </c>
      <c r="V224" t="str">
        <f>IFERROR(__xludf.DUMMYFUNCTION("""COMPUTED_VALUE"""),"Good")</f>
        <v>Good</v>
      </c>
      <c r="W224" t="str">
        <f>IFERROR(__xludf.DUMMYFUNCTION("""COMPUTED_VALUE"""),"Good")</f>
        <v>Good</v>
      </c>
      <c r="X224" t="str">
        <f>IFERROR(__xludf.DUMMYFUNCTION("""COMPUTED_VALUE"""),"Good")</f>
        <v>Good</v>
      </c>
      <c r="Y224" t="str">
        <f>IFERROR(__xludf.DUMMYFUNCTION("""COMPUTED_VALUE"""),"Good")</f>
        <v>Good</v>
      </c>
      <c r="Z224" t="str">
        <f>IFERROR(__xludf.DUMMYFUNCTION("""COMPUTED_VALUE"""),"Good")</f>
        <v>Good</v>
      </c>
      <c r="AA224" t="str">
        <f>IFERROR(__xludf.DUMMYFUNCTION("""COMPUTED_VALUE"""),"Good")</f>
        <v>Good</v>
      </c>
      <c r="AB224" t="str">
        <f>IFERROR(__xludf.DUMMYFUNCTION("""COMPUTED_VALUE"""),"Good")</f>
        <v>Good</v>
      </c>
      <c r="AC224" t="str">
        <f>IFERROR(__xludf.DUMMYFUNCTION("""COMPUTED_VALUE"""),"Good")</f>
        <v>Good</v>
      </c>
      <c r="AE224" s="11"/>
      <c r="AF224" t="s">
        <v>218</v>
      </c>
      <c r="AG224" s="17" t="s">
        <v>18</v>
      </c>
      <c r="AH224" s="12">
        <v>1000.0</v>
      </c>
      <c r="AI224" s="12" t="s">
        <v>618</v>
      </c>
      <c r="AJ224" s="19" t="s">
        <v>619</v>
      </c>
      <c r="AK224" s="20" t="str">
        <f>HYPERLINK("https://docs.google.com/document/d/1gVI_jfcOWjzZEQMF4gbfgFQynt0Z5DO6MONlYJj8nUU/edit?usp=drivesdk","Ben Mowbray - 1/10/2019 9:30 AM")</f>
        <v>Ben Mowbray - 1/10/2019 9:30 AM</v>
      </c>
      <c r="AL224" s="12" t="s">
        <v>620</v>
      </c>
    </row>
    <row r="225">
      <c r="A225" s="10">
        <f>IFERROR(__xludf.DUMMYFUNCTION("""COMPUTED_VALUE"""),43476.586862372686)</f>
        <v>43476.58686</v>
      </c>
      <c r="B225" s="11" t="str">
        <f>IFERROR(__xludf.DUMMYFUNCTION("""COMPUTED_VALUE"""),"james tomazinis")</f>
        <v>james tomazinis</v>
      </c>
      <c r="C225" t="str">
        <f>IFERROR(__xludf.DUMMYFUNCTION("""COMPUTED_VALUE"""),"james.tomazinis@floridadep.gov")</f>
        <v>james.tomazinis@floridadep.gov</v>
      </c>
      <c r="D225" t="str">
        <f>IFERROR(__xludf.DUMMYFUNCTION("""COMPUTED_VALUE"""),"Stewardship (Aquatic)")</f>
        <v>Stewardship (Aquatic)</v>
      </c>
      <c r="E225" t="str">
        <f>IFERROR(__xludf.DUMMYFUNCTION("""COMPUTED_VALUE"""),"Guana Dam")</f>
        <v>Guana Dam</v>
      </c>
      <c r="F225" s="13">
        <f>IFERROR(__xludf.DUMMYFUNCTION("""COMPUTED_VALUE"""),0.6041666666678793)</f>
        <v>0.6041666667</v>
      </c>
      <c r="G225" s="14">
        <f>IFERROR(__xludf.DUMMYFUNCTION("""COMPUTED_VALUE"""),43476.0)</f>
        <v>43476</v>
      </c>
      <c r="H225" t="str">
        <f>IFERROR(__xludf.DUMMYFUNCTION("""COMPUTED_VALUE"""),"Guana River")</f>
        <v>Guana River</v>
      </c>
      <c r="I225" s="15">
        <f>IFERROR(__xludf.DUMMYFUNCTION("""COMPUTED_VALUE"""),0.6458333333321207)</f>
        <v>0.6458333333</v>
      </c>
      <c r="J225" s="16"/>
      <c r="K225" t="str">
        <f>IFERROR(__xludf.DUMMYFUNCTION("""COMPUTED_VALUE"""),"Kayak(s)")</f>
        <v>Kayak(s)</v>
      </c>
      <c r="L225">
        <f>IFERROR(__xludf.DUMMYFUNCTION("""COMPUTED_VALUE"""),1.0)</f>
        <v>1</v>
      </c>
      <c r="M225" t="str">
        <f>IFERROR(__xludf.DUMMYFUNCTION("""COMPUTED_VALUE"""),"Ford F150 2015 (White) - DEP21448")</f>
        <v>Ford F150 2015 (White) - DEP21448</v>
      </c>
      <c r="N225" t="str">
        <f>IFERROR(__xludf.DUMMYFUNCTION("""COMPUTED_VALUE"""),"Jimmy Tomazinis, (904) 547-0094")</f>
        <v>Jimmy Tomazinis, (904) 547-0094</v>
      </c>
      <c r="P225" t="str">
        <f>IFERROR(__xludf.DUMMYFUNCTION("""COMPUTED_VALUE"""),"jimmy")</f>
        <v>jimmy</v>
      </c>
      <c r="Q225" t="str">
        <f>IFERROR(__xludf.DUMMYFUNCTION("""COMPUTED_VALUE"""),"Good")</f>
        <v>Good</v>
      </c>
      <c r="R225" t="str">
        <f>IFERROR(__xludf.DUMMYFUNCTION("""COMPUTED_VALUE"""),"Good")</f>
        <v>Good</v>
      </c>
      <c r="S225" t="str">
        <f>IFERROR(__xludf.DUMMYFUNCTION("""COMPUTED_VALUE"""),"Good")</f>
        <v>Good</v>
      </c>
      <c r="T225" t="str">
        <f>IFERROR(__xludf.DUMMYFUNCTION("""COMPUTED_VALUE"""),"Good")</f>
        <v>Good</v>
      </c>
      <c r="U225" t="str">
        <f>IFERROR(__xludf.DUMMYFUNCTION("""COMPUTED_VALUE"""),"Good")</f>
        <v>Good</v>
      </c>
      <c r="V225" t="str">
        <f>IFERROR(__xludf.DUMMYFUNCTION("""COMPUTED_VALUE"""),"Good")</f>
        <v>Good</v>
      </c>
      <c r="W225" t="str">
        <f>IFERROR(__xludf.DUMMYFUNCTION("""COMPUTED_VALUE"""),"Good")</f>
        <v>Good</v>
      </c>
      <c r="X225" t="str">
        <f>IFERROR(__xludf.DUMMYFUNCTION("""COMPUTED_VALUE"""),"Good")</f>
        <v>Good</v>
      </c>
      <c r="Y225" t="str">
        <f>IFERROR(__xludf.DUMMYFUNCTION("""COMPUTED_VALUE"""),"Good")</f>
        <v>Good</v>
      </c>
      <c r="Z225" t="str">
        <f>IFERROR(__xludf.DUMMYFUNCTION("""COMPUTED_VALUE"""),"Good")</f>
        <v>Good</v>
      </c>
      <c r="AA225" t="str">
        <f>IFERROR(__xludf.DUMMYFUNCTION("""COMPUTED_VALUE"""),"Good")</f>
        <v>Good</v>
      </c>
      <c r="AB225" t="str">
        <f>IFERROR(__xludf.DUMMYFUNCTION("""COMPUTED_VALUE"""),"Good")</f>
        <v>Good</v>
      </c>
      <c r="AC225" t="str">
        <f>IFERROR(__xludf.DUMMYFUNCTION("""COMPUTED_VALUE"""),"Good")</f>
        <v>Good</v>
      </c>
      <c r="AE225" s="11"/>
      <c r="AF225" t="s">
        <v>32</v>
      </c>
      <c r="AG225" s="17" t="s">
        <v>128</v>
      </c>
      <c r="AH225" s="12">
        <v>1430.0</v>
      </c>
      <c r="AI225" s="12" t="s">
        <v>621</v>
      </c>
      <c r="AJ225" s="19" t="s">
        <v>622</v>
      </c>
      <c r="AK225" s="20" t="str">
        <f>HYPERLINK("https://docs.google.com/document/d/1IaxkgNOqPzkSPHLaQxOsCa-xiQoIeRtfPOqC3I0c1oI/edit?usp=drivesdk","james tomazinis - 1/11/2019 2:30 PM")</f>
        <v>james tomazinis - 1/11/2019 2:30 PM</v>
      </c>
      <c r="AL225" s="12" t="s">
        <v>623</v>
      </c>
    </row>
    <row r="226">
      <c r="A226" s="10">
        <f>IFERROR(__xludf.DUMMYFUNCTION("""COMPUTED_VALUE"""),43476.66709524305)</f>
        <v>43476.6671</v>
      </c>
      <c r="B226" s="11" t="str">
        <f>IFERROR(__xludf.DUMMYFUNCTION("""COMPUTED_VALUE"""),"Ben Mowbray")</f>
        <v>Ben Mowbray</v>
      </c>
      <c r="C226" t="str">
        <f>IFERROR(__xludf.DUMMYFUNCTION("""COMPUTED_VALUE"""),"ben.mowbray@dep.state.fl.us")</f>
        <v>ben.mowbray@dep.state.fl.us</v>
      </c>
      <c r="D226" t="str">
        <f>IFERROR(__xludf.DUMMYFUNCTION("""COMPUTED_VALUE"""),"Research/Shannon")</f>
        <v>Research/Shannon</v>
      </c>
      <c r="E226" t="str">
        <f>IFERROR(__xludf.DUMMYFUNCTION("""COMPUTED_VALUE"""),"Douglas Crane")</f>
        <v>Douglas Crane</v>
      </c>
      <c r="F226" s="13">
        <f>IFERROR(__xludf.DUMMYFUNCTION("""COMPUTED_VALUE"""),0.4444444444452529)</f>
        <v>0.4444444444</v>
      </c>
      <c r="G226" s="14">
        <f>IFERROR(__xludf.DUMMYFUNCTION("""COMPUTED_VALUE"""),43476.0)</f>
        <v>43476</v>
      </c>
      <c r="H226" t="str">
        <f>IFERROR(__xludf.DUMMYFUNCTION("""COMPUTED_VALUE"""),"Chapman Middle Site")</f>
        <v>Chapman Middle Site</v>
      </c>
      <c r="I226" s="15">
        <f>IFERROR(__xludf.DUMMYFUNCTION("""COMPUTED_VALUE"""),0.625)</f>
        <v>0.625</v>
      </c>
      <c r="J226" s="16">
        <f>IFERROR(__xludf.DUMMYFUNCTION("""COMPUTED_VALUE"""),43476.66666666667)</f>
        <v>43476.66667</v>
      </c>
      <c r="K226" t="str">
        <f>IFERROR(__xludf.DUMMYFUNCTION("""COMPUTED_VALUE"""),"20ft Sea Ark FL5351SJ UNF 2015")</f>
        <v>20ft Sea Ark FL5351SJ UNF 2015</v>
      </c>
      <c r="M226" t="str">
        <f>IFERROR(__xludf.DUMMYFUNCTION("""COMPUTED_VALUE"""),"Ford F250 2017 (Moby Dix) - DEP0021578")</f>
        <v>Ford F250 2017 (Moby Dix) - DEP0021578</v>
      </c>
      <c r="N226" t="str">
        <f>IFERROR(__xludf.DUMMYFUNCTION("""COMPUTED_VALUE"""),"Ben Mowbray, (407) 962-8782, Gabriela Canas, (904) 891-9743")</f>
        <v>Ben Mowbray, (407) 962-8782, Gabriela Canas, (904) 891-9743</v>
      </c>
      <c r="O226" t="str">
        <f>IFERROR(__xludf.DUMMYFUNCTION("""COMPUTED_VALUE"""),"Matt Sturchio, Allee, Alicia Bishop")</f>
        <v>Matt Sturchio, Allee, Alicia Bishop</v>
      </c>
      <c r="P226" t="str">
        <f>IFERROR(__xludf.DUMMYFUNCTION("""COMPUTED_VALUE"""),"Ben")</f>
        <v>Ben</v>
      </c>
      <c r="Q226" t="str">
        <f>IFERROR(__xludf.DUMMYFUNCTION("""COMPUTED_VALUE"""),"Good")</f>
        <v>Good</v>
      </c>
      <c r="R226" t="str">
        <f>IFERROR(__xludf.DUMMYFUNCTION("""COMPUTED_VALUE"""),"Good")</f>
        <v>Good</v>
      </c>
      <c r="S226" t="str">
        <f>IFERROR(__xludf.DUMMYFUNCTION("""COMPUTED_VALUE"""),"Good")</f>
        <v>Good</v>
      </c>
      <c r="T226" t="str">
        <f>IFERROR(__xludf.DUMMYFUNCTION("""COMPUTED_VALUE"""),"Good")</f>
        <v>Good</v>
      </c>
      <c r="U226" t="str">
        <f>IFERROR(__xludf.DUMMYFUNCTION("""COMPUTED_VALUE"""),"Good")</f>
        <v>Good</v>
      </c>
      <c r="V226" t="str">
        <f>IFERROR(__xludf.DUMMYFUNCTION("""COMPUTED_VALUE"""),"Good")</f>
        <v>Good</v>
      </c>
      <c r="W226" t="str">
        <f>IFERROR(__xludf.DUMMYFUNCTION("""COMPUTED_VALUE"""),"Good")</f>
        <v>Good</v>
      </c>
      <c r="X226" t="str">
        <f>IFERROR(__xludf.DUMMYFUNCTION("""COMPUTED_VALUE"""),"Good")</f>
        <v>Good</v>
      </c>
      <c r="Y226" t="str">
        <f>IFERROR(__xludf.DUMMYFUNCTION("""COMPUTED_VALUE"""),"Good")</f>
        <v>Good</v>
      </c>
      <c r="Z226" t="str">
        <f>IFERROR(__xludf.DUMMYFUNCTION("""COMPUTED_VALUE"""),"Good")</f>
        <v>Good</v>
      </c>
      <c r="AA226" t="str">
        <f>IFERROR(__xludf.DUMMYFUNCTION("""COMPUTED_VALUE"""),"Good")</f>
        <v>Good</v>
      </c>
      <c r="AB226" t="str">
        <f>IFERROR(__xludf.DUMMYFUNCTION("""COMPUTED_VALUE"""),"Good")</f>
        <v>Good</v>
      </c>
      <c r="AC226" t="str">
        <f>IFERROR(__xludf.DUMMYFUNCTION("""COMPUTED_VALUE"""),"Good")</f>
        <v>Good</v>
      </c>
      <c r="AE226" s="11"/>
      <c r="AF226" t="s">
        <v>269</v>
      </c>
      <c r="AG226" s="17" t="s">
        <v>624</v>
      </c>
      <c r="AH226" s="12">
        <v>1430.0</v>
      </c>
      <c r="AI226" s="12" t="s">
        <v>625</v>
      </c>
      <c r="AJ226" s="19" t="s">
        <v>626</v>
      </c>
      <c r="AK226" s="20" t="str">
        <f>HYPERLINK("https://docs.google.com/document/d/17RQ4Ys5vhUgH_js1ld3jCjcGkUV1G8rZmkNP458_zYM/edit?usp=drivesdk","Ben Mowbray - 1/11/2019 10:40 AM")</f>
        <v>Ben Mowbray - 1/11/2019 10:40 AM</v>
      </c>
      <c r="AL226" s="12" t="s">
        <v>627</v>
      </c>
    </row>
    <row r="227">
      <c r="A227" s="10">
        <f>IFERROR(__xludf.DUMMYFUNCTION("""COMPUTED_VALUE"""),43479.28802346065)</f>
        <v>43479.28802</v>
      </c>
      <c r="B227" s="11" t="str">
        <f>IFERROR(__xludf.DUMMYFUNCTION("""COMPUTED_VALUE"""),"Pamela Marcum")</f>
        <v>Pamela Marcum</v>
      </c>
      <c r="C227" t="str">
        <f>IFERROR(__xludf.DUMMYFUNCTION("""COMPUTED_VALUE"""),"Pamela.Marcum@dep.state.fl.us")</f>
        <v>Pamela.Marcum@dep.state.fl.us</v>
      </c>
      <c r="D227" t="str">
        <f>IFERROR(__xludf.DUMMYFUNCTION("""COMPUTED_VALUE"""),"Research/Nikki")</f>
        <v>Research/Nikki</v>
      </c>
      <c r="E227" t="str">
        <f>IFERROR(__xludf.DUMMYFUNCTION("""COMPUTED_VALUE"""),"Green Rd")</f>
        <v>Green Rd</v>
      </c>
      <c r="F227" s="13">
        <f>IFERROR(__xludf.DUMMYFUNCTION("""COMPUTED_VALUE"""),0.3229166666678793)</f>
        <v>0.3229166667</v>
      </c>
      <c r="G227" s="14">
        <f>IFERROR(__xludf.DUMMYFUNCTION("""COMPUTED_VALUE"""),43479.0)</f>
        <v>43479</v>
      </c>
      <c r="H227" t="str">
        <f>IFERROR(__xludf.DUMMYFUNCTION("""COMPUTED_VALUE"""),"Devils Elbow")</f>
        <v>Devils Elbow</v>
      </c>
      <c r="I227" s="15">
        <f>IFERROR(__xludf.DUMMYFUNCTION("""COMPUTED_VALUE"""),0.5)</f>
        <v>0.5</v>
      </c>
      <c r="J227" s="16">
        <f>IFERROR(__xludf.DUMMYFUNCTION("""COMPUTED_VALUE"""),43479.54166666667)</f>
        <v>43479.54167</v>
      </c>
      <c r="K227" t="str">
        <f>IFERROR(__xludf.DUMMYFUNCTION("""COMPUTED_VALUE"""),"20ft Sea Ark FL5351SJ UNF 2015")</f>
        <v>20ft Sea Ark FL5351SJ UNF 2015</v>
      </c>
      <c r="M227" t="str">
        <f>IFERROR(__xludf.DUMMYFUNCTION("""COMPUTED_VALUE"""),"Ford F150 2008 - DEP18041 (SWMP Thing)")</f>
        <v>Ford F150 2008 - DEP18041 (SWMP Thing)</v>
      </c>
      <c r="N227" t="str">
        <f>IFERROR(__xludf.DUMMYFUNCTION("""COMPUTED_VALUE"""),"Pam Marcum, (480) 332-5414, Silas Tanner, (904) 483-8423")</f>
        <v>Pam Marcum, (480) 332-5414, Silas Tanner, (904) 483-8423</v>
      </c>
      <c r="O227" t="str">
        <f>IFERROR(__xludf.DUMMYFUNCTION("""COMPUTED_VALUE"""),"Jeff Finnan")</f>
        <v>Jeff Finnan</v>
      </c>
      <c r="P227" t="str">
        <f>IFERROR(__xludf.DUMMYFUNCTION("""COMPUTED_VALUE"""),"Pam")</f>
        <v>Pam</v>
      </c>
      <c r="Q227" t="str">
        <f>IFERROR(__xludf.DUMMYFUNCTION("""COMPUTED_VALUE"""),"Good")</f>
        <v>Good</v>
      </c>
      <c r="R227" t="str">
        <f>IFERROR(__xludf.DUMMYFUNCTION("""COMPUTED_VALUE"""),"Good")</f>
        <v>Good</v>
      </c>
      <c r="S227" t="str">
        <f>IFERROR(__xludf.DUMMYFUNCTION("""COMPUTED_VALUE"""),"Good")</f>
        <v>Good</v>
      </c>
      <c r="T227" t="str">
        <f>IFERROR(__xludf.DUMMYFUNCTION("""COMPUTED_VALUE"""),"Good")</f>
        <v>Good</v>
      </c>
      <c r="U227" t="str">
        <f>IFERROR(__xludf.DUMMYFUNCTION("""COMPUTED_VALUE"""),"Good")</f>
        <v>Good</v>
      </c>
      <c r="V227" t="str">
        <f>IFERROR(__xludf.DUMMYFUNCTION("""COMPUTED_VALUE"""),"Good")</f>
        <v>Good</v>
      </c>
      <c r="W227" t="str">
        <f>IFERROR(__xludf.DUMMYFUNCTION("""COMPUTED_VALUE"""),"Good")</f>
        <v>Good</v>
      </c>
      <c r="X227" t="str">
        <f>IFERROR(__xludf.DUMMYFUNCTION("""COMPUTED_VALUE"""),"Good")</f>
        <v>Good</v>
      </c>
      <c r="Y227" t="str">
        <f>IFERROR(__xludf.DUMMYFUNCTION("""COMPUTED_VALUE"""),"Good")</f>
        <v>Good</v>
      </c>
      <c r="Z227" t="str">
        <f>IFERROR(__xludf.DUMMYFUNCTION("""COMPUTED_VALUE"""),"Good")</f>
        <v>Good</v>
      </c>
      <c r="AA227" t="str">
        <f>IFERROR(__xludf.DUMMYFUNCTION("""COMPUTED_VALUE"""),"Good")</f>
        <v>Good</v>
      </c>
      <c r="AB227" t="str">
        <f>IFERROR(__xludf.DUMMYFUNCTION("""COMPUTED_VALUE"""),"Good")</f>
        <v>Good</v>
      </c>
      <c r="AC227" t="str">
        <f>IFERROR(__xludf.DUMMYFUNCTION("""COMPUTED_VALUE"""),"Good")</f>
        <v>Good</v>
      </c>
      <c r="AE227" s="11"/>
      <c r="AF227" t="s">
        <v>218</v>
      </c>
      <c r="AG227" s="17" t="s">
        <v>18</v>
      </c>
      <c r="AH227" s="12">
        <v>1105.0</v>
      </c>
      <c r="AI227" s="12" t="s">
        <v>628</v>
      </c>
      <c r="AJ227" s="19" t="s">
        <v>629</v>
      </c>
      <c r="AK227" s="20" t="str">
        <f>HYPERLINK("https://docs.google.com/document/d/1sp3x5m3NjyONG81qm62pZZCQIhwJORfCMNu2kAoMkJc/edit?usp=drivesdk","Pamela Marcum - 1/14/2019 7:45 AM")</f>
        <v>Pamela Marcum - 1/14/2019 7:45 AM</v>
      </c>
      <c r="AL227" s="12" t="s">
        <v>630</v>
      </c>
    </row>
    <row r="228">
      <c r="A228" s="10">
        <f>IFERROR(__xludf.DUMMYFUNCTION("""COMPUTED_VALUE"""),43480.36710870371)</f>
        <v>43480.36711</v>
      </c>
      <c r="B228" s="11" t="str">
        <f>IFERROR(__xludf.DUMMYFUNCTION("""COMPUTED_VALUE"""),"Pamela Marcum")</f>
        <v>Pamela Marcum</v>
      </c>
      <c r="C228" t="str">
        <f>IFERROR(__xludf.DUMMYFUNCTION("""COMPUTED_VALUE"""),"pamela.marcum@dep.state.fl.us")</f>
        <v>pamela.marcum@dep.state.fl.us</v>
      </c>
      <c r="D228" t="str">
        <f>IFERROR(__xludf.DUMMYFUNCTION("""COMPUTED_VALUE"""),"Research/Nikki")</f>
        <v>Research/Nikki</v>
      </c>
      <c r="E228" t="str">
        <f>IFERROR(__xludf.DUMMYFUNCTION("""COMPUTED_VALUE"""),"Aunt Kate")</f>
        <v>Aunt Kate</v>
      </c>
      <c r="F228" s="13">
        <f>IFERROR(__xludf.DUMMYFUNCTION("""COMPUTED_VALUE"""),0.3645833333321207)</f>
        <v>0.3645833333</v>
      </c>
      <c r="G228" s="14">
        <f>IFERROR(__xludf.DUMMYFUNCTION("""COMPUTED_VALUE"""),43480.0)</f>
        <v>43480</v>
      </c>
      <c r="H228" t="str">
        <f>IFERROR(__xludf.DUMMYFUNCTION("""COMPUTED_VALUE"""),"Tolomato")</f>
        <v>Tolomato</v>
      </c>
      <c r="I228" s="15">
        <f>IFERROR(__xludf.DUMMYFUNCTION("""COMPUTED_VALUE"""),0.5)</f>
        <v>0.5</v>
      </c>
      <c r="J228" s="16">
        <f>IFERROR(__xludf.DUMMYFUNCTION("""COMPUTED_VALUE"""),43480.02083333333)</f>
        <v>43480.02083</v>
      </c>
      <c r="K228" t="str">
        <f>IFERROR(__xludf.DUMMYFUNCTION("""COMPUTED_VALUE"""),"F 20ft Sea Ark (Easy 200) FL8534PY DEP21451")</f>
        <v>F 20ft Sea Ark (Easy 200) FL8534PY DEP21451</v>
      </c>
      <c r="M228" t="str">
        <f>IFERROR(__xludf.DUMMYFUNCTION("""COMPUTED_VALUE"""),"Ford F150 2015 (White) - DEP21448")</f>
        <v>Ford F150 2015 (White) - DEP21448</v>
      </c>
      <c r="N228" t="str">
        <f>IFERROR(__xludf.DUMMYFUNCTION("""COMPUTED_VALUE"""),"Pam Marcum, (480) 332-5414")</f>
        <v>Pam Marcum, (480) 332-5414</v>
      </c>
      <c r="O228" t="str">
        <f>IFERROR(__xludf.DUMMYFUNCTION("""COMPUTED_VALUE"""),"Jessica clark, lewis turner, Patrician, Brittany")</f>
        <v>Jessica clark, lewis turner, Patrician, Brittany</v>
      </c>
      <c r="P228" t="str">
        <f>IFERROR(__xludf.DUMMYFUNCTION("""COMPUTED_VALUE"""),"Pam")</f>
        <v>Pam</v>
      </c>
      <c r="Q228" t="str">
        <f>IFERROR(__xludf.DUMMYFUNCTION("""COMPUTED_VALUE"""),"Good")</f>
        <v>Good</v>
      </c>
      <c r="R228" t="str">
        <f>IFERROR(__xludf.DUMMYFUNCTION("""COMPUTED_VALUE"""),"Good")</f>
        <v>Good</v>
      </c>
      <c r="S228" t="str">
        <f>IFERROR(__xludf.DUMMYFUNCTION("""COMPUTED_VALUE"""),"Good")</f>
        <v>Good</v>
      </c>
      <c r="T228" t="str">
        <f>IFERROR(__xludf.DUMMYFUNCTION("""COMPUTED_VALUE"""),"Good")</f>
        <v>Good</v>
      </c>
      <c r="U228" t="str">
        <f>IFERROR(__xludf.DUMMYFUNCTION("""COMPUTED_VALUE"""),"Good")</f>
        <v>Good</v>
      </c>
      <c r="V228" t="str">
        <f>IFERROR(__xludf.DUMMYFUNCTION("""COMPUTED_VALUE"""),"Good")</f>
        <v>Good</v>
      </c>
      <c r="W228" t="str">
        <f>IFERROR(__xludf.DUMMYFUNCTION("""COMPUTED_VALUE"""),"Good")</f>
        <v>Good</v>
      </c>
      <c r="X228" t="str">
        <f>IFERROR(__xludf.DUMMYFUNCTION("""COMPUTED_VALUE"""),"Good")</f>
        <v>Good</v>
      </c>
      <c r="Y228" t="str">
        <f>IFERROR(__xludf.DUMMYFUNCTION("""COMPUTED_VALUE"""),"Good")</f>
        <v>Good</v>
      </c>
      <c r="Z228" t="str">
        <f>IFERROR(__xludf.DUMMYFUNCTION("""COMPUTED_VALUE"""),"Good")</f>
        <v>Good</v>
      </c>
      <c r="AA228" t="str">
        <f>IFERROR(__xludf.DUMMYFUNCTION("""COMPUTED_VALUE"""),"Good")</f>
        <v>Good</v>
      </c>
      <c r="AB228" t="str">
        <f>IFERROR(__xludf.DUMMYFUNCTION("""COMPUTED_VALUE"""),"Good")</f>
        <v>Good</v>
      </c>
      <c r="AC228" t="str">
        <f>IFERROR(__xludf.DUMMYFUNCTION("""COMPUTED_VALUE"""),"Good")</f>
        <v>Good</v>
      </c>
      <c r="AE228" s="11"/>
      <c r="AF228" t="s">
        <v>218</v>
      </c>
      <c r="AG228" s="17" t="s">
        <v>18</v>
      </c>
      <c r="AH228" s="12">
        <v>1150.0</v>
      </c>
      <c r="AI228" s="12" t="s">
        <v>631</v>
      </c>
      <c r="AJ228" s="19" t="s">
        <v>632</v>
      </c>
      <c r="AK228" s="20" t="str">
        <f>HYPERLINK("https://docs.google.com/document/d/1-LNoiYtth3TFidddGkp-DIB0m_Gtbagw1nKdq4vBdXE/edit?usp=drivesdk","Pamela Marcum - 1/15/2019 8:45 AM")</f>
        <v>Pamela Marcum - 1/15/2019 8:45 AM</v>
      </c>
      <c r="AL228" s="12" t="s">
        <v>633</v>
      </c>
    </row>
    <row r="229">
      <c r="A229" s="10">
        <f>IFERROR(__xludf.DUMMYFUNCTION("""COMPUTED_VALUE"""),43480.36710870371)</f>
        <v>43480.36711</v>
      </c>
      <c r="B229" s="11" t="str">
        <f>IFERROR(__xludf.DUMMYFUNCTION("""COMPUTED_VALUE"""),"Silas Tanner")</f>
        <v>Silas Tanner</v>
      </c>
      <c r="C229" t="str">
        <f>IFERROR(__xludf.DUMMYFUNCTION("""COMPUTED_VALUE"""),"silas.tanner@dep.state.fl.us")</f>
        <v>silas.tanner@dep.state.fl.us</v>
      </c>
      <c r="D229" t="str">
        <f>IFERROR(__xludf.DUMMYFUNCTION("""COMPUTED_VALUE"""),"Research/Nikki")</f>
        <v>Research/Nikki</v>
      </c>
      <c r="E229" t="str">
        <f>IFERROR(__xludf.DUMMYFUNCTION("""COMPUTED_VALUE"""),"Aunt Kate")</f>
        <v>Aunt Kate</v>
      </c>
      <c r="F229" s="13">
        <f>IFERROR(__xludf.DUMMYFUNCTION("""COMPUTED_VALUE"""),0.3645833333321207)</f>
        <v>0.3645833333</v>
      </c>
      <c r="G229" s="14">
        <f>IFERROR(__xludf.DUMMYFUNCTION("""COMPUTED_VALUE"""),43480.0)</f>
        <v>43480</v>
      </c>
      <c r="H229" t="str">
        <f>IFERROR(__xludf.DUMMYFUNCTION("""COMPUTED_VALUE"""),"Tolomato")</f>
        <v>Tolomato</v>
      </c>
      <c r="I229" s="15">
        <f>IFERROR(__xludf.DUMMYFUNCTION("""COMPUTED_VALUE"""),0.5)</f>
        <v>0.5</v>
      </c>
      <c r="J229" s="16">
        <f>IFERROR(__xludf.DUMMYFUNCTION("""COMPUTED_VALUE"""),43480.02083333333)</f>
        <v>43480.02083</v>
      </c>
      <c r="K229" t="str">
        <f>IFERROR(__xludf.DUMMYFUNCTION("""COMPUTED_VALUE"""),"23ft Skiff (Bertha) FL7972LJ DEP07613")</f>
        <v>23ft Skiff (Bertha) FL7972LJ DEP07613</v>
      </c>
      <c r="M229" t="str">
        <f>IFERROR(__xludf.DUMMYFUNCTION("""COMPUTED_VALUE"""),"Ford F250 2017 (Moby Dix) - DEP0021578")</f>
        <v>Ford F250 2017 (Moby Dix) - DEP0021578</v>
      </c>
      <c r="N229" t="str">
        <f>IFERROR(__xludf.DUMMYFUNCTION("""COMPUTED_VALUE"""),"Silas Tanner, (904) 483-8423, Remo Mondazi")</f>
        <v>Silas Tanner, (904) 483-8423, Remo Mondazi</v>
      </c>
      <c r="O229" t="str">
        <f>IFERROR(__xludf.DUMMYFUNCTION("""COMPUTED_VALUE"""),"Allee Knoll, Cathy, Mary, Aaron")</f>
        <v>Allee Knoll, Cathy, Mary, Aaron</v>
      </c>
      <c r="P229" t="str">
        <f>IFERROR(__xludf.DUMMYFUNCTION("""COMPUTED_VALUE"""),"Silas")</f>
        <v>Silas</v>
      </c>
      <c r="Q229" t="str">
        <f>IFERROR(__xludf.DUMMYFUNCTION("""COMPUTED_VALUE"""),"Good")</f>
        <v>Good</v>
      </c>
      <c r="R229" t="str">
        <f>IFERROR(__xludf.DUMMYFUNCTION("""COMPUTED_VALUE"""),"Good")</f>
        <v>Good</v>
      </c>
      <c r="S229" t="str">
        <f>IFERROR(__xludf.DUMMYFUNCTION("""COMPUTED_VALUE"""),"Good")</f>
        <v>Good</v>
      </c>
      <c r="T229" t="str">
        <f>IFERROR(__xludf.DUMMYFUNCTION("""COMPUTED_VALUE"""),"Good")</f>
        <v>Good</v>
      </c>
      <c r="U229" t="str">
        <f>IFERROR(__xludf.DUMMYFUNCTION("""COMPUTED_VALUE"""),"Good")</f>
        <v>Good</v>
      </c>
      <c r="V229" t="str">
        <f>IFERROR(__xludf.DUMMYFUNCTION("""COMPUTED_VALUE"""),"Good")</f>
        <v>Good</v>
      </c>
      <c r="W229" t="str">
        <f>IFERROR(__xludf.DUMMYFUNCTION("""COMPUTED_VALUE"""),"Good")</f>
        <v>Good</v>
      </c>
      <c r="X229" t="str">
        <f>IFERROR(__xludf.DUMMYFUNCTION("""COMPUTED_VALUE"""),"Good")</f>
        <v>Good</v>
      </c>
      <c r="Y229" t="str">
        <f>IFERROR(__xludf.DUMMYFUNCTION("""COMPUTED_VALUE"""),"Good")</f>
        <v>Good</v>
      </c>
      <c r="Z229" t="str">
        <f>IFERROR(__xludf.DUMMYFUNCTION("""COMPUTED_VALUE"""),"Good")</f>
        <v>Good</v>
      </c>
      <c r="AA229" t="str">
        <f>IFERROR(__xludf.DUMMYFUNCTION("""COMPUTED_VALUE"""),"Good")</f>
        <v>Good</v>
      </c>
      <c r="AB229" t="str">
        <f>IFERROR(__xludf.DUMMYFUNCTION("""COMPUTED_VALUE"""),"Good")</f>
        <v>Good</v>
      </c>
      <c r="AC229" t="str">
        <f>IFERROR(__xludf.DUMMYFUNCTION("""COMPUTED_VALUE"""),"Good")</f>
        <v>Good</v>
      </c>
      <c r="AE229" s="11"/>
      <c r="AF229" t="s">
        <v>218</v>
      </c>
      <c r="AG229" s="17" t="s">
        <v>128</v>
      </c>
      <c r="AH229" s="12">
        <v>1100.0</v>
      </c>
      <c r="AI229" s="12" t="s">
        <v>634</v>
      </c>
      <c r="AJ229" s="19" t="s">
        <v>635</v>
      </c>
      <c r="AK229" s="20" t="str">
        <f>HYPERLINK("https://docs.google.com/document/d/1BlhUooj52_5Yvz462SxTIX6_-Pjdb3OHBRmrvl_Ls6A/edit?usp=drivesdk","Silas Tanner - 1/15/2019 8:45 AM")</f>
        <v>Silas Tanner - 1/15/2019 8:45 AM</v>
      </c>
      <c r="AL229" s="12" t="s">
        <v>636</v>
      </c>
    </row>
    <row r="230">
      <c r="A230" s="10">
        <f>IFERROR(__xludf.DUMMYFUNCTION("""COMPUTED_VALUE"""),43481.28886030092)</f>
        <v>43481.28886</v>
      </c>
      <c r="B230" s="11" t="str">
        <f>IFERROR(__xludf.DUMMYFUNCTION("""COMPUTED_VALUE"""),"Pamela Marcum")</f>
        <v>Pamela Marcum</v>
      </c>
      <c r="C230" t="str">
        <f>IFERROR(__xludf.DUMMYFUNCTION("""COMPUTED_VALUE"""),"Pamela.Marcum@dep.state.fl.us")</f>
        <v>Pamela.Marcum@dep.state.fl.us</v>
      </c>
      <c r="D230" t="str">
        <f>IFERROR(__xludf.DUMMYFUNCTION("""COMPUTED_VALUE"""),"Research/Nikki")</f>
        <v>Research/Nikki</v>
      </c>
      <c r="E230" t="str">
        <f>IFERROR(__xludf.DUMMYFUNCTION("""COMPUTED_VALUE"""),"Aunt Kate's")</f>
        <v>Aunt Kate's</v>
      </c>
      <c r="F230" s="13">
        <f>IFERROR(__xludf.DUMMYFUNCTION("""COMPUTED_VALUE"""),0.3541666666678793)</f>
        <v>0.3541666667</v>
      </c>
      <c r="G230" s="14">
        <f>IFERROR(__xludf.DUMMYFUNCTION("""COMPUTED_VALUE"""),43481.0)</f>
        <v>43481</v>
      </c>
      <c r="H230" t="str">
        <f>IFERROR(__xludf.DUMMYFUNCTION("""COMPUTED_VALUE"""),"Tolomato/Guana Rivers")</f>
        <v>Tolomato/Guana Rivers</v>
      </c>
      <c r="I230" s="15">
        <f>IFERROR(__xludf.DUMMYFUNCTION("""COMPUTED_VALUE"""),0.5)</f>
        <v>0.5</v>
      </c>
      <c r="J230" s="16">
        <f>IFERROR(__xludf.DUMMYFUNCTION("""COMPUTED_VALUE"""),43481.52083333333)</f>
        <v>43481.52083</v>
      </c>
      <c r="K230" t="str">
        <f>IFERROR(__xludf.DUMMYFUNCTION("""COMPUTED_VALUE"""),"20ft Sea Ark FL5351SJ UNF 2015")</f>
        <v>20ft Sea Ark FL5351SJ UNF 2015</v>
      </c>
      <c r="M230" t="str">
        <f>IFERROR(__xludf.DUMMYFUNCTION("""COMPUTED_VALUE"""),"Ford F150 2008 - DEP18041 (SWMP Thing)")</f>
        <v>Ford F150 2008 - DEP18041 (SWMP Thing)</v>
      </c>
      <c r="N230" t="str">
        <f>IFERROR(__xludf.DUMMYFUNCTION("""COMPUTED_VALUE"""),"Pam Marcum, (480) 332-5414")</f>
        <v>Pam Marcum, (480) 332-5414</v>
      </c>
      <c r="O230" t="str">
        <f>IFERROR(__xludf.DUMMYFUNCTION("""COMPUTED_VALUE"""),"Jeff Finnan, Terri Calleson")</f>
        <v>Jeff Finnan, Terri Calleson</v>
      </c>
      <c r="P230" t="str">
        <f>IFERROR(__xludf.DUMMYFUNCTION("""COMPUTED_VALUE"""),"Pam")</f>
        <v>Pam</v>
      </c>
      <c r="Q230" t="str">
        <f>IFERROR(__xludf.DUMMYFUNCTION("""COMPUTED_VALUE"""),"Good")</f>
        <v>Good</v>
      </c>
      <c r="R230" t="str">
        <f>IFERROR(__xludf.DUMMYFUNCTION("""COMPUTED_VALUE"""),"Good")</f>
        <v>Good</v>
      </c>
      <c r="S230" t="str">
        <f>IFERROR(__xludf.DUMMYFUNCTION("""COMPUTED_VALUE"""),"Good")</f>
        <v>Good</v>
      </c>
      <c r="T230" t="str">
        <f>IFERROR(__xludf.DUMMYFUNCTION("""COMPUTED_VALUE"""),"Good")</f>
        <v>Good</v>
      </c>
      <c r="U230" t="str">
        <f>IFERROR(__xludf.DUMMYFUNCTION("""COMPUTED_VALUE"""),"Good")</f>
        <v>Good</v>
      </c>
      <c r="V230" t="str">
        <f>IFERROR(__xludf.DUMMYFUNCTION("""COMPUTED_VALUE"""),"Good")</f>
        <v>Good</v>
      </c>
      <c r="W230" t="str">
        <f>IFERROR(__xludf.DUMMYFUNCTION("""COMPUTED_VALUE"""),"Good")</f>
        <v>Good</v>
      </c>
      <c r="X230" t="str">
        <f>IFERROR(__xludf.DUMMYFUNCTION("""COMPUTED_VALUE"""),"Good")</f>
        <v>Good</v>
      </c>
      <c r="Y230" t="str">
        <f>IFERROR(__xludf.DUMMYFUNCTION("""COMPUTED_VALUE"""),"Good")</f>
        <v>Good</v>
      </c>
      <c r="Z230" t="str">
        <f>IFERROR(__xludf.DUMMYFUNCTION("""COMPUTED_VALUE"""),"Good")</f>
        <v>Good</v>
      </c>
      <c r="AA230" t="str">
        <f>IFERROR(__xludf.DUMMYFUNCTION("""COMPUTED_VALUE"""),"Good")</f>
        <v>Good</v>
      </c>
      <c r="AB230" t="str">
        <f>IFERROR(__xludf.DUMMYFUNCTION("""COMPUTED_VALUE"""),"Good")</f>
        <v>Good</v>
      </c>
      <c r="AC230" t="str">
        <f>IFERROR(__xludf.DUMMYFUNCTION("""COMPUTED_VALUE"""),"Good")</f>
        <v>Good</v>
      </c>
      <c r="AE230" s="11"/>
      <c r="AF230" t="s">
        <v>218</v>
      </c>
      <c r="AG230" s="17" t="s">
        <v>225</v>
      </c>
      <c r="AH230" s="12" t="s">
        <v>282</v>
      </c>
      <c r="AI230" s="12" t="s">
        <v>637</v>
      </c>
      <c r="AJ230" s="19" t="s">
        <v>638</v>
      </c>
      <c r="AK230" s="20" t="str">
        <f>HYPERLINK("https://docs.google.com/document/d/1wCwibueR_wcJviqe1JCJpLlTRhJP87kkXm9YSbcKdXU/edit?usp=drivesdk","Pamela Marcum - 1/16/2019 8:30 AM")</f>
        <v>Pamela Marcum - 1/16/2019 8:30 AM</v>
      </c>
      <c r="AL230" s="12" t="s">
        <v>639</v>
      </c>
    </row>
    <row r="231">
      <c r="A231" s="10">
        <f>IFERROR(__xludf.DUMMYFUNCTION("""COMPUTED_VALUE"""),43481.391982534726)</f>
        <v>43481.39198</v>
      </c>
      <c r="B231" s="11" t="str">
        <f>IFERROR(__xludf.DUMMYFUNCTION("""COMPUTED_VALUE"""),"Pam")</f>
        <v>Pam</v>
      </c>
      <c r="C231" t="str">
        <f>IFERROR(__xludf.DUMMYFUNCTION("""COMPUTED_VALUE"""),"pamela.marcum@dep.state.fl.us")</f>
        <v>pamela.marcum@dep.state.fl.us</v>
      </c>
      <c r="D231" t="str">
        <f>IFERROR(__xludf.DUMMYFUNCTION("""COMPUTED_VALUE"""),"Research/Nikki")</f>
        <v>Research/Nikki</v>
      </c>
      <c r="E231" t="str">
        <f>IFERROR(__xludf.DUMMYFUNCTION("""COMPUTED_VALUE"""),"Aunt kates")</f>
        <v>Aunt kates</v>
      </c>
      <c r="F231" s="13">
        <f>IFERROR(__xludf.DUMMYFUNCTION("""COMPUTED_VALUE"""),0.3854166666678793)</f>
        <v>0.3854166667</v>
      </c>
      <c r="G231" s="14">
        <f>IFERROR(__xludf.DUMMYFUNCTION("""COMPUTED_VALUE"""),43481.0)</f>
        <v>43481</v>
      </c>
      <c r="H231" t="str">
        <f>IFERROR(__xludf.DUMMYFUNCTION("""COMPUTED_VALUE"""),"Tolomato")</f>
        <v>Tolomato</v>
      </c>
      <c r="I231" s="15">
        <f>IFERROR(__xludf.DUMMYFUNCTION("""COMPUTED_VALUE"""),0.5)</f>
        <v>0.5</v>
      </c>
      <c r="J231" s="16">
        <f>IFERROR(__xludf.DUMMYFUNCTION("""COMPUTED_VALUE"""),43481.02083333333)</f>
        <v>43481.02083</v>
      </c>
      <c r="K231" t="str">
        <f>IFERROR(__xludf.DUMMYFUNCTION("""COMPUTED_VALUE"""),"23ft Skiff (Bertha) FL7972LJ DEP07613")</f>
        <v>23ft Skiff (Bertha) FL7972LJ DEP07613</v>
      </c>
      <c r="M231" t="str">
        <f>IFERROR(__xludf.DUMMYFUNCTION("""COMPUTED_VALUE"""),"Ford F150 2008 - DEP18041 (SWMP Thing)")</f>
        <v>Ford F150 2008 - DEP18041 (SWMP Thing)</v>
      </c>
      <c r="N231" t="str">
        <f>IFERROR(__xludf.DUMMYFUNCTION("""COMPUTED_VALUE"""),"Pam Marcum, (480) 332-5414")</f>
        <v>Pam Marcum, (480) 332-5414</v>
      </c>
      <c r="O231" t="str">
        <f>IFERROR(__xludf.DUMMYFUNCTION("""COMPUTED_VALUE"""),"Jeff finnan, terri")</f>
        <v>Jeff finnan, terri</v>
      </c>
      <c r="P231" t="str">
        <f>IFERROR(__xludf.DUMMYFUNCTION("""COMPUTED_VALUE"""),"Pam")</f>
        <v>Pam</v>
      </c>
      <c r="Q231" t="str">
        <f>IFERROR(__xludf.DUMMYFUNCTION("""COMPUTED_VALUE"""),"Good")</f>
        <v>Good</v>
      </c>
      <c r="R231" t="str">
        <f>IFERROR(__xludf.DUMMYFUNCTION("""COMPUTED_VALUE"""),"Good")</f>
        <v>Good</v>
      </c>
      <c r="S231" t="str">
        <f>IFERROR(__xludf.DUMMYFUNCTION("""COMPUTED_VALUE"""),"Good")</f>
        <v>Good</v>
      </c>
      <c r="T231" t="str">
        <f>IFERROR(__xludf.DUMMYFUNCTION("""COMPUTED_VALUE"""),"Good")</f>
        <v>Good</v>
      </c>
      <c r="U231" t="str">
        <f>IFERROR(__xludf.DUMMYFUNCTION("""COMPUTED_VALUE"""),"Good")</f>
        <v>Good</v>
      </c>
      <c r="V231" t="str">
        <f>IFERROR(__xludf.DUMMYFUNCTION("""COMPUTED_VALUE"""),"Good")</f>
        <v>Good</v>
      </c>
      <c r="W231" t="str">
        <f>IFERROR(__xludf.DUMMYFUNCTION("""COMPUTED_VALUE"""),"Good")</f>
        <v>Good</v>
      </c>
      <c r="X231" t="str">
        <f>IFERROR(__xludf.DUMMYFUNCTION("""COMPUTED_VALUE"""),"Good")</f>
        <v>Good</v>
      </c>
      <c r="Y231" t="str">
        <f>IFERROR(__xludf.DUMMYFUNCTION("""COMPUTED_VALUE"""),"Good")</f>
        <v>Good</v>
      </c>
      <c r="Z231" t="str">
        <f>IFERROR(__xludf.DUMMYFUNCTION("""COMPUTED_VALUE"""),"Good")</f>
        <v>Good</v>
      </c>
      <c r="AA231" t="str">
        <f>IFERROR(__xludf.DUMMYFUNCTION("""COMPUTED_VALUE"""),"Good")</f>
        <v>Good</v>
      </c>
      <c r="AB231" t="str">
        <f>IFERROR(__xludf.DUMMYFUNCTION("""COMPUTED_VALUE"""),"Good")</f>
        <v>Good</v>
      </c>
      <c r="AC231" t="str">
        <f>IFERROR(__xludf.DUMMYFUNCTION("""COMPUTED_VALUE"""),"Good")</f>
        <v>Good</v>
      </c>
      <c r="AE231" s="11"/>
      <c r="AF231" t="s">
        <v>218</v>
      </c>
      <c r="AG231" s="17" t="s">
        <v>18</v>
      </c>
      <c r="AH231" s="12">
        <v>1200.0</v>
      </c>
      <c r="AI231" s="12" t="s">
        <v>640</v>
      </c>
      <c r="AJ231" s="19" t="s">
        <v>641</v>
      </c>
      <c r="AK231" s="20" t="str">
        <f>HYPERLINK("https://docs.google.com/document/d/1ashMolhPpUl0A5fQ5JeXWD9xog1UFTWMtXS3rIJnr9I/edit?usp=drivesdk","Pam - 1/16/2019 9:15 AM")</f>
        <v>Pam - 1/16/2019 9:15 AM</v>
      </c>
      <c r="AL231" s="12" t="s">
        <v>642</v>
      </c>
    </row>
    <row r="232">
      <c r="A232" s="10">
        <f>IFERROR(__xludf.DUMMYFUNCTION("""COMPUTED_VALUE"""),43482.43853009259)</f>
        <v>43482.43853</v>
      </c>
      <c r="B232" s="11" t="str">
        <f>IFERROR(__xludf.DUMMYFUNCTION("""COMPUTED_VALUE"""),"Pam")</f>
        <v>Pam</v>
      </c>
      <c r="C232" t="str">
        <f>IFERROR(__xludf.DUMMYFUNCTION("""COMPUTED_VALUE"""),"pamela.marcum@dep.state.fl.us")</f>
        <v>pamela.marcum@dep.state.fl.us</v>
      </c>
      <c r="D232" t="str">
        <f>IFERROR(__xludf.DUMMYFUNCTION("""COMPUTED_VALUE"""),"Research/Shannon")</f>
        <v>Research/Shannon</v>
      </c>
      <c r="E232" t="str">
        <f>IFERROR(__xludf.DUMMYFUNCTION("""COMPUTED_VALUE"""),"Aunt kates")</f>
        <v>Aunt kates</v>
      </c>
      <c r="F232" s="13">
        <f>IFERROR(__xludf.DUMMYFUNCTION("""COMPUTED_VALUE"""),0.3541666666678793)</f>
        <v>0.3541666667</v>
      </c>
      <c r="G232" s="14">
        <f>IFERROR(__xludf.DUMMYFUNCTION("""COMPUTED_VALUE"""),43482.0)</f>
        <v>43482</v>
      </c>
      <c r="H232" t="str">
        <f>IFERROR(__xludf.DUMMYFUNCTION("""COMPUTED_VALUE"""),"Tolomato")</f>
        <v>Tolomato</v>
      </c>
      <c r="I232" s="15">
        <f>IFERROR(__xludf.DUMMYFUNCTION("""COMPUTED_VALUE"""),0.5)</f>
        <v>0.5</v>
      </c>
      <c r="J232" s="16">
        <f>IFERROR(__xludf.DUMMYFUNCTION("""COMPUTED_VALUE"""),43482.0)</f>
        <v>43482</v>
      </c>
      <c r="K232" t="str">
        <f>IFERROR(__xludf.DUMMYFUNCTION("""COMPUTED_VALUE"""),"23ft Skiff (Bertha) FL7972LJ DEP07613")</f>
        <v>23ft Skiff (Bertha) FL7972LJ DEP07613</v>
      </c>
      <c r="M232" t="str">
        <f>IFERROR(__xludf.DUMMYFUNCTION("""COMPUTED_VALUE"""),"Ford F150 2008 - DEP18041 (SWMP Thing)")</f>
        <v>Ford F150 2008 - DEP18041 (SWMP Thing)</v>
      </c>
      <c r="N232" t="str">
        <f>IFERROR(__xludf.DUMMYFUNCTION("""COMPUTED_VALUE"""),"Pam Marcum, (480) 332-5414")</f>
        <v>Pam Marcum, (480) 332-5414</v>
      </c>
      <c r="O232" t="str">
        <f>IFERROR(__xludf.DUMMYFUNCTION("""COMPUTED_VALUE"""),"Collin, Remo")</f>
        <v>Collin, Remo</v>
      </c>
      <c r="P232" t="str">
        <f>IFERROR(__xludf.DUMMYFUNCTION("""COMPUTED_VALUE"""),"Pam")</f>
        <v>Pam</v>
      </c>
      <c r="Q232" t="str">
        <f>IFERROR(__xludf.DUMMYFUNCTION("""COMPUTED_VALUE"""),"Good")</f>
        <v>Good</v>
      </c>
      <c r="R232" t="str">
        <f>IFERROR(__xludf.DUMMYFUNCTION("""COMPUTED_VALUE"""),"Good")</f>
        <v>Good</v>
      </c>
      <c r="S232" t="str">
        <f>IFERROR(__xludf.DUMMYFUNCTION("""COMPUTED_VALUE"""),"Good")</f>
        <v>Good</v>
      </c>
      <c r="T232" t="str">
        <f>IFERROR(__xludf.DUMMYFUNCTION("""COMPUTED_VALUE"""),"Good")</f>
        <v>Good</v>
      </c>
      <c r="U232" t="str">
        <f>IFERROR(__xludf.DUMMYFUNCTION("""COMPUTED_VALUE"""),"Good")</f>
        <v>Good</v>
      </c>
      <c r="V232" t="str">
        <f>IFERROR(__xludf.DUMMYFUNCTION("""COMPUTED_VALUE"""),"Good")</f>
        <v>Good</v>
      </c>
      <c r="W232" t="str">
        <f>IFERROR(__xludf.DUMMYFUNCTION("""COMPUTED_VALUE"""),"Good")</f>
        <v>Good</v>
      </c>
      <c r="X232" t="str">
        <f>IFERROR(__xludf.DUMMYFUNCTION("""COMPUTED_VALUE"""),"Good")</f>
        <v>Good</v>
      </c>
      <c r="Y232" t="str">
        <f>IFERROR(__xludf.DUMMYFUNCTION("""COMPUTED_VALUE"""),"Good")</f>
        <v>Good</v>
      </c>
      <c r="Z232" t="str">
        <f>IFERROR(__xludf.DUMMYFUNCTION("""COMPUTED_VALUE"""),"Good")</f>
        <v>Good</v>
      </c>
      <c r="AA232" t="str">
        <f>IFERROR(__xludf.DUMMYFUNCTION("""COMPUTED_VALUE"""),"Good")</f>
        <v>Good</v>
      </c>
      <c r="AB232" t="str">
        <f>IFERROR(__xludf.DUMMYFUNCTION("""COMPUTED_VALUE"""),"Good")</f>
        <v>Good</v>
      </c>
      <c r="AC232" t="str">
        <f>IFERROR(__xludf.DUMMYFUNCTION("""COMPUTED_VALUE"""),"Good")</f>
        <v>Good</v>
      </c>
      <c r="AE232" s="11"/>
      <c r="AF232" t="s">
        <v>269</v>
      </c>
      <c r="AG232" s="17" t="s">
        <v>643</v>
      </c>
      <c r="AH232" s="12">
        <v>1219.0</v>
      </c>
      <c r="AI232" s="12" t="s">
        <v>644</v>
      </c>
      <c r="AJ232" s="19" t="s">
        <v>645</v>
      </c>
      <c r="AK232" s="20" t="str">
        <f>HYPERLINK("https://docs.google.com/document/d/1ySIzZqkUgYZOnUT2s6MMktH4mDF9DGVF0uvVl5xf4BM/edit?usp=drivesdk","Pam - 1/17/2019 8:30 AM")</f>
        <v>Pam - 1/17/2019 8:30 AM</v>
      </c>
      <c r="AL232" s="12" t="s">
        <v>646</v>
      </c>
    </row>
    <row r="233">
      <c r="A233" s="10">
        <f>IFERROR(__xludf.DUMMYFUNCTION("""COMPUTED_VALUE"""),43483.43867501158)</f>
        <v>43483.43868</v>
      </c>
      <c r="B233" s="11" t="str">
        <f>IFERROR(__xludf.DUMMYFUNCTION("""COMPUTED_VALUE"""),"Pam Marcum")</f>
        <v>Pam Marcum</v>
      </c>
      <c r="C233" t="str">
        <f>IFERROR(__xludf.DUMMYFUNCTION("""COMPUTED_VALUE"""),"Pamela.Marcum@dep.state.fl.us")</f>
        <v>Pamela.Marcum@dep.state.fl.us</v>
      </c>
      <c r="D233" t="str">
        <f>IFERROR(__xludf.DUMMYFUNCTION("""COMPUTED_VALUE"""),"Research/Nikki")</f>
        <v>Research/Nikki</v>
      </c>
      <c r="E233" t="str">
        <f>IFERROR(__xludf.DUMMYFUNCTION("""COMPUTED_VALUE"""),"Aunt Kate's")</f>
        <v>Aunt Kate's</v>
      </c>
      <c r="F233" s="13">
        <f>IFERROR(__xludf.DUMMYFUNCTION("""COMPUTED_VALUE"""),0.4479166666678793)</f>
        <v>0.4479166667</v>
      </c>
      <c r="G233" s="14">
        <f>IFERROR(__xludf.DUMMYFUNCTION("""COMPUTED_VALUE"""),43483.0)</f>
        <v>43483</v>
      </c>
      <c r="H233" t="str">
        <f>IFERROR(__xludf.DUMMYFUNCTION("""COMPUTED_VALUE"""),"Guana River")</f>
        <v>Guana River</v>
      </c>
      <c r="I233" s="15">
        <f>IFERROR(__xludf.DUMMYFUNCTION("""COMPUTED_VALUE"""),0.5416666666678793)</f>
        <v>0.5416666667</v>
      </c>
      <c r="J233" s="16">
        <f>IFERROR(__xludf.DUMMYFUNCTION("""COMPUTED_VALUE"""),43483.5625)</f>
        <v>43483.5625</v>
      </c>
      <c r="K233" t="str">
        <f>IFERROR(__xludf.DUMMYFUNCTION("""COMPUTED_VALUE"""),"23ft Skiff (Bertha) FL7972LJ DEP07613")</f>
        <v>23ft Skiff (Bertha) FL7972LJ DEP07613</v>
      </c>
      <c r="M233" t="str">
        <f>IFERROR(__xludf.DUMMYFUNCTION("""COMPUTED_VALUE"""),"Ford F150 2008 - DEP18041 (SWMP Thing)")</f>
        <v>Ford F150 2008 - DEP18041 (SWMP Thing)</v>
      </c>
      <c r="N233" t="str">
        <f>IFERROR(__xludf.DUMMYFUNCTION("""COMPUTED_VALUE"""),"Pam Marcum, (480) 332-5414")</f>
        <v>Pam Marcum, (480) 332-5414</v>
      </c>
      <c r="O233" t="str">
        <f>IFERROR(__xludf.DUMMYFUNCTION("""COMPUTED_VALUE"""),"Connor Kellie, Vicki MacDonald, Barry MacDonald, Jeff Finnan")</f>
        <v>Connor Kellie, Vicki MacDonald, Barry MacDonald, Jeff Finnan</v>
      </c>
      <c r="P233" t="str">
        <f>IFERROR(__xludf.DUMMYFUNCTION("""COMPUTED_VALUE"""),"Pam")</f>
        <v>Pam</v>
      </c>
      <c r="Q233" t="str">
        <f>IFERROR(__xludf.DUMMYFUNCTION("""COMPUTED_VALUE"""),"Good")</f>
        <v>Good</v>
      </c>
      <c r="R233" t="str">
        <f>IFERROR(__xludf.DUMMYFUNCTION("""COMPUTED_VALUE"""),"Good")</f>
        <v>Good</v>
      </c>
      <c r="S233" t="str">
        <f>IFERROR(__xludf.DUMMYFUNCTION("""COMPUTED_VALUE"""),"Good")</f>
        <v>Good</v>
      </c>
      <c r="T233" t="str">
        <f>IFERROR(__xludf.DUMMYFUNCTION("""COMPUTED_VALUE"""),"Good")</f>
        <v>Good</v>
      </c>
      <c r="U233" t="str">
        <f>IFERROR(__xludf.DUMMYFUNCTION("""COMPUTED_VALUE"""),"Good")</f>
        <v>Good</v>
      </c>
      <c r="V233" t="str">
        <f>IFERROR(__xludf.DUMMYFUNCTION("""COMPUTED_VALUE"""),"Good")</f>
        <v>Good</v>
      </c>
      <c r="W233" t="str">
        <f>IFERROR(__xludf.DUMMYFUNCTION("""COMPUTED_VALUE"""),"Good")</f>
        <v>Good</v>
      </c>
      <c r="X233" t="str">
        <f>IFERROR(__xludf.DUMMYFUNCTION("""COMPUTED_VALUE"""),"Good")</f>
        <v>Good</v>
      </c>
      <c r="Y233" t="str">
        <f>IFERROR(__xludf.DUMMYFUNCTION("""COMPUTED_VALUE"""),"Good")</f>
        <v>Good</v>
      </c>
      <c r="Z233" t="str">
        <f>IFERROR(__xludf.DUMMYFUNCTION("""COMPUTED_VALUE"""),"Good")</f>
        <v>Good</v>
      </c>
      <c r="AA233" t="str">
        <f>IFERROR(__xludf.DUMMYFUNCTION("""COMPUTED_VALUE"""),"Good")</f>
        <v>Good</v>
      </c>
      <c r="AB233" t="str">
        <f>IFERROR(__xludf.DUMMYFUNCTION("""COMPUTED_VALUE"""),"Good")</f>
        <v>Good</v>
      </c>
      <c r="AC233" t="str">
        <f>IFERROR(__xludf.DUMMYFUNCTION("""COMPUTED_VALUE"""),"Good")</f>
        <v>Good</v>
      </c>
      <c r="AE233" s="11"/>
      <c r="AF233" t="s">
        <v>218</v>
      </c>
      <c r="AG233" s="17" t="s">
        <v>43</v>
      </c>
      <c r="AH233" s="12">
        <v>1345.0</v>
      </c>
      <c r="AI233" s="12" t="s">
        <v>647</v>
      </c>
      <c r="AJ233" s="19" t="s">
        <v>648</v>
      </c>
      <c r="AK233" s="20" t="str">
        <f>HYPERLINK("https://docs.google.com/document/d/1BNVX05cr1434PSG7V5_vi5xdcMP9K4I0Om0n38jVaK0/edit?usp=drivesdk","Pam Marcum - 1/18/2019 10:45 AM")</f>
        <v>Pam Marcum - 1/18/2019 10:45 AM</v>
      </c>
      <c r="AL233" s="12" t="s">
        <v>649</v>
      </c>
    </row>
    <row r="234">
      <c r="A234" s="10">
        <f>IFERROR(__xludf.DUMMYFUNCTION("""COMPUTED_VALUE"""),43483.446238819444)</f>
        <v>43483.44624</v>
      </c>
      <c r="B234" s="11" t="str">
        <f>IFERROR(__xludf.DUMMYFUNCTION("""COMPUTED_VALUE"""),"Shannon")</f>
        <v>Shannon</v>
      </c>
      <c r="C234" t="str">
        <f>IFERROR(__xludf.DUMMYFUNCTION("""COMPUTED_VALUE"""),"shannon.dunnigan@floridadep.gov")</f>
        <v>shannon.dunnigan@floridadep.gov</v>
      </c>
      <c r="D234" t="str">
        <f>IFERROR(__xludf.DUMMYFUNCTION("""COMPUTED_VALUE"""),"Research/Nikki")</f>
        <v>Research/Nikki</v>
      </c>
      <c r="E234" t="str">
        <f>IFERROR(__xludf.DUMMYFUNCTION("""COMPUTED_VALUE"""),"Aunt Kate’s")</f>
        <v>Aunt Kate’s</v>
      </c>
      <c r="F234" s="13">
        <f>IFERROR(__xludf.DUMMYFUNCTION("""COMPUTED_VALUE"""),0.4583333333321207)</f>
        <v>0.4583333333</v>
      </c>
      <c r="G234" s="14">
        <f>IFERROR(__xludf.DUMMYFUNCTION("""COMPUTED_VALUE"""),43483.0)</f>
        <v>43483</v>
      </c>
      <c r="H234" t="str">
        <f>IFERROR(__xludf.DUMMYFUNCTION("""COMPUTED_VALUE"""),"Tolomato")</f>
        <v>Tolomato</v>
      </c>
      <c r="I234" s="15">
        <f>IFERROR(__xludf.DUMMYFUNCTION("""COMPUTED_VALUE"""),0.5833333333321207)</f>
        <v>0.5833333333</v>
      </c>
      <c r="J234" s="16">
        <f>IFERROR(__xludf.DUMMYFUNCTION("""COMPUTED_VALUE"""),43483.625)</f>
        <v>43483.625</v>
      </c>
      <c r="K234" t="str">
        <f>IFERROR(__xludf.DUMMYFUNCTION("""COMPUTED_VALUE"""),"F 20ft Sea Ark (Easy 200) FL8534PY DEP21451")</f>
        <v>F 20ft Sea Ark (Easy 200) FL8534PY DEP21451</v>
      </c>
      <c r="M234" t="str">
        <f>IFERROR(__xludf.DUMMYFUNCTION("""COMPUTED_VALUE"""),"Ford F250 2017 (Moby Dix) - DEP0021578")</f>
        <v>Ford F250 2017 (Moby Dix) - DEP0021578</v>
      </c>
      <c r="N234" t="str">
        <f>IFERROR(__xludf.DUMMYFUNCTION("""COMPUTED_VALUE"""),"Nikki Dix, (352) 219-4079, Shannon Dunnigan, (803) 727-5734")</f>
        <v>Nikki Dix, (352) 219-4079, Shannon Dunnigan, (803) 727-5734</v>
      </c>
      <c r="P234" t="str">
        <f>IFERROR(__xludf.DUMMYFUNCTION("""COMPUTED_VALUE"""),"Shannon")</f>
        <v>Shannon</v>
      </c>
      <c r="Q234" t="str">
        <f>IFERROR(__xludf.DUMMYFUNCTION("""COMPUTED_VALUE"""),"Good")</f>
        <v>Good</v>
      </c>
      <c r="R234" t="str">
        <f>IFERROR(__xludf.DUMMYFUNCTION("""COMPUTED_VALUE"""),"Good")</f>
        <v>Good</v>
      </c>
      <c r="S234" t="str">
        <f>IFERROR(__xludf.DUMMYFUNCTION("""COMPUTED_VALUE"""),"Good")</f>
        <v>Good</v>
      </c>
      <c r="T234" t="str">
        <f>IFERROR(__xludf.DUMMYFUNCTION("""COMPUTED_VALUE"""),"Good")</f>
        <v>Good</v>
      </c>
      <c r="U234" t="str">
        <f>IFERROR(__xludf.DUMMYFUNCTION("""COMPUTED_VALUE"""),"Good")</f>
        <v>Good</v>
      </c>
      <c r="V234" t="str">
        <f>IFERROR(__xludf.DUMMYFUNCTION("""COMPUTED_VALUE"""),"Good")</f>
        <v>Good</v>
      </c>
      <c r="W234" t="str">
        <f>IFERROR(__xludf.DUMMYFUNCTION("""COMPUTED_VALUE"""),"Good")</f>
        <v>Good</v>
      </c>
      <c r="X234" t="str">
        <f>IFERROR(__xludf.DUMMYFUNCTION("""COMPUTED_VALUE"""),"Good")</f>
        <v>Good</v>
      </c>
      <c r="Y234" t="str">
        <f>IFERROR(__xludf.DUMMYFUNCTION("""COMPUTED_VALUE"""),"Good")</f>
        <v>Good</v>
      </c>
      <c r="Z234" t="str">
        <f>IFERROR(__xludf.DUMMYFUNCTION("""COMPUTED_VALUE"""),"Good")</f>
        <v>Good</v>
      </c>
      <c r="AA234" t="str">
        <f>IFERROR(__xludf.DUMMYFUNCTION("""COMPUTED_VALUE"""),"Good")</f>
        <v>Good</v>
      </c>
      <c r="AB234" t="str">
        <f>IFERROR(__xludf.DUMMYFUNCTION("""COMPUTED_VALUE"""),"Good")</f>
        <v>Good</v>
      </c>
      <c r="AC234" t="str">
        <f>IFERROR(__xludf.DUMMYFUNCTION("""COMPUTED_VALUE"""),"Good")</f>
        <v>Good</v>
      </c>
      <c r="AE234" s="11"/>
      <c r="AF234" t="s">
        <v>218</v>
      </c>
      <c r="AG234" s="17" t="s">
        <v>56</v>
      </c>
      <c r="AH234" s="12" t="s">
        <v>282</v>
      </c>
      <c r="AI234" s="12" t="s">
        <v>650</v>
      </c>
      <c r="AJ234" s="19" t="s">
        <v>651</v>
      </c>
      <c r="AK234" s="20" t="str">
        <f>HYPERLINK("https://docs.google.com/document/d/1y2UDORHMpvgGxnWKusUow10nn0yr4r-KxQFkrbWVVDg/edit?usp=drivesdk","Shannon - 1/18/2019 11:00 AM")</f>
        <v>Shannon - 1/18/2019 11:00 AM</v>
      </c>
      <c r="AL234" s="12" t="s">
        <v>652</v>
      </c>
    </row>
    <row r="235">
      <c r="A235" s="10">
        <f>IFERROR(__xludf.DUMMYFUNCTION("""COMPUTED_VALUE"""),43483.4528569213)</f>
        <v>43483.45286</v>
      </c>
      <c r="B235" s="11" t="str">
        <f>IFERROR(__xludf.DUMMYFUNCTION("""COMPUTED_VALUE"""),"Shannon")</f>
        <v>Shannon</v>
      </c>
      <c r="C235" t="str">
        <f>IFERROR(__xludf.DUMMYFUNCTION("""COMPUTED_VALUE"""),"shannon.dunnigan@floridadep.gov")</f>
        <v>shannon.dunnigan@floridadep.gov</v>
      </c>
      <c r="D235" t="str">
        <f>IFERROR(__xludf.DUMMYFUNCTION("""COMPUTED_VALUE"""),"Research/Nikki")</f>
        <v>Research/Nikki</v>
      </c>
      <c r="E235" t="str">
        <f>IFERROR(__xludf.DUMMYFUNCTION("""COMPUTED_VALUE"""),"Kates")</f>
        <v>Kates</v>
      </c>
      <c r="F235" s="13">
        <f>IFERROR(__xludf.DUMMYFUNCTION("""COMPUTED_VALUE"""),0.4583333333321207)</f>
        <v>0.4583333333</v>
      </c>
      <c r="G235" s="14">
        <f>IFERROR(__xludf.DUMMYFUNCTION("""COMPUTED_VALUE"""),43484.0)</f>
        <v>43484</v>
      </c>
      <c r="H235" t="str">
        <f>IFERROR(__xludf.DUMMYFUNCTION("""COMPUTED_VALUE"""),"Tolomato")</f>
        <v>Tolomato</v>
      </c>
      <c r="I235" s="15">
        <f>IFERROR(__xludf.DUMMYFUNCTION("""COMPUTED_VALUE"""),0.5)</f>
        <v>0.5</v>
      </c>
      <c r="J235" s="16">
        <f>IFERROR(__xludf.DUMMYFUNCTION("""COMPUTED_VALUE"""),43483.50069444445)</f>
        <v>43483.50069</v>
      </c>
      <c r="K235" t="str">
        <f>IFERROR(__xludf.DUMMYFUNCTION("""COMPUTED_VALUE"""),"F 20ft Sea Ark (Easy 200) FL8534PY DEP21451")</f>
        <v>F 20ft Sea Ark (Easy 200) FL8534PY DEP21451</v>
      </c>
      <c r="M235" t="str">
        <f>IFERROR(__xludf.DUMMYFUNCTION("""COMPUTED_VALUE"""),"Ford F250 2017 (Moby Dix) - DEP0021578")</f>
        <v>Ford F250 2017 (Moby Dix) - DEP0021578</v>
      </c>
      <c r="N235" t="str">
        <f>IFERROR(__xludf.DUMMYFUNCTION("""COMPUTED_VALUE"""),"Nikki Dix, (352) 219-4079, Shannon Dunnigan, (803) 727-5734")</f>
        <v>Nikki Dix, (352) 219-4079, Shannon Dunnigan, (803) 727-5734</v>
      </c>
      <c r="P235" t="str">
        <f>IFERROR(__xludf.DUMMYFUNCTION("""COMPUTED_VALUE"""),"Shannon")</f>
        <v>Shannon</v>
      </c>
      <c r="Q235" t="str">
        <f>IFERROR(__xludf.DUMMYFUNCTION("""COMPUTED_VALUE"""),"Good")</f>
        <v>Good</v>
      </c>
      <c r="R235" t="str">
        <f>IFERROR(__xludf.DUMMYFUNCTION("""COMPUTED_VALUE"""),"Good")</f>
        <v>Good</v>
      </c>
      <c r="S235" t="str">
        <f>IFERROR(__xludf.DUMMYFUNCTION("""COMPUTED_VALUE"""),"Good")</f>
        <v>Good</v>
      </c>
      <c r="T235" t="str">
        <f>IFERROR(__xludf.DUMMYFUNCTION("""COMPUTED_VALUE"""),"Good")</f>
        <v>Good</v>
      </c>
      <c r="U235" t="str">
        <f>IFERROR(__xludf.DUMMYFUNCTION("""COMPUTED_VALUE"""),"Good")</f>
        <v>Good</v>
      </c>
      <c r="V235" t="str">
        <f>IFERROR(__xludf.DUMMYFUNCTION("""COMPUTED_VALUE"""),"Good")</f>
        <v>Good</v>
      </c>
      <c r="W235" t="str">
        <f>IFERROR(__xludf.DUMMYFUNCTION("""COMPUTED_VALUE"""),"Good")</f>
        <v>Good</v>
      </c>
      <c r="X235" t="str">
        <f>IFERROR(__xludf.DUMMYFUNCTION("""COMPUTED_VALUE"""),"Good")</f>
        <v>Good</v>
      </c>
      <c r="Y235" t="str">
        <f>IFERROR(__xludf.DUMMYFUNCTION("""COMPUTED_VALUE"""),"Good")</f>
        <v>Good</v>
      </c>
      <c r="Z235" t="str">
        <f>IFERROR(__xludf.DUMMYFUNCTION("""COMPUTED_VALUE"""),"Good")</f>
        <v>Good</v>
      </c>
      <c r="AA235" t="str">
        <f>IFERROR(__xludf.DUMMYFUNCTION("""COMPUTED_VALUE"""),"Good")</f>
        <v>Good</v>
      </c>
      <c r="AB235" t="str">
        <f>IFERROR(__xludf.DUMMYFUNCTION("""COMPUTED_VALUE"""),"Good")</f>
        <v>Good</v>
      </c>
      <c r="AC235" t="str">
        <f>IFERROR(__xludf.DUMMYFUNCTION("""COMPUTED_VALUE"""),"Good")</f>
        <v>Good</v>
      </c>
      <c r="AE235" s="11"/>
      <c r="AF235" t="s">
        <v>218</v>
      </c>
      <c r="AG235" s="17" t="s">
        <v>56</v>
      </c>
      <c r="AH235" s="12" t="s">
        <v>282</v>
      </c>
      <c r="AI235" s="12" t="s">
        <v>653</v>
      </c>
      <c r="AJ235" s="19" t="s">
        <v>654</v>
      </c>
      <c r="AK235" s="20" t="str">
        <f>HYPERLINK("https://docs.google.com/document/d/14yTxW_f-O_a2XG44MuzS7iWl79ZZNjt9kb-KH_PVWqg/edit?usp=drivesdk","Shannon - 1/19/2019 11:00 AM")</f>
        <v>Shannon - 1/19/2019 11:00 AM</v>
      </c>
      <c r="AL235" s="12" t="s">
        <v>655</v>
      </c>
    </row>
    <row r="236">
      <c r="A236" s="10">
        <f>IFERROR(__xludf.DUMMYFUNCTION("""COMPUTED_VALUE"""),43483.510741157406)</f>
        <v>43483.51074</v>
      </c>
      <c r="B236" s="11" t="str">
        <f>IFERROR(__xludf.DUMMYFUNCTION("""COMPUTED_VALUE"""),"Kenneth is testing Hi Everyone!")</f>
        <v>Kenneth is testing Hi Everyone!</v>
      </c>
      <c r="C236" t="str">
        <f>IFERROR(__xludf.DUMMYFUNCTION("""COMPUTED_VALUE"""),"kennethcrainer@gmail.com")</f>
        <v>kennethcrainer@gmail.com</v>
      </c>
      <c r="D236" t="str">
        <f>IFERROR(__xludf.DUMMYFUNCTION("""COMPUTED_VALUE"""),"Research/Nikki")</f>
        <v>Research/Nikki</v>
      </c>
      <c r="E236" t="str">
        <f>IFERROR(__xludf.DUMMYFUNCTION("""COMPUTED_VALUE"""),"Aunt Kate's")</f>
        <v>Aunt Kate's</v>
      </c>
      <c r="F236" s="13">
        <f>IFERROR(__xludf.DUMMYFUNCTION("""COMPUTED_VALUE"""),0.3541666666678793)</f>
        <v>0.3541666667</v>
      </c>
      <c r="G236" s="14">
        <f>IFERROR(__xludf.DUMMYFUNCTION("""COMPUTED_VALUE"""),43483.0)</f>
        <v>43483</v>
      </c>
      <c r="H236" t="str">
        <f>IFERROR(__xludf.DUMMYFUNCTION("""COMPUTED_VALUE"""),"North Guana River")</f>
        <v>North Guana River</v>
      </c>
      <c r="I236" s="15">
        <f>IFERROR(__xludf.DUMMYFUNCTION("""COMPUTED_VALUE"""),0.5)</f>
        <v>0.5</v>
      </c>
      <c r="J236" s="16">
        <f>IFERROR(__xludf.DUMMYFUNCTION("""COMPUTED_VALUE"""),43483.70833333333)</f>
        <v>43483.70833</v>
      </c>
      <c r="K236" t="str">
        <f>IFERROR(__xludf.DUMMYFUNCTION("""COMPUTED_VALUE"""),"F 20ft Sea Ark (Easy 200) FL8534PY DEP21451")</f>
        <v>F 20ft Sea Ark (Easy 200) FL8534PY DEP21451</v>
      </c>
      <c r="L236">
        <f>IFERROR(__xludf.DUMMYFUNCTION("""COMPUTED_VALUE"""),2.0)</f>
        <v>2</v>
      </c>
      <c r="M236" t="str">
        <f>IFERROR(__xludf.DUMMYFUNCTION("""COMPUTED_VALUE"""),"Ford F250 2017 (Moby Dix) - DEP0021578")</f>
        <v>Ford F250 2017 (Moby Dix) - DEP0021578</v>
      </c>
      <c r="N236" t="str">
        <f>IFERROR(__xludf.DUMMYFUNCTION("""COMPUTED_VALUE"""),"Nikki Dix, (352) 219-4079, Kenneth Rainer, (936) 499-1853")</f>
        <v>Nikki Dix, (352) 219-4079, Kenneth Rainer, (936) 499-1853</v>
      </c>
      <c r="O236" t="str">
        <f>IFERROR(__xludf.DUMMYFUNCTION("""COMPUTED_VALUE"""),"Benjamin Mowbray, (407) 962-8782, Kenneth Rainer, (936) 499-1853")</f>
        <v>Benjamin Mowbray, (407) 962-8782, Kenneth Rainer, (936) 499-1853</v>
      </c>
      <c r="P236" t="str">
        <f>IFERROR(__xludf.DUMMYFUNCTION("""COMPUTED_VALUE"""),"Captain Kenneth")</f>
        <v>Captain Kenneth</v>
      </c>
      <c r="Q236" t="str">
        <f>IFERROR(__xludf.DUMMYFUNCTION("""COMPUTED_VALUE"""),"Good")</f>
        <v>Good</v>
      </c>
      <c r="R236" t="str">
        <f>IFERROR(__xludf.DUMMYFUNCTION("""COMPUTED_VALUE"""),"Good")</f>
        <v>Good</v>
      </c>
      <c r="S236" t="str">
        <f>IFERROR(__xludf.DUMMYFUNCTION("""COMPUTED_VALUE"""),"Good")</f>
        <v>Good</v>
      </c>
      <c r="T236" t="str">
        <f>IFERROR(__xludf.DUMMYFUNCTION("""COMPUTED_VALUE"""),"Good")</f>
        <v>Good</v>
      </c>
      <c r="U236" t="str">
        <f>IFERROR(__xludf.DUMMYFUNCTION("""COMPUTED_VALUE"""),"Good")</f>
        <v>Good</v>
      </c>
      <c r="V236" t="str">
        <f>IFERROR(__xludf.DUMMYFUNCTION("""COMPUTED_VALUE"""),"Good")</f>
        <v>Good</v>
      </c>
      <c r="W236" t="str">
        <f>IFERROR(__xludf.DUMMYFUNCTION("""COMPUTED_VALUE"""),"Good")</f>
        <v>Good</v>
      </c>
      <c r="X236" t="str">
        <f>IFERROR(__xludf.DUMMYFUNCTION("""COMPUTED_VALUE"""),"Good")</f>
        <v>Good</v>
      </c>
      <c r="Y236" t="str">
        <f>IFERROR(__xludf.DUMMYFUNCTION("""COMPUTED_VALUE"""),"Good")</f>
        <v>Good</v>
      </c>
      <c r="Z236" t="str">
        <f>IFERROR(__xludf.DUMMYFUNCTION("""COMPUTED_VALUE"""),"Good")</f>
        <v>Good</v>
      </c>
      <c r="AA236" t="str">
        <f>IFERROR(__xludf.DUMMYFUNCTION("""COMPUTED_VALUE"""),"Good")</f>
        <v>Good</v>
      </c>
      <c r="AB236" t="str">
        <f>IFERROR(__xludf.DUMMYFUNCTION("""COMPUTED_VALUE"""),"Good")</f>
        <v>Good</v>
      </c>
      <c r="AC236" t="str">
        <f>IFERROR(__xludf.DUMMYFUNCTION("""COMPUTED_VALUE"""),"Good")</f>
        <v>Good</v>
      </c>
      <c r="AD236" t="str">
        <f>IFERROR(__xludf.DUMMYFUNCTION("""COMPUTED_VALUE"""),"It's beautiful -- shame this is only a test")</f>
        <v>It's beautiful -- shame this is only a test</v>
      </c>
      <c r="AE236" s="11" t="str">
        <f>IFERROR(__xludf.DUMMYFUNCTION("""COMPUTED_VALUE"""),"nuisance flooding all over")</f>
        <v>nuisance flooding all over</v>
      </c>
      <c r="AF236" t="s">
        <v>218</v>
      </c>
      <c r="AG236" s="17" t="s">
        <v>56</v>
      </c>
      <c r="AH236" s="12" t="s">
        <v>282</v>
      </c>
      <c r="AI236" s="12" t="s">
        <v>656</v>
      </c>
      <c r="AJ236" s="19" t="s">
        <v>657</v>
      </c>
      <c r="AK236" s="20" t="str">
        <f>HYPERLINK("https://docs.google.com/document/d/1Sid9zj_P_dXtirRpSMOa44APDNbBmBxfUhLaW12NacM/edit?usp=drivesdk","Kenneth is testing Hi Everyone! - 1/18/2019 8:30 AM")</f>
        <v>Kenneth is testing Hi Everyone! - 1/18/2019 8:30 AM</v>
      </c>
      <c r="AL236" s="12" t="s">
        <v>658</v>
      </c>
    </row>
    <row r="237">
      <c r="A237" s="10">
        <f>IFERROR(__xludf.DUMMYFUNCTION("""COMPUTED_VALUE"""),43486.64180710648)</f>
        <v>43486.64181</v>
      </c>
      <c r="B237" s="11" t="str">
        <f>IFERROR(__xludf.DUMMYFUNCTION("""COMPUTED_VALUE"""),"James Tomazinis")</f>
        <v>James Tomazinis</v>
      </c>
      <c r="C237" t="str">
        <f>IFERROR(__xludf.DUMMYFUNCTION("""COMPUTED_VALUE"""),"james.tomazinis@floridadep.gov")</f>
        <v>james.tomazinis@floridadep.gov</v>
      </c>
      <c r="D237" t="str">
        <f>IFERROR(__xludf.DUMMYFUNCTION("""COMPUTED_VALUE"""),"Stewardship (Aquatic)")</f>
        <v>Stewardship (Aquatic)</v>
      </c>
      <c r="E237" t="str">
        <f>IFERROR(__xludf.DUMMYFUNCTION("""COMPUTED_VALUE"""),"Guana Dam")</f>
        <v>Guana Dam</v>
      </c>
      <c r="F237" s="13">
        <f>IFERROR(__xludf.DUMMYFUNCTION("""COMPUTED_VALUE"""),0.4270833333321207)</f>
        <v>0.4270833333</v>
      </c>
      <c r="G237" s="14">
        <f>IFERROR(__xludf.DUMMYFUNCTION("""COMPUTED_VALUE"""),43487.0)</f>
        <v>43487</v>
      </c>
      <c r="H237" t="str">
        <f>IFERROR(__xludf.DUMMYFUNCTION("""COMPUTED_VALUE"""),"Guana River WQ sites")</f>
        <v>Guana River WQ sites</v>
      </c>
      <c r="I237" s="15">
        <f>IFERROR(__xludf.DUMMYFUNCTION("""COMPUTED_VALUE"""),0.47222222222262644)</f>
        <v>0.4722222222</v>
      </c>
      <c r="J237" s="16"/>
      <c r="K237" t="str">
        <f>IFERROR(__xludf.DUMMYFUNCTION("""COMPUTED_VALUE"""),"Jon Boat FL0484NP DEP06819")</f>
        <v>Jon Boat FL0484NP DEP06819</v>
      </c>
      <c r="M237" t="str">
        <f>IFERROR(__xludf.DUMMYFUNCTION("""COMPUTED_VALUE"""),"Ford F150 2015 (White) - DEP21448")</f>
        <v>Ford F150 2015 (White) - DEP21448</v>
      </c>
      <c r="N237" t="str">
        <f>IFERROR(__xludf.DUMMYFUNCTION("""COMPUTED_VALUE"""),"Jimmy Tomazinis, (904) 547-0094")</f>
        <v>Jimmy Tomazinis, (904) 547-0094</v>
      </c>
      <c r="O237" t="str">
        <f>IFERROR(__xludf.DUMMYFUNCTION("""COMPUTED_VALUE"""),"Jessica Lee")</f>
        <v>Jessica Lee</v>
      </c>
      <c r="P237" t="str">
        <f>IFERROR(__xludf.DUMMYFUNCTION("""COMPUTED_VALUE"""),"Jimmy")</f>
        <v>Jimmy</v>
      </c>
      <c r="Q237" t="str">
        <f>IFERROR(__xludf.DUMMYFUNCTION("""COMPUTED_VALUE"""),"Good")</f>
        <v>Good</v>
      </c>
      <c r="R237" t="str">
        <f>IFERROR(__xludf.DUMMYFUNCTION("""COMPUTED_VALUE"""),"Good")</f>
        <v>Good</v>
      </c>
      <c r="S237" t="str">
        <f>IFERROR(__xludf.DUMMYFUNCTION("""COMPUTED_VALUE"""),"Good")</f>
        <v>Good</v>
      </c>
      <c r="T237" t="str">
        <f>IFERROR(__xludf.DUMMYFUNCTION("""COMPUTED_VALUE"""),"Good")</f>
        <v>Good</v>
      </c>
      <c r="U237" t="str">
        <f>IFERROR(__xludf.DUMMYFUNCTION("""COMPUTED_VALUE"""),"Good")</f>
        <v>Good</v>
      </c>
      <c r="V237" t="str">
        <f>IFERROR(__xludf.DUMMYFUNCTION("""COMPUTED_VALUE"""),"Good")</f>
        <v>Good</v>
      </c>
      <c r="W237" t="str">
        <f>IFERROR(__xludf.DUMMYFUNCTION("""COMPUTED_VALUE"""),"Good")</f>
        <v>Good</v>
      </c>
      <c r="X237" t="str">
        <f>IFERROR(__xludf.DUMMYFUNCTION("""COMPUTED_VALUE"""),"Good")</f>
        <v>Good</v>
      </c>
      <c r="Y237" t="str">
        <f>IFERROR(__xludf.DUMMYFUNCTION("""COMPUTED_VALUE"""),"Good")</f>
        <v>Good</v>
      </c>
      <c r="Z237" t="str">
        <f>IFERROR(__xludf.DUMMYFUNCTION("""COMPUTED_VALUE"""),"Good")</f>
        <v>Good</v>
      </c>
      <c r="AA237" t="str">
        <f>IFERROR(__xludf.DUMMYFUNCTION("""COMPUTED_VALUE"""),"Good")</f>
        <v>Good</v>
      </c>
      <c r="AB237" t="str">
        <f>IFERROR(__xludf.DUMMYFUNCTION("""COMPUTED_VALUE"""),"Good")</f>
        <v>Good</v>
      </c>
      <c r="AC237" t="str">
        <f>IFERROR(__xludf.DUMMYFUNCTION("""COMPUTED_VALUE"""),"Good")</f>
        <v>Good</v>
      </c>
      <c r="AE237" s="11"/>
      <c r="AF237" t="s">
        <v>32</v>
      </c>
      <c r="AG237" s="17" t="s">
        <v>18</v>
      </c>
      <c r="AH237" s="12">
        <v>1220.0</v>
      </c>
      <c r="AI237" s="12" t="s">
        <v>659</v>
      </c>
      <c r="AJ237" s="19" t="s">
        <v>660</v>
      </c>
      <c r="AK237" s="20" t="str">
        <f>HYPERLINK("https://docs.google.com/document/d/1XZEg-gWWPTOj9opQYdpz_9DxyzyU6y5Gp45RZpWYD4Q/edit?usp=drivesdk","James Tomazinis - 1/22/2019 10:15 AM")</f>
        <v>James Tomazinis - 1/22/2019 10:15 AM</v>
      </c>
      <c r="AL237" s="12" t="s">
        <v>661</v>
      </c>
    </row>
    <row r="238">
      <c r="A238" s="10">
        <f>IFERROR(__xludf.DUMMYFUNCTION("""COMPUTED_VALUE"""),43487.33102319444)</f>
        <v>43487.33102</v>
      </c>
      <c r="B238" s="11" t="str">
        <f>IFERROR(__xludf.DUMMYFUNCTION("""COMPUTED_VALUE"""),"Silas Tanner")</f>
        <v>Silas Tanner</v>
      </c>
      <c r="C238" t="str">
        <f>IFERROR(__xludf.DUMMYFUNCTION("""COMPUTED_VALUE"""),"Silas.Tanner@floridadep.gov")</f>
        <v>Silas.Tanner@floridadep.gov</v>
      </c>
      <c r="D238" t="str">
        <f>IFERROR(__xludf.DUMMYFUNCTION("""COMPUTED_VALUE"""),"Research/Nikki")</f>
        <v>Research/Nikki</v>
      </c>
      <c r="E238" t="str">
        <f>IFERROR(__xludf.DUMMYFUNCTION("""COMPUTED_VALUE"""),"Vilano Landing")</f>
        <v>Vilano Landing</v>
      </c>
      <c r="F238" s="13">
        <f>IFERROR(__xludf.DUMMYFUNCTION("""COMPUTED_VALUE"""),0.34027777777737356)</f>
        <v>0.3402777778</v>
      </c>
      <c r="G238" s="14">
        <f>IFERROR(__xludf.DUMMYFUNCTION("""COMPUTED_VALUE"""),43487.0)</f>
        <v>43487</v>
      </c>
      <c r="H238" t="str">
        <f>IFERROR(__xludf.DUMMYFUNCTION("""COMPUTED_VALUE"""),"ICW SWMP sites")</f>
        <v>ICW SWMP sites</v>
      </c>
      <c r="I238" s="15">
        <f>IFERROR(__xludf.DUMMYFUNCTION("""COMPUTED_VALUE"""),0.5416666666678793)</f>
        <v>0.5416666667</v>
      </c>
      <c r="J238" s="16">
        <f>IFERROR(__xludf.DUMMYFUNCTION("""COMPUTED_VALUE"""),43487.5625)</f>
        <v>43487.5625</v>
      </c>
      <c r="K238" t="str">
        <f>IFERROR(__xludf.DUMMYFUNCTION("""COMPUTED_VALUE"""),"23ft Skiff (Bertha) FL7972LJ DEP07613")</f>
        <v>23ft Skiff (Bertha) FL7972LJ DEP07613</v>
      </c>
      <c r="M238" t="str">
        <f>IFERROR(__xludf.DUMMYFUNCTION("""COMPUTED_VALUE"""),"Ford F150 2008 - DEP18041 (SWMP Thing)")</f>
        <v>Ford F150 2008 - DEP18041 (SWMP Thing)</v>
      </c>
      <c r="N238" t="str">
        <f>IFERROR(__xludf.DUMMYFUNCTION("""COMPUTED_VALUE"""),"Nikki Dix, (352) 219-4079, Silas Tanner, (904) 483-8423, Ben Mowbray, (407) 962-8782")</f>
        <v>Nikki Dix, (352) 219-4079, Silas Tanner, (904) 483-8423, Ben Mowbray, (407) 962-8782</v>
      </c>
      <c r="P238" t="str">
        <f>IFERROR(__xludf.DUMMYFUNCTION("""COMPUTED_VALUE"""),"B. Mowbray")</f>
        <v>B. Mowbray</v>
      </c>
      <c r="Q238" t="str">
        <f>IFERROR(__xludf.DUMMYFUNCTION("""COMPUTED_VALUE"""),"Good")</f>
        <v>Good</v>
      </c>
      <c r="R238" t="str">
        <f>IFERROR(__xludf.DUMMYFUNCTION("""COMPUTED_VALUE"""),"Good")</f>
        <v>Good</v>
      </c>
      <c r="S238" t="str">
        <f>IFERROR(__xludf.DUMMYFUNCTION("""COMPUTED_VALUE"""),"Good")</f>
        <v>Good</v>
      </c>
      <c r="T238" t="str">
        <f>IFERROR(__xludf.DUMMYFUNCTION("""COMPUTED_VALUE"""),"Good")</f>
        <v>Good</v>
      </c>
      <c r="U238" t="str">
        <f>IFERROR(__xludf.DUMMYFUNCTION("""COMPUTED_VALUE"""),"Good")</f>
        <v>Good</v>
      </c>
      <c r="V238" t="str">
        <f>IFERROR(__xludf.DUMMYFUNCTION("""COMPUTED_VALUE"""),"Good")</f>
        <v>Good</v>
      </c>
      <c r="W238" t="str">
        <f>IFERROR(__xludf.DUMMYFUNCTION("""COMPUTED_VALUE"""),"Good")</f>
        <v>Good</v>
      </c>
      <c r="X238" t="str">
        <f>IFERROR(__xludf.DUMMYFUNCTION("""COMPUTED_VALUE"""),"Good")</f>
        <v>Good</v>
      </c>
      <c r="Y238" t="str">
        <f>IFERROR(__xludf.DUMMYFUNCTION("""COMPUTED_VALUE"""),"Good")</f>
        <v>Good</v>
      </c>
      <c r="Z238" t="str">
        <f>IFERROR(__xludf.DUMMYFUNCTION("""COMPUTED_VALUE"""),"Good")</f>
        <v>Good</v>
      </c>
      <c r="AA238" t="str">
        <f>IFERROR(__xludf.DUMMYFUNCTION("""COMPUTED_VALUE"""),"Good")</f>
        <v>Good</v>
      </c>
      <c r="AB238" t="str">
        <f>IFERROR(__xludf.DUMMYFUNCTION("""COMPUTED_VALUE"""),"Good")</f>
        <v>Good</v>
      </c>
      <c r="AC238" t="str">
        <f>IFERROR(__xludf.DUMMYFUNCTION("""COMPUTED_VALUE"""),"Good")</f>
        <v>Good</v>
      </c>
      <c r="AE238" s="11"/>
      <c r="AF238" t="s">
        <v>218</v>
      </c>
      <c r="AG238" s="17" t="s">
        <v>18</v>
      </c>
      <c r="AH238" s="12">
        <v>1305.0</v>
      </c>
      <c r="AI238" s="12" t="s">
        <v>662</v>
      </c>
      <c r="AJ238" s="19" t="s">
        <v>663</v>
      </c>
      <c r="AK238" s="20" t="str">
        <f>HYPERLINK("https://docs.google.com/document/d/14k-y4LM7_8qVmY3d7q2kykDV05hX-vJ64NitEnXnQnc/edit?usp=drivesdk","Silas Tanner - 1/22/2019 8:10 AM")</f>
        <v>Silas Tanner - 1/22/2019 8:10 AM</v>
      </c>
      <c r="AL238" s="12" t="s">
        <v>664</v>
      </c>
    </row>
    <row r="239">
      <c r="A239" s="10">
        <f>IFERROR(__xludf.DUMMYFUNCTION("""COMPUTED_VALUE"""),43488.36185114583)</f>
        <v>43488.36185</v>
      </c>
      <c r="B239" s="11" t="str">
        <f>IFERROR(__xludf.DUMMYFUNCTION("""COMPUTED_VALUE"""),"james tomazinis")</f>
        <v>james tomazinis</v>
      </c>
      <c r="C239" t="str">
        <f>IFERROR(__xludf.DUMMYFUNCTION("""COMPUTED_VALUE"""),"james.tomazinis@dep.state.fl.us")</f>
        <v>james.tomazinis@dep.state.fl.us</v>
      </c>
      <c r="D239" t="str">
        <f>IFERROR(__xludf.DUMMYFUNCTION("""COMPUTED_VALUE"""),"Stewardship (Aquatic)")</f>
        <v>Stewardship (Aquatic)</v>
      </c>
      <c r="E239" t="str">
        <f>IFERROR(__xludf.DUMMYFUNCTION("""COMPUTED_VALUE"""),"Vilano")</f>
        <v>Vilano</v>
      </c>
      <c r="F239" s="13">
        <f>IFERROR(__xludf.DUMMYFUNCTION("""COMPUTED_VALUE"""),0.375)</f>
        <v>0.375</v>
      </c>
      <c r="G239" s="14">
        <f>IFERROR(__xludf.DUMMYFUNCTION("""COMPUTED_VALUE"""),43488.0)</f>
        <v>43488</v>
      </c>
      <c r="H239" t="str">
        <f>IFERROR(__xludf.DUMMYFUNCTION("""COMPUTED_VALUE"""),"Matanzas river nekton sites")</f>
        <v>Matanzas river nekton sites</v>
      </c>
      <c r="I239" s="15">
        <f>IFERROR(__xludf.DUMMYFUNCTION("""COMPUTED_VALUE"""),0.1875)</f>
        <v>0.1875</v>
      </c>
      <c r="J239" s="16"/>
      <c r="K239" t="str">
        <f>IFERROR(__xludf.DUMMYFUNCTION("""COMPUTED_VALUE"""),"23ft Skiff (Bertha) FL7972LJ DEP07613")</f>
        <v>23ft Skiff (Bertha) FL7972LJ DEP07613</v>
      </c>
      <c r="M239" t="str">
        <f>IFERROR(__xludf.DUMMYFUNCTION("""COMPUTED_VALUE"""),"Ford F150 2008 - DEP18041 (SWMP Thing)")</f>
        <v>Ford F150 2008 - DEP18041 (SWMP Thing)</v>
      </c>
      <c r="N239" t="str">
        <f>IFERROR(__xludf.DUMMYFUNCTION("""COMPUTED_VALUE"""),"Jimmy Tomazinis, (904) 547-0094, Rueben Allen")</f>
        <v>Jimmy Tomazinis, (904) 547-0094, Rueben Allen</v>
      </c>
      <c r="O239" t="str">
        <f>IFERROR(__xludf.DUMMYFUNCTION("""COMPUTED_VALUE"""),"Jeff Finnan, Abi Tabor, Cassie Picard")</f>
        <v>Jeff Finnan, Abi Tabor, Cassie Picard</v>
      </c>
      <c r="P239" t="str">
        <f>IFERROR(__xludf.DUMMYFUNCTION("""COMPUTED_VALUE"""),"Jimmy")</f>
        <v>Jimmy</v>
      </c>
      <c r="Q239" t="str">
        <f>IFERROR(__xludf.DUMMYFUNCTION("""COMPUTED_VALUE"""),"Good")</f>
        <v>Good</v>
      </c>
      <c r="R239" t="str">
        <f>IFERROR(__xludf.DUMMYFUNCTION("""COMPUTED_VALUE"""),"Good")</f>
        <v>Good</v>
      </c>
      <c r="S239" t="str">
        <f>IFERROR(__xludf.DUMMYFUNCTION("""COMPUTED_VALUE"""),"Good")</f>
        <v>Good</v>
      </c>
      <c r="T239" t="str">
        <f>IFERROR(__xludf.DUMMYFUNCTION("""COMPUTED_VALUE"""),"Good")</f>
        <v>Good</v>
      </c>
      <c r="U239" t="str">
        <f>IFERROR(__xludf.DUMMYFUNCTION("""COMPUTED_VALUE"""),"Good")</f>
        <v>Good</v>
      </c>
      <c r="V239" t="str">
        <f>IFERROR(__xludf.DUMMYFUNCTION("""COMPUTED_VALUE"""),"Good")</f>
        <v>Good</v>
      </c>
      <c r="W239" t="str">
        <f>IFERROR(__xludf.DUMMYFUNCTION("""COMPUTED_VALUE"""),"Good")</f>
        <v>Good</v>
      </c>
      <c r="X239" t="str">
        <f>IFERROR(__xludf.DUMMYFUNCTION("""COMPUTED_VALUE"""),"Good")</f>
        <v>Good</v>
      </c>
      <c r="Y239" t="str">
        <f>IFERROR(__xludf.DUMMYFUNCTION("""COMPUTED_VALUE"""),"Good")</f>
        <v>Good</v>
      </c>
      <c r="Z239" t="str">
        <f>IFERROR(__xludf.DUMMYFUNCTION("""COMPUTED_VALUE"""),"Good")</f>
        <v>Good</v>
      </c>
      <c r="AA239" t="str">
        <f>IFERROR(__xludf.DUMMYFUNCTION("""COMPUTED_VALUE"""),"Good")</f>
        <v>Good</v>
      </c>
      <c r="AB239" t="str">
        <f>IFERROR(__xludf.DUMMYFUNCTION("""COMPUTED_VALUE"""),"Good")</f>
        <v>Good</v>
      </c>
      <c r="AC239" t="str">
        <f>IFERROR(__xludf.DUMMYFUNCTION("""COMPUTED_VALUE"""),"Good")</f>
        <v>Good</v>
      </c>
      <c r="AE239" s="11"/>
      <c r="AF239" t="s">
        <v>32</v>
      </c>
      <c r="AG239" s="18"/>
      <c r="AI239" s="12" t="s">
        <v>665</v>
      </c>
      <c r="AJ239" s="19" t="s">
        <v>666</v>
      </c>
      <c r="AK239" s="20" t="str">
        <f>HYPERLINK("https://docs.google.com/document/d/1VxyoSgDSUY1xZ5RK1eus2n0CN5AUTnIlYoMgzyp0JHQ/edit?usp=drivesdk","james tomazinis - 1/23/2019 9:00 AM")</f>
        <v>james tomazinis - 1/23/2019 9:00 AM</v>
      </c>
      <c r="AL239" s="12" t="s">
        <v>667</v>
      </c>
    </row>
    <row r="240">
      <c r="A240" s="10">
        <f>IFERROR(__xludf.DUMMYFUNCTION("""COMPUTED_VALUE"""),43489.41586114584)</f>
        <v>43489.41586</v>
      </c>
      <c r="B240" s="11" t="str">
        <f>IFERROR(__xludf.DUMMYFUNCTION("""COMPUTED_VALUE"""),"Pamela Marcum")</f>
        <v>Pamela Marcum</v>
      </c>
      <c r="C240" t="str">
        <f>IFERROR(__xludf.DUMMYFUNCTION("""COMPUTED_VALUE"""),"pamela.marcum@dep.state.fl.us")</f>
        <v>pamela.marcum@dep.state.fl.us</v>
      </c>
      <c r="D240" t="str">
        <f>IFERROR(__xludf.DUMMYFUNCTION("""COMPUTED_VALUE"""),"Administration")</f>
        <v>Administration</v>
      </c>
      <c r="E240" t="str">
        <f>IFERROR(__xludf.DUMMYFUNCTION("""COMPUTED_VALUE"""),"Faver Dykes")</f>
        <v>Faver Dykes</v>
      </c>
      <c r="F240" s="13">
        <f>IFERROR(__xludf.DUMMYFUNCTION("""COMPUTED_VALUE"""),0.4270833333321207)</f>
        <v>0.4270833333</v>
      </c>
      <c r="G240" s="14">
        <f>IFERROR(__xludf.DUMMYFUNCTION("""COMPUTED_VALUE"""),43489.0)</f>
        <v>43489</v>
      </c>
      <c r="H240" t="str">
        <f>IFERROR(__xludf.DUMMYFUNCTION("""COMPUTED_VALUE"""),"Pellicer Creek")</f>
        <v>Pellicer Creek</v>
      </c>
      <c r="I240" s="15">
        <f>IFERROR(__xludf.DUMMYFUNCTION("""COMPUTED_VALUE"""),0.5208333333321207)</f>
        <v>0.5208333333</v>
      </c>
      <c r="J240" s="16">
        <f>IFERROR(__xludf.DUMMYFUNCTION("""COMPUTED_VALUE"""),43489.5625)</f>
        <v>43489.5625</v>
      </c>
      <c r="K240" t="str">
        <f>IFERROR(__xludf.DUMMYFUNCTION("""COMPUTED_VALUE"""),"F 20ft Sea Ark (Easy 200) FL8534PY DEP21451")</f>
        <v>F 20ft Sea Ark (Easy 200) FL8534PY DEP21451</v>
      </c>
      <c r="M240" t="str">
        <f>IFERROR(__xludf.DUMMYFUNCTION("""COMPUTED_VALUE"""),"Ford F250 2017 (Moby Dix) - DEP0021578")</f>
        <v>Ford F250 2017 (Moby Dix) - DEP0021578</v>
      </c>
      <c r="N240" t="str">
        <f>IFERROR(__xludf.DUMMYFUNCTION("""COMPUTED_VALUE"""),"Nikki Dix, (352) 219-4079, Scott Eastman, (904) 501-9267, Pam Marcum, (480) 332-5414, Ben Mowbray, (407) 962-8782")</f>
        <v>Nikki Dix, (352) 219-4079, Scott Eastman, (904) 501-9267, Pam Marcum, (480) 332-5414, Ben Mowbray, (407) 962-8782</v>
      </c>
      <c r="P240" t="str">
        <f>IFERROR(__xludf.DUMMYFUNCTION("""COMPUTED_VALUE"""),"Ben")</f>
        <v>Ben</v>
      </c>
      <c r="Q240" t="str">
        <f>IFERROR(__xludf.DUMMYFUNCTION("""COMPUTED_VALUE"""),"Good")</f>
        <v>Good</v>
      </c>
      <c r="R240" t="str">
        <f>IFERROR(__xludf.DUMMYFUNCTION("""COMPUTED_VALUE"""),"Good")</f>
        <v>Good</v>
      </c>
      <c r="S240" t="str">
        <f>IFERROR(__xludf.DUMMYFUNCTION("""COMPUTED_VALUE"""),"Good")</f>
        <v>Good</v>
      </c>
      <c r="T240" t="str">
        <f>IFERROR(__xludf.DUMMYFUNCTION("""COMPUTED_VALUE"""),"Good")</f>
        <v>Good</v>
      </c>
      <c r="U240" t="str">
        <f>IFERROR(__xludf.DUMMYFUNCTION("""COMPUTED_VALUE"""),"Good")</f>
        <v>Good</v>
      </c>
      <c r="V240" t="str">
        <f>IFERROR(__xludf.DUMMYFUNCTION("""COMPUTED_VALUE"""),"Good")</f>
        <v>Good</v>
      </c>
      <c r="W240" t="str">
        <f>IFERROR(__xludf.DUMMYFUNCTION("""COMPUTED_VALUE"""),"Good")</f>
        <v>Good</v>
      </c>
      <c r="X240" t="str">
        <f>IFERROR(__xludf.DUMMYFUNCTION("""COMPUTED_VALUE"""),"Good")</f>
        <v>Good</v>
      </c>
      <c r="Y240" t="str">
        <f>IFERROR(__xludf.DUMMYFUNCTION("""COMPUTED_VALUE"""),"Good")</f>
        <v>Good</v>
      </c>
      <c r="Z240" t="str">
        <f>IFERROR(__xludf.DUMMYFUNCTION("""COMPUTED_VALUE"""),"Good")</f>
        <v>Good</v>
      </c>
      <c r="AA240" t="str">
        <f>IFERROR(__xludf.DUMMYFUNCTION("""COMPUTED_VALUE"""),"Good")</f>
        <v>Good</v>
      </c>
      <c r="AB240" t="str">
        <f>IFERROR(__xludf.DUMMYFUNCTION("""COMPUTED_VALUE"""),"Good")</f>
        <v>Good</v>
      </c>
      <c r="AC240" t="str">
        <f>IFERROR(__xludf.DUMMYFUNCTION("""COMPUTED_VALUE"""),"Good")</f>
        <v>Good</v>
      </c>
      <c r="AE240" s="11"/>
      <c r="AF240" t="s">
        <v>668</v>
      </c>
      <c r="AG240" s="17" t="s">
        <v>18</v>
      </c>
      <c r="AH240" s="12">
        <v>1250.0</v>
      </c>
      <c r="AI240" s="12" t="s">
        <v>669</v>
      </c>
      <c r="AJ240" s="19" t="s">
        <v>670</v>
      </c>
      <c r="AK240" s="20" t="str">
        <f>HYPERLINK("https://docs.google.com/document/d/1ySdWIilTOg-yyMQjktbgZWwdRIY5MumEp3vG29GzdsE/edit?usp=drivesdk","Pamela Marcum - 1/24/2019 10:15 AM")</f>
        <v>Pamela Marcum - 1/24/2019 10:15 AM</v>
      </c>
      <c r="AL240" s="12" t="s">
        <v>671</v>
      </c>
    </row>
    <row r="241">
      <c r="A241" s="10">
        <f>IFERROR(__xludf.DUMMYFUNCTION("""COMPUTED_VALUE"""),43496.29303943287)</f>
        <v>43496.29304</v>
      </c>
      <c r="B241" s="11" t="str">
        <f>IFERROR(__xludf.DUMMYFUNCTION("""COMPUTED_VALUE"""),"Ben Mowbray")</f>
        <v>Ben Mowbray</v>
      </c>
      <c r="C241" t="str">
        <f>IFERROR(__xludf.DUMMYFUNCTION("""COMPUTED_VALUE"""),"ben.mowbray@dep.state.fl.us")</f>
        <v>ben.mowbray@dep.state.fl.us</v>
      </c>
      <c r="D241" t="str">
        <f>IFERROR(__xludf.DUMMYFUNCTION("""COMPUTED_VALUE"""),"Research/Shannon")</f>
        <v>Research/Shannon</v>
      </c>
      <c r="E241" t="str">
        <f>IFERROR(__xludf.DUMMYFUNCTION("""COMPUTED_VALUE"""),"Light House, Green Rd., Bing's")</f>
        <v>Light House, Green Rd., Bing's</v>
      </c>
      <c r="F241" s="13">
        <f>IFERROR(__xludf.DUMMYFUNCTION("""COMPUTED_VALUE"""),0.4166666666678793)</f>
        <v>0.4166666667</v>
      </c>
      <c r="G241" s="14">
        <f>IFERROR(__xludf.DUMMYFUNCTION("""COMPUTED_VALUE"""),43486.0)</f>
        <v>43486</v>
      </c>
      <c r="H241" t="str">
        <f>IFERROR(__xludf.DUMMYFUNCTION("""COMPUTED_VALUE"""),"Southern Spat Run")</f>
        <v>Southern Spat Run</v>
      </c>
      <c r="I241" s="15">
        <f>IFERROR(__xludf.DUMMYFUNCTION("""COMPUTED_VALUE"""),0.625)</f>
        <v>0.625</v>
      </c>
      <c r="J241" s="16">
        <f>IFERROR(__xludf.DUMMYFUNCTION("""COMPUTED_VALUE"""),43496.70833333333)</f>
        <v>43496.70833</v>
      </c>
      <c r="K241" t="str">
        <f>IFERROR(__xludf.DUMMYFUNCTION("""COMPUTED_VALUE"""),"23ft Skiff (Bertha) FL7972LJ DEP07613")</f>
        <v>23ft Skiff (Bertha) FL7972LJ DEP07613</v>
      </c>
      <c r="M241" t="str">
        <f>IFERROR(__xludf.DUMMYFUNCTION("""COMPUTED_VALUE"""),"Ford F250 2017 (Moby Dix) - DEP0021578")</f>
        <v>Ford F250 2017 (Moby Dix) - DEP0021578</v>
      </c>
      <c r="N241" t="str">
        <f>IFERROR(__xludf.DUMMYFUNCTION("""COMPUTED_VALUE"""),"Ben Mowbray, (407) 962-8782")</f>
        <v>Ben Mowbray, (407) 962-8782</v>
      </c>
      <c r="O241" t="str">
        <f>IFERROR(__xludf.DUMMYFUNCTION("""COMPUTED_VALUE"""),"Greg Wilson")</f>
        <v>Greg Wilson</v>
      </c>
      <c r="P241" t="str">
        <f>IFERROR(__xludf.DUMMYFUNCTION("""COMPUTED_VALUE"""),"Ben")</f>
        <v>Ben</v>
      </c>
      <c r="Q241" t="str">
        <f>IFERROR(__xludf.DUMMYFUNCTION("""COMPUTED_VALUE"""),"Good")</f>
        <v>Good</v>
      </c>
      <c r="R241" t="str">
        <f>IFERROR(__xludf.DUMMYFUNCTION("""COMPUTED_VALUE"""),"Good")</f>
        <v>Good</v>
      </c>
      <c r="S241" t="str">
        <f>IFERROR(__xludf.DUMMYFUNCTION("""COMPUTED_VALUE"""),"Good")</f>
        <v>Good</v>
      </c>
      <c r="T241" t="str">
        <f>IFERROR(__xludf.DUMMYFUNCTION("""COMPUTED_VALUE"""),"Good")</f>
        <v>Good</v>
      </c>
      <c r="U241" t="str">
        <f>IFERROR(__xludf.DUMMYFUNCTION("""COMPUTED_VALUE"""),"Good")</f>
        <v>Good</v>
      </c>
      <c r="V241" t="str">
        <f>IFERROR(__xludf.DUMMYFUNCTION("""COMPUTED_VALUE"""),"Good")</f>
        <v>Good</v>
      </c>
      <c r="W241" t="str">
        <f>IFERROR(__xludf.DUMMYFUNCTION("""COMPUTED_VALUE"""),"Good")</f>
        <v>Good</v>
      </c>
      <c r="X241" t="str">
        <f>IFERROR(__xludf.DUMMYFUNCTION("""COMPUTED_VALUE"""),"Good")</f>
        <v>Good</v>
      </c>
      <c r="Y241" t="str">
        <f>IFERROR(__xludf.DUMMYFUNCTION("""COMPUTED_VALUE"""),"Good")</f>
        <v>Good</v>
      </c>
      <c r="Z241" t="str">
        <f>IFERROR(__xludf.DUMMYFUNCTION("""COMPUTED_VALUE"""),"Good")</f>
        <v>Good</v>
      </c>
      <c r="AA241" t="str">
        <f>IFERROR(__xludf.DUMMYFUNCTION("""COMPUTED_VALUE"""),"Good")</f>
        <v>Good</v>
      </c>
      <c r="AB241" t="str">
        <f>IFERROR(__xludf.DUMMYFUNCTION("""COMPUTED_VALUE"""),"Good")</f>
        <v>Good</v>
      </c>
      <c r="AC241" t="str">
        <f>IFERROR(__xludf.DUMMYFUNCTION("""COMPUTED_VALUE"""),"Good")</f>
        <v>Good</v>
      </c>
      <c r="AE241" s="11"/>
      <c r="AF241" t="s">
        <v>269</v>
      </c>
      <c r="AG241" s="17" t="s">
        <v>43</v>
      </c>
      <c r="AH241" s="12">
        <v>1700.0</v>
      </c>
      <c r="AI241" s="12" t="s">
        <v>672</v>
      </c>
      <c r="AJ241" s="19" t="s">
        <v>673</v>
      </c>
      <c r="AK241" s="20" t="str">
        <f>HYPERLINK("https://docs.google.com/document/d/1CUCpLehHRWB0zqBa_QILwFpQoJRVitx2XHWrEXyFSLw/edit?usp=drivesdk","Ben Mowbray - 1/21/2019 10:00 AM")</f>
        <v>Ben Mowbray - 1/21/2019 10:00 AM</v>
      </c>
      <c r="AL241" s="12" t="s">
        <v>674</v>
      </c>
    </row>
    <row r="242">
      <c r="A242" s="10">
        <f>IFERROR(__xludf.DUMMYFUNCTION("""COMPUTED_VALUE"""),43496.342288113425)</f>
        <v>43496.34229</v>
      </c>
      <c r="B242" s="11" t="str">
        <f>IFERROR(__xludf.DUMMYFUNCTION("""COMPUTED_VALUE"""),"Pamela Marcum")</f>
        <v>Pamela Marcum</v>
      </c>
      <c r="C242" t="str">
        <f>IFERROR(__xludf.DUMMYFUNCTION("""COMPUTED_VALUE"""),"Pamela.Marcum@dep.state.fl.us")</f>
        <v>Pamela.Marcum@dep.state.fl.us</v>
      </c>
      <c r="D242" t="str">
        <f>IFERROR(__xludf.DUMMYFUNCTION("""COMPUTED_VALUE"""),"Research/Nikki")</f>
        <v>Research/Nikki</v>
      </c>
      <c r="E242" t="str">
        <f>IFERROR(__xludf.DUMMYFUNCTION("""COMPUTED_VALUE"""),"Aunt Kate's")</f>
        <v>Aunt Kate's</v>
      </c>
      <c r="F242" s="13">
        <f>IFERROR(__xludf.DUMMYFUNCTION("""COMPUTED_VALUE"""),0.3854166666678793)</f>
        <v>0.3854166667</v>
      </c>
      <c r="G242" s="14">
        <f>IFERROR(__xludf.DUMMYFUNCTION("""COMPUTED_VALUE"""),43496.0)</f>
        <v>43496</v>
      </c>
      <c r="H242" t="str">
        <f>IFERROR(__xludf.DUMMYFUNCTION("""COMPUTED_VALUE"""),"Matanzas and Tolomato Rivers")</f>
        <v>Matanzas and Tolomato Rivers</v>
      </c>
      <c r="I242" s="15">
        <f>IFERROR(__xludf.DUMMYFUNCTION("""COMPUTED_VALUE"""),0.5833333333321207)</f>
        <v>0.5833333333</v>
      </c>
      <c r="J242" s="16">
        <f>IFERROR(__xludf.DUMMYFUNCTION("""COMPUTED_VALUE"""),43496.60416666667)</f>
        <v>43496.60417</v>
      </c>
      <c r="K242" t="str">
        <f>IFERROR(__xludf.DUMMYFUNCTION("""COMPUTED_VALUE"""),"23ft Skiff (Bertha) FL7972LJ DEP07613")</f>
        <v>23ft Skiff (Bertha) FL7972LJ DEP07613</v>
      </c>
      <c r="M242" t="str">
        <f>IFERROR(__xludf.DUMMYFUNCTION("""COMPUTED_VALUE"""),"Ford F250 2017 (Moby Dix) - DEP0021578")</f>
        <v>Ford F250 2017 (Moby Dix) - DEP0021578</v>
      </c>
      <c r="N242" t="str">
        <f>IFERROR(__xludf.DUMMYFUNCTION("""COMPUTED_VALUE"""),"Pam Marcum, (480) 332-5414")</f>
        <v>Pam Marcum, (480) 332-5414</v>
      </c>
      <c r="O242" t="str">
        <f>IFERROR(__xludf.DUMMYFUNCTION("""COMPUTED_VALUE"""),"Nicole Peckham, Adrienne Breef-Pilz")</f>
        <v>Nicole Peckham, Adrienne Breef-Pilz</v>
      </c>
      <c r="P242" t="str">
        <f>IFERROR(__xludf.DUMMYFUNCTION("""COMPUTED_VALUE"""),"Pam")</f>
        <v>Pam</v>
      </c>
      <c r="Q242" t="str">
        <f>IFERROR(__xludf.DUMMYFUNCTION("""COMPUTED_VALUE"""),"Good")</f>
        <v>Good</v>
      </c>
      <c r="R242" t="str">
        <f>IFERROR(__xludf.DUMMYFUNCTION("""COMPUTED_VALUE"""),"Good")</f>
        <v>Good</v>
      </c>
      <c r="S242" t="str">
        <f>IFERROR(__xludf.DUMMYFUNCTION("""COMPUTED_VALUE"""),"Good")</f>
        <v>Good</v>
      </c>
      <c r="T242" t="str">
        <f>IFERROR(__xludf.DUMMYFUNCTION("""COMPUTED_VALUE"""),"Good")</f>
        <v>Good</v>
      </c>
      <c r="U242" t="str">
        <f>IFERROR(__xludf.DUMMYFUNCTION("""COMPUTED_VALUE"""),"Good")</f>
        <v>Good</v>
      </c>
      <c r="V242" t="str">
        <f>IFERROR(__xludf.DUMMYFUNCTION("""COMPUTED_VALUE"""),"Good")</f>
        <v>Good</v>
      </c>
      <c r="W242" t="str">
        <f>IFERROR(__xludf.DUMMYFUNCTION("""COMPUTED_VALUE"""),"Good")</f>
        <v>Good</v>
      </c>
      <c r="X242" t="str">
        <f>IFERROR(__xludf.DUMMYFUNCTION("""COMPUTED_VALUE"""),"Good")</f>
        <v>Good</v>
      </c>
      <c r="Y242" t="str">
        <f>IFERROR(__xludf.DUMMYFUNCTION("""COMPUTED_VALUE"""),"Good")</f>
        <v>Good</v>
      </c>
      <c r="Z242" t="str">
        <f>IFERROR(__xludf.DUMMYFUNCTION("""COMPUTED_VALUE"""),"Good")</f>
        <v>Good</v>
      </c>
      <c r="AA242" t="str">
        <f>IFERROR(__xludf.DUMMYFUNCTION("""COMPUTED_VALUE"""),"Good")</f>
        <v>Good</v>
      </c>
      <c r="AB242" t="str">
        <f>IFERROR(__xludf.DUMMYFUNCTION("""COMPUTED_VALUE"""),"Good")</f>
        <v>Good</v>
      </c>
      <c r="AC242" t="str">
        <f>IFERROR(__xludf.DUMMYFUNCTION("""COMPUTED_VALUE"""),"Good")</f>
        <v>Good</v>
      </c>
      <c r="AE242" s="11"/>
      <c r="AF242" t="s">
        <v>218</v>
      </c>
      <c r="AG242" s="17" t="s">
        <v>18</v>
      </c>
      <c r="AH242" s="12">
        <v>1435.0</v>
      </c>
      <c r="AI242" s="12" t="s">
        <v>675</v>
      </c>
      <c r="AJ242" s="19" t="s">
        <v>676</v>
      </c>
      <c r="AK242" s="20" t="str">
        <f>HYPERLINK("https://docs.google.com/document/d/1GOBsFESX6f9qZ6TPdcc-u6UgUVmptfCcKPpgKqBe1ww/edit?usp=drivesdk","Pamela Marcum - 1/31/2019 9:15 AM")</f>
        <v>Pamela Marcum - 1/31/2019 9:15 AM</v>
      </c>
      <c r="AL242" s="12" t="s">
        <v>677</v>
      </c>
    </row>
    <row r="243">
      <c r="A243" s="10">
        <f>IFERROR(__xludf.DUMMYFUNCTION("""COMPUTED_VALUE"""),43500.33126575231)</f>
        <v>43500.33127</v>
      </c>
      <c r="B243" s="11" t="str">
        <f>IFERROR(__xludf.DUMMYFUNCTION("""COMPUTED_VALUE"""),"James Tomazinis")</f>
        <v>James Tomazinis</v>
      </c>
      <c r="C243" t="str">
        <f>IFERROR(__xludf.DUMMYFUNCTION("""COMPUTED_VALUE"""),"James.tomazinis@floridadep.gov")</f>
        <v>James.tomazinis@floridadep.gov</v>
      </c>
      <c r="D243" t="str">
        <f>IFERROR(__xludf.DUMMYFUNCTION("""COMPUTED_VALUE"""),"Stewardship (Aquatic)")</f>
        <v>Stewardship (Aquatic)</v>
      </c>
      <c r="E243" t="str">
        <f>IFERROR(__xludf.DUMMYFUNCTION("""COMPUTED_VALUE"""),"Guana Dam")</f>
        <v>Guana Dam</v>
      </c>
      <c r="F243" s="13">
        <f>IFERROR(__xludf.DUMMYFUNCTION("""COMPUTED_VALUE"""),0.3854166666678793)</f>
        <v>0.3854166667</v>
      </c>
      <c r="G243" s="14">
        <f>IFERROR(__xludf.DUMMYFUNCTION("""COMPUTED_VALUE"""),43500.0)</f>
        <v>43500</v>
      </c>
      <c r="H243" t="str">
        <f>IFERROR(__xludf.DUMMYFUNCTION("""COMPUTED_VALUE"""),"Guana River WQ sites")</f>
        <v>Guana River WQ sites</v>
      </c>
      <c r="I243" s="15">
        <f>IFERROR(__xludf.DUMMYFUNCTION("""COMPUTED_VALUE"""),0.45138888889050577)</f>
        <v>0.4513888889</v>
      </c>
      <c r="J243" s="16"/>
      <c r="K243" t="str">
        <f>IFERROR(__xludf.DUMMYFUNCTION("""COMPUTED_VALUE"""),"Jon Boat FL0484NP DEP06819")</f>
        <v>Jon Boat FL0484NP DEP06819</v>
      </c>
      <c r="M243" t="str">
        <f>IFERROR(__xludf.DUMMYFUNCTION("""COMPUTED_VALUE"""),"Ford F150 2015 (White) - DEP21448")</f>
        <v>Ford F150 2015 (White) - DEP21448</v>
      </c>
      <c r="N243" t="str">
        <f>IFERROR(__xludf.DUMMYFUNCTION("""COMPUTED_VALUE"""),"Jimmy Tomazinis, (904) 547-0094, Ben Mowbray, (407) 962-8782")</f>
        <v>Jimmy Tomazinis, (904) 547-0094, Ben Mowbray, (407) 962-8782</v>
      </c>
      <c r="O243" t="str">
        <f>IFERROR(__xludf.DUMMYFUNCTION("""COMPUTED_VALUE"""),"Mark Collins")</f>
        <v>Mark Collins</v>
      </c>
      <c r="P243" t="str">
        <f>IFERROR(__xludf.DUMMYFUNCTION("""COMPUTED_VALUE"""),"Jimmy")</f>
        <v>Jimmy</v>
      </c>
      <c r="Q243" t="str">
        <f>IFERROR(__xludf.DUMMYFUNCTION("""COMPUTED_VALUE"""),"Good")</f>
        <v>Good</v>
      </c>
      <c r="R243" t="str">
        <f>IFERROR(__xludf.DUMMYFUNCTION("""COMPUTED_VALUE"""),"Good")</f>
        <v>Good</v>
      </c>
      <c r="S243" t="str">
        <f>IFERROR(__xludf.DUMMYFUNCTION("""COMPUTED_VALUE"""),"Good")</f>
        <v>Good</v>
      </c>
      <c r="T243" t="str">
        <f>IFERROR(__xludf.DUMMYFUNCTION("""COMPUTED_VALUE"""),"Good")</f>
        <v>Good</v>
      </c>
      <c r="U243" t="str">
        <f>IFERROR(__xludf.DUMMYFUNCTION("""COMPUTED_VALUE"""),"Good")</f>
        <v>Good</v>
      </c>
      <c r="V243" t="str">
        <f>IFERROR(__xludf.DUMMYFUNCTION("""COMPUTED_VALUE"""),"Good")</f>
        <v>Good</v>
      </c>
      <c r="W243" t="str">
        <f>IFERROR(__xludf.DUMMYFUNCTION("""COMPUTED_VALUE"""),"Good")</f>
        <v>Good</v>
      </c>
      <c r="X243" t="str">
        <f>IFERROR(__xludf.DUMMYFUNCTION("""COMPUTED_VALUE"""),"Good")</f>
        <v>Good</v>
      </c>
      <c r="Y243" t="str">
        <f>IFERROR(__xludf.DUMMYFUNCTION("""COMPUTED_VALUE"""),"Good")</f>
        <v>Good</v>
      </c>
      <c r="Z243" t="str">
        <f>IFERROR(__xludf.DUMMYFUNCTION("""COMPUTED_VALUE"""),"Good")</f>
        <v>Good</v>
      </c>
      <c r="AA243" t="str">
        <f>IFERROR(__xludf.DUMMYFUNCTION("""COMPUTED_VALUE"""),"Good")</f>
        <v>Good</v>
      </c>
      <c r="AB243" t="str">
        <f>IFERROR(__xludf.DUMMYFUNCTION("""COMPUTED_VALUE"""),"Good")</f>
        <v>Good</v>
      </c>
      <c r="AC243" t="str">
        <f>IFERROR(__xludf.DUMMYFUNCTION("""COMPUTED_VALUE"""),"Good")</f>
        <v>Good</v>
      </c>
      <c r="AE243" s="11"/>
      <c r="AF243" t="s">
        <v>32</v>
      </c>
      <c r="AG243" s="18"/>
      <c r="AI243" s="12" t="s">
        <v>678</v>
      </c>
      <c r="AJ243" s="19" t="s">
        <v>679</v>
      </c>
      <c r="AK243" s="20" t="str">
        <f>HYPERLINK("https://docs.google.com/document/d/1cLJrO_7vYjsC5Las3DO7HiNkHwUoPLtkT1XEBLKwk2I/edit?usp=drivesdk","James Tomazinis - 2/4/2019 9:15 AM")</f>
        <v>James Tomazinis - 2/4/2019 9:15 AM</v>
      </c>
      <c r="AL243" s="12" t="s">
        <v>680</v>
      </c>
    </row>
    <row r="244">
      <c r="A244" s="10">
        <f>IFERROR(__xludf.DUMMYFUNCTION("""COMPUTED_VALUE"""),43501.325073692125)</f>
        <v>43501.32507</v>
      </c>
      <c r="B244" s="11" t="str">
        <f>IFERROR(__xludf.DUMMYFUNCTION("""COMPUTED_VALUE"""),"Silas Tanner")</f>
        <v>Silas Tanner</v>
      </c>
      <c r="C244" t="str">
        <f>IFERROR(__xludf.DUMMYFUNCTION("""COMPUTED_VALUE"""),"silas.tanner@floridadep.gov")</f>
        <v>silas.tanner@floridadep.gov</v>
      </c>
      <c r="D244" t="str">
        <f>IFERROR(__xludf.DUMMYFUNCTION("""COMPUTED_VALUE"""),"Research/Nikki")</f>
        <v>Research/Nikki</v>
      </c>
      <c r="E244" t="str">
        <f>IFERROR(__xludf.DUMMYFUNCTION("""COMPUTED_VALUE"""),"Vilano Landing")</f>
        <v>Vilano Landing</v>
      </c>
      <c r="F244" s="13">
        <f>IFERROR(__xludf.DUMMYFUNCTION("""COMPUTED_VALUE"""),0.3541666666678793)</f>
        <v>0.3541666667</v>
      </c>
      <c r="G244" s="14">
        <f>IFERROR(__xludf.DUMMYFUNCTION("""COMPUTED_VALUE"""),43501.0)</f>
        <v>43501</v>
      </c>
      <c r="H244" t="str">
        <f>IFERROR(__xludf.DUMMYFUNCTION("""COMPUTED_VALUE"""),"ICW - SWMP sites")</f>
        <v>ICW - SWMP sites</v>
      </c>
      <c r="I244" s="15">
        <f>IFERROR(__xludf.DUMMYFUNCTION("""COMPUTED_VALUE"""),0.5625)</f>
        <v>0.5625</v>
      </c>
      <c r="J244" s="16">
        <f>IFERROR(__xludf.DUMMYFUNCTION("""COMPUTED_VALUE"""),43501.57291666667)</f>
        <v>43501.57292</v>
      </c>
      <c r="K244" t="str">
        <f>IFERROR(__xludf.DUMMYFUNCTION("""COMPUTED_VALUE"""),"23ft Skiff (Bertha) FL7972LJ DEP07613")</f>
        <v>23ft Skiff (Bertha) FL7972LJ DEP07613</v>
      </c>
      <c r="M244" t="str">
        <f>IFERROR(__xludf.DUMMYFUNCTION("""COMPUTED_VALUE"""),"Ford F150 2015 (White) - DEP21448")</f>
        <v>Ford F150 2015 (White) - DEP21448</v>
      </c>
      <c r="N244" t="str">
        <f>IFERROR(__xludf.DUMMYFUNCTION("""COMPUTED_VALUE"""),"Silas Tanner, (904) 483-8423, Ben Mowbray, (407) 962-8782")</f>
        <v>Silas Tanner, (904) 483-8423, Ben Mowbray, (407) 962-8782</v>
      </c>
      <c r="O244" t="str">
        <f>IFERROR(__xludf.DUMMYFUNCTION("""COMPUTED_VALUE"""),"Vincent Mcclure")</f>
        <v>Vincent Mcclure</v>
      </c>
      <c r="P244" t="str">
        <f>IFERROR(__xludf.DUMMYFUNCTION("""COMPUTED_VALUE"""),"S. Tanner")</f>
        <v>S. Tanner</v>
      </c>
      <c r="Q244" t="str">
        <f>IFERROR(__xludf.DUMMYFUNCTION("""COMPUTED_VALUE"""),"Good")</f>
        <v>Good</v>
      </c>
      <c r="R244" t="str">
        <f>IFERROR(__xludf.DUMMYFUNCTION("""COMPUTED_VALUE"""),"Good")</f>
        <v>Good</v>
      </c>
      <c r="S244" t="str">
        <f>IFERROR(__xludf.DUMMYFUNCTION("""COMPUTED_VALUE"""),"Good")</f>
        <v>Good</v>
      </c>
      <c r="T244" t="str">
        <f>IFERROR(__xludf.DUMMYFUNCTION("""COMPUTED_VALUE"""),"Good")</f>
        <v>Good</v>
      </c>
      <c r="U244" t="str">
        <f>IFERROR(__xludf.DUMMYFUNCTION("""COMPUTED_VALUE"""),"Good")</f>
        <v>Good</v>
      </c>
      <c r="V244" t="str">
        <f>IFERROR(__xludf.DUMMYFUNCTION("""COMPUTED_VALUE"""),"Good")</f>
        <v>Good</v>
      </c>
      <c r="W244" t="str">
        <f>IFERROR(__xludf.DUMMYFUNCTION("""COMPUTED_VALUE"""),"Good")</f>
        <v>Good</v>
      </c>
      <c r="X244" t="str">
        <f>IFERROR(__xludf.DUMMYFUNCTION("""COMPUTED_VALUE"""),"Good")</f>
        <v>Good</v>
      </c>
      <c r="Y244" t="str">
        <f>IFERROR(__xludf.DUMMYFUNCTION("""COMPUTED_VALUE"""),"Good")</f>
        <v>Good</v>
      </c>
      <c r="Z244" t="str">
        <f>IFERROR(__xludf.DUMMYFUNCTION("""COMPUTED_VALUE"""),"Good")</f>
        <v>Good</v>
      </c>
      <c r="AA244" t="str">
        <f>IFERROR(__xludf.DUMMYFUNCTION("""COMPUTED_VALUE"""),"Good")</f>
        <v>Good</v>
      </c>
      <c r="AB244" t="str">
        <f>IFERROR(__xludf.DUMMYFUNCTION("""COMPUTED_VALUE"""),"Good")</f>
        <v>Good</v>
      </c>
      <c r="AC244" t="str">
        <f>IFERROR(__xludf.DUMMYFUNCTION("""COMPUTED_VALUE"""),"Good")</f>
        <v>Good</v>
      </c>
      <c r="AE244" s="11"/>
      <c r="AF244" t="s">
        <v>218</v>
      </c>
      <c r="AG244" s="17" t="s">
        <v>18</v>
      </c>
      <c r="AH244" s="12">
        <v>1324.0</v>
      </c>
      <c r="AI244" s="12" t="s">
        <v>681</v>
      </c>
      <c r="AJ244" s="19" t="s">
        <v>682</v>
      </c>
      <c r="AK244" s="20" t="str">
        <f>HYPERLINK("https://docs.google.com/document/d/1fSs9eCOq3hWlcEUsnZCYxYLdt3MBFViSiMNmwpFrbqo/edit?usp=drivesdk","Silas Tanner - 2/5/2019 8:30 AM")</f>
        <v>Silas Tanner - 2/5/2019 8:30 AM</v>
      </c>
      <c r="AL244" s="12" t="s">
        <v>683</v>
      </c>
    </row>
    <row r="245">
      <c r="A245" s="10">
        <f>IFERROR(__xludf.DUMMYFUNCTION("""COMPUTED_VALUE"""),43507.38405261574)</f>
        <v>43507.38405</v>
      </c>
      <c r="B245" s="11" t="str">
        <f>IFERROR(__xludf.DUMMYFUNCTION("""COMPUTED_VALUE"""),"Silas Tanner")</f>
        <v>Silas Tanner</v>
      </c>
      <c r="C245" t="str">
        <f>IFERROR(__xludf.DUMMYFUNCTION("""COMPUTED_VALUE"""),"silas.tanner@floridadep.gov")</f>
        <v>silas.tanner@floridadep.gov</v>
      </c>
      <c r="D245" t="str">
        <f>IFERROR(__xludf.DUMMYFUNCTION("""COMPUTED_VALUE"""),"Research/Pam")</f>
        <v>Research/Pam</v>
      </c>
      <c r="E245" t="str">
        <f>IFERROR(__xludf.DUMMYFUNCTION("""COMPUTED_VALUE"""),"Faver Dykes State Park")</f>
        <v>Faver Dykes State Park</v>
      </c>
      <c r="F245" s="13">
        <f>IFERROR(__xludf.DUMMYFUNCTION("""COMPUTED_VALUE"""),0.4270833333321207)</f>
        <v>0.4270833333</v>
      </c>
      <c r="G245" s="14">
        <f>IFERROR(__xludf.DUMMYFUNCTION("""COMPUTED_VALUE"""),43507.0)</f>
        <v>43507</v>
      </c>
      <c r="H245" t="str">
        <f>IFERROR(__xludf.DUMMYFUNCTION("""COMPUTED_VALUE"""),"Pellicer SWMP platforms")</f>
        <v>Pellicer SWMP platforms</v>
      </c>
      <c r="I245" s="15">
        <f>IFERROR(__xludf.DUMMYFUNCTION("""COMPUTED_VALUE"""),0.5520833333321207)</f>
        <v>0.5520833333</v>
      </c>
      <c r="J245" s="16">
        <f>IFERROR(__xludf.DUMMYFUNCTION("""COMPUTED_VALUE"""),43507.59375)</f>
        <v>43507.59375</v>
      </c>
      <c r="K245" t="str">
        <f>IFERROR(__xludf.DUMMYFUNCTION("""COMPUTED_VALUE"""),"F 20ft Sea Ark (Easy 200) FL8534PY DEP21451")</f>
        <v>F 20ft Sea Ark (Easy 200) FL8534PY DEP21451</v>
      </c>
      <c r="M245" t="str">
        <f>IFERROR(__xludf.DUMMYFUNCTION("""COMPUTED_VALUE"""),"Ford F150 2008 - DEP18041 (SWMP Thing)")</f>
        <v>Ford F150 2008 - DEP18041 (SWMP Thing)</v>
      </c>
      <c r="N245" t="str">
        <f>IFERROR(__xludf.DUMMYFUNCTION("""COMPUTED_VALUE"""),"Silas Tanner, (904) 483-8423, Ben Mowbray, (407) 962-8782")</f>
        <v>Silas Tanner, (904) 483-8423, Ben Mowbray, (407) 962-8782</v>
      </c>
      <c r="P245" t="str">
        <f>IFERROR(__xludf.DUMMYFUNCTION("""COMPUTED_VALUE"""),"Tanner")</f>
        <v>Tanner</v>
      </c>
      <c r="Q245" t="str">
        <f>IFERROR(__xludf.DUMMYFUNCTION("""COMPUTED_VALUE"""),"Good")</f>
        <v>Good</v>
      </c>
      <c r="R245" t="str">
        <f>IFERROR(__xludf.DUMMYFUNCTION("""COMPUTED_VALUE"""),"Good")</f>
        <v>Good</v>
      </c>
      <c r="S245" t="str">
        <f>IFERROR(__xludf.DUMMYFUNCTION("""COMPUTED_VALUE"""),"Good")</f>
        <v>Good</v>
      </c>
      <c r="T245" t="str">
        <f>IFERROR(__xludf.DUMMYFUNCTION("""COMPUTED_VALUE"""),"Good")</f>
        <v>Good</v>
      </c>
      <c r="U245" t="str">
        <f>IFERROR(__xludf.DUMMYFUNCTION("""COMPUTED_VALUE"""),"Good")</f>
        <v>Good</v>
      </c>
      <c r="V245" t="str">
        <f>IFERROR(__xludf.DUMMYFUNCTION("""COMPUTED_VALUE"""),"Good")</f>
        <v>Good</v>
      </c>
      <c r="W245" t="str">
        <f>IFERROR(__xludf.DUMMYFUNCTION("""COMPUTED_VALUE"""),"Good")</f>
        <v>Good</v>
      </c>
      <c r="X245" t="str">
        <f>IFERROR(__xludf.DUMMYFUNCTION("""COMPUTED_VALUE"""),"Good")</f>
        <v>Good</v>
      </c>
      <c r="Y245" t="str">
        <f>IFERROR(__xludf.DUMMYFUNCTION("""COMPUTED_VALUE"""),"Good")</f>
        <v>Good</v>
      </c>
      <c r="Z245" t="str">
        <f>IFERROR(__xludf.DUMMYFUNCTION("""COMPUTED_VALUE"""),"Good")</f>
        <v>Good</v>
      </c>
      <c r="AA245" t="str">
        <f>IFERROR(__xludf.DUMMYFUNCTION("""COMPUTED_VALUE"""),"Good")</f>
        <v>Good</v>
      </c>
      <c r="AB245" t="str">
        <f>IFERROR(__xludf.DUMMYFUNCTION("""COMPUTED_VALUE"""),"Good")</f>
        <v>Good</v>
      </c>
      <c r="AC245" t="str">
        <f>IFERROR(__xludf.DUMMYFUNCTION("""COMPUTED_VALUE"""),"Good")</f>
        <v>Good</v>
      </c>
      <c r="AE245" s="11"/>
      <c r="AF245" t="s">
        <v>262</v>
      </c>
      <c r="AG245" s="17" t="s">
        <v>18</v>
      </c>
      <c r="AH245" s="12">
        <v>1250.0</v>
      </c>
      <c r="AI245" s="12" t="s">
        <v>684</v>
      </c>
      <c r="AJ245" s="19" t="s">
        <v>685</v>
      </c>
      <c r="AK245" s="20" t="str">
        <f>HYPERLINK("https://docs.google.com/document/d/14VlWjsETlFQ2d5qk_szZ5WONt_dxnNxiUZBzsMiNW10/edit?usp=drivesdk","Silas Tanner - 2/11/2019 10:15 AM")</f>
        <v>Silas Tanner - 2/11/2019 10:15 AM</v>
      </c>
      <c r="AL245" s="12" t="s">
        <v>686</v>
      </c>
    </row>
    <row r="246">
      <c r="A246" s="10">
        <f>IFERROR(__xludf.DUMMYFUNCTION("""COMPUTED_VALUE"""),43507.50286516204)</f>
        <v>43507.50287</v>
      </c>
      <c r="B246" s="11" t="str">
        <f>IFERROR(__xludf.DUMMYFUNCTION("""COMPUTED_VALUE"""),"James Tomazinis")</f>
        <v>James Tomazinis</v>
      </c>
      <c r="C246" t="str">
        <f>IFERROR(__xludf.DUMMYFUNCTION("""COMPUTED_VALUE"""),"james.tomazinis@floridadep.gov")</f>
        <v>james.tomazinis@floridadep.gov</v>
      </c>
      <c r="D246" t="str">
        <f>IFERROR(__xludf.DUMMYFUNCTION("""COMPUTED_VALUE"""),"Stewardship (Aquatic)")</f>
        <v>Stewardship (Aquatic)</v>
      </c>
      <c r="E246" t="str">
        <f>IFERROR(__xludf.DUMMYFUNCTION("""COMPUTED_VALUE"""),"Vilano")</f>
        <v>Vilano</v>
      </c>
      <c r="F246" s="13">
        <f>IFERROR(__xludf.DUMMYFUNCTION("""COMPUTED_VALUE"""),0.3854166666678793)</f>
        <v>0.3854166667</v>
      </c>
      <c r="G246" s="14">
        <f>IFERROR(__xludf.DUMMYFUNCTION("""COMPUTED_VALUE"""),43508.0)</f>
        <v>43508</v>
      </c>
      <c r="H246" t="str">
        <f>IFERROR(__xludf.DUMMYFUNCTION("""COMPUTED_VALUE"""),"Tolomato Nekton sites")</f>
        <v>Tolomato Nekton sites</v>
      </c>
      <c r="I246" s="15">
        <f>IFERROR(__xludf.DUMMYFUNCTION("""COMPUTED_VALUE"""),0.6666666666678793)</f>
        <v>0.6666666667</v>
      </c>
      <c r="J246" s="16"/>
      <c r="K246" t="str">
        <f>IFERROR(__xludf.DUMMYFUNCTION("""COMPUTED_VALUE"""),"23ft Skiff (Bertha) FL7972LJ DEP07613")</f>
        <v>23ft Skiff (Bertha) FL7972LJ DEP07613</v>
      </c>
      <c r="M246" t="str">
        <f>IFERROR(__xludf.DUMMYFUNCTION("""COMPUTED_VALUE"""),"Ford F250 2017 (Moby Dix) - DEP0021578")</f>
        <v>Ford F250 2017 (Moby Dix) - DEP0021578</v>
      </c>
      <c r="N246" t="str">
        <f>IFERROR(__xludf.DUMMYFUNCTION("""COMPUTED_VALUE"""),"Jimmy Tomazinis, (904) 547-0094")</f>
        <v>Jimmy Tomazinis, (904) 547-0094</v>
      </c>
      <c r="O246" t="str">
        <f>IFERROR(__xludf.DUMMYFUNCTION("""COMPUTED_VALUE"""),"Jeff Finnan, Chris Kurtz")</f>
        <v>Jeff Finnan, Chris Kurtz</v>
      </c>
      <c r="P246" t="str">
        <f>IFERROR(__xludf.DUMMYFUNCTION("""COMPUTED_VALUE"""),"Jimmy")</f>
        <v>Jimmy</v>
      </c>
      <c r="Q246" t="str">
        <f>IFERROR(__xludf.DUMMYFUNCTION("""COMPUTED_VALUE"""),"Good")</f>
        <v>Good</v>
      </c>
      <c r="R246" t="str">
        <f>IFERROR(__xludf.DUMMYFUNCTION("""COMPUTED_VALUE"""),"Good")</f>
        <v>Good</v>
      </c>
      <c r="S246" t="str">
        <f>IFERROR(__xludf.DUMMYFUNCTION("""COMPUTED_VALUE"""),"Good")</f>
        <v>Good</v>
      </c>
      <c r="T246" t="str">
        <f>IFERROR(__xludf.DUMMYFUNCTION("""COMPUTED_VALUE"""),"Good")</f>
        <v>Good</v>
      </c>
      <c r="U246" t="str">
        <f>IFERROR(__xludf.DUMMYFUNCTION("""COMPUTED_VALUE"""),"Good")</f>
        <v>Good</v>
      </c>
      <c r="V246" t="str">
        <f>IFERROR(__xludf.DUMMYFUNCTION("""COMPUTED_VALUE"""),"Good")</f>
        <v>Good</v>
      </c>
      <c r="W246" t="str">
        <f>IFERROR(__xludf.DUMMYFUNCTION("""COMPUTED_VALUE"""),"Good")</f>
        <v>Good</v>
      </c>
      <c r="X246" t="str">
        <f>IFERROR(__xludf.DUMMYFUNCTION("""COMPUTED_VALUE"""),"Good")</f>
        <v>Good</v>
      </c>
      <c r="Y246" t="str">
        <f>IFERROR(__xludf.DUMMYFUNCTION("""COMPUTED_VALUE"""),"Good")</f>
        <v>Good</v>
      </c>
      <c r="Z246" t="str">
        <f>IFERROR(__xludf.DUMMYFUNCTION("""COMPUTED_VALUE"""),"Good")</f>
        <v>Good</v>
      </c>
      <c r="AA246" t="str">
        <f>IFERROR(__xludf.DUMMYFUNCTION("""COMPUTED_VALUE"""),"Good")</f>
        <v>Good</v>
      </c>
      <c r="AB246" t="str">
        <f>IFERROR(__xludf.DUMMYFUNCTION("""COMPUTED_VALUE"""),"Good")</f>
        <v>Good</v>
      </c>
      <c r="AC246" t="str">
        <f>IFERROR(__xludf.DUMMYFUNCTION("""COMPUTED_VALUE"""),"Good")</f>
        <v>Good</v>
      </c>
      <c r="AE246" s="11"/>
      <c r="AF246" t="s">
        <v>32</v>
      </c>
      <c r="AG246" s="18"/>
      <c r="AI246" s="12" t="s">
        <v>687</v>
      </c>
      <c r="AJ246" s="19" t="s">
        <v>688</v>
      </c>
      <c r="AK246" s="20" t="str">
        <f>HYPERLINK("https://docs.google.com/document/d/1Vt0pUicYELfU8R8zAnYq1oBkEo08TQq0YR1IqW-z6do/edit?usp=drivesdk","James Tomazinis - 2/12/2019 9:15 AM")</f>
        <v>James Tomazinis - 2/12/2019 9:15 AM</v>
      </c>
      <c r="AL246" s="12" t="s">
        <v>689</v>
      </c>
    </row>
    <row r="247">
      <c r="A247" s="10">
        <f>IFERROR(__xludf.DUMMYFUNCTION("""COMPUTED_VALUE"""),43507.624370902784)</f>
        <v>43507.62437</v>
      </c>
      <c r="B247" s="11" t="str">
        <f>IFERROR(__xludf.DUMMYFUNCTION("""COMPUTED_VALUE"""),"Pam Marcu.")</f>
        <v>Pam Marcu.</v>
      </c>
      <c r="C247" t="str">
        <f>IFERROR(__xludf.DUMMYFUNCTION("""COMPUTED_VALUE"""),"Pamela.Marcum@floridadep.gov")</f>
        <v>Pamela.Marcum@floridadep.gov</v>
      </c>
      <c r="D247" t="str">
        <f>IFERROR(__xludf.DUMMYFUNCTION("""COMPUTED_VALUE"""),"Research/Nikki")</f>
        <v>Research/Nikki</v>
      </c>
      <c r="E247" t="str">
        <f>IFERROR(__xludf.DUMMYFUNCTION("""COMPUTED_VALUE"""),"Whitney Lab")</f>
        <v>Whitney Lab</v>
      </c>
      <c r="F247" s="13">
        <f>IFERROR(__xludf.DUMMYFUNCTION("""COMPUTED_VALUE"""),0.625)</f>
        <v>0.625</v>
      </c>
      <c r="G247" s="14">
        <f>IFERROR(__xludf.DUMMYFUNCTION("""COMPUTED_VALUE"""),43507.0)</f>
        <v>43507</v>
      </c>
      <c r="H247" t="str">
        <f>IFERROR(__xludf.DUMMYFUNCTION("""COMPUTED_VALUE"""),"Matanzas River")</f>
        <v>Matanzas River</v>
      </c>
      <c r="I247" s="15">
        <f>IFERROR(__xludf.DUMMYFUNCTION("""COMPUTED_VALUE"""),0.6875)</f>
        <v>0.6875</v>
      </c>
      <c r="J247" s="16">
        <f>IFERROR(__xludf.DUMMYFUNCTION("""COMPUTED_VALUE"""),43507.72916666667)</f>
        <v>43507.72917</v>
      </c>
      <c r="K247" t="str">
        <f>IFERROR(__xludf.DUMMYFUNCTION("""COMPUTED_VALUE"""),"23ft Skiff (Bertha) FL7972LJ DEP07613")</f>
        <v>23ft Skiff (Bertha) FL7972LJ DEP07613</v>
      </c>
      <c r="M247" t="str">
        <f>IFERROR(__xludf.DUMMYFUNCTION("""COMPUTED_VALUE"""),"Ford F250 2017 (Moby Dix) - DEP0021578")</f>
        <v>Ford F250 2017 (Moby Dix) - DEP0021578</v>
      </c>
      <c r="N247" t="str">
        <f>IFERROR(__xludf.DUMMYFUNCTION("""COMPUTED_VALUE"""),"Pam Marcum, (480) 332-5414")</f>
        <v>Pam Marcum, (480) 332-5414</v>
      </c>
      <c r="O247" t="str">
        <f>IFERROR(__xludf.DUMMYFUNCTION("""COMPUTED_VALUE"""),"Emma Hanson")</f>
        <v>Emma Hanson</v>
      </c>
      <c r="P247" t="str">
        <f>IFERROR(__xludf.DUMMYFUNCTION("""COMPUTED_VALUE"""),"Pam")</f>
        <v>Pam</v>
      </c>
      <c r="Q247" t="str">
        <f>IFERROR(__xludf.DUMMYFUNCTION("""COMPUTED_VALUE"""),"Good")</f>
        <v>Good</v>
      </c>
      <c r="R247" t="str">
        <f>IFERROR(__xludf.DUMMYFUNCTION("""COMPUTED_VALUE"""),"Good")</f>
        <v>Good</v>
      </c>
      <c r="S247" t="str">
        <f>IFERROR(__xludf.DUMMYFUNCTION("""COMPUTED_VALUE"""),"Good")</f>
        <v>Good</v>
      </c>
      <c r="T247" t="str">
        <f>IFERROR(__xludf.DUMMYFUNCTION("""COMPUTED_VALUE"""),"Good")</f>
        <v>Good</v>
      </c>
      <c r="U247" t="str">
        <f>IFERROR(__xludf.DUMMYFUNCTION("""COMPUTED_VALUE"""),"Good")</f>
        <v>Good</v>
      </c>
      <c r="V247" t="str">
        <f>IFERROR(__xludf.DUMMYFUNCTION("""COMPUTED_VALUE"""),"Good")</f>
        <v>Good</v>
      </c>
      <c r="W247" t="str">
        <f>IFERROR(__xludf.DUMMYFUNCTION("""COMPUTED_VALUE"""),"Good")</f>
        <v>Good</v>
      </c>
      <c r="X247" t="str">
        <f>IFERROR(__xludf.DUMMYFUNCTION("""COMPUTED_VALUE"""),"Good")</f>
        <v>Good</v>
      </c>
      <c r="Y247" t="str">
        <f>IFERROR(__xludf.DUMMYFUNCTION("""COMPUTED_VALUE"""),"Good")</f>
        <v>Good</v>
      </c>
      <c r="Z247" t="str">
        <f>IFERROR(__xludf.DUMMYFUNCTION("""COMPUTED_VALUE"""),"Good")</f>
        <v>Good</v>
      </c>
      <c r="AA247" t="str">
        <f>IFERROR(__xludf.DUMMYFUNCTION("""COMPUTED_VALUE"""),"Good")</f>
        <v>Good</v>
      </c>
      <c r="AB247" t="str">
        <f>IFERROR(__xludf.DUMMYFUNCTION("""COMPUTED_VALUE"""),"Good")</f>
        <v>Good</v>
      </c>
      <c r="AC247" t="str">
        <f>IFERROR(__xludf.DUMMYFUNCTION("""COMPUTED_VALUE"""),"Good")</f>
        <v>Good</v>
      </c>
      <c r="AE247" s="11"/>
      <c r="AF247" t="s">
        <v>218</v>
      </c>
      <c r="AG247" s="17" t="s">
        <v>43</v>
      </c>
      <c r="AH247" s="12">
        <v>1640.0</v>
      </c>
      <c r="AI247" s="12" t="s">
        <v>690</v>
      </c>
      <c r="AJ247" s="19" t="s">
        <v>691</v>
      </c>
      <c r="AK247" s="20" t="str">
        <f>HYPERLINK("https://docs.google.com/document/d/1R42heGi2q08QFfpu_TBe529dTzIeq4zdK5DrHcNnHbY/edit?usp=drivesdk","Pam Marcu. - 2/11/2019 3:00 PM")</f>
        <v>Pam Marcu. - 2/11/2019 3:00 PM</v>
      </c>
      <c r="AL247" s="12" t="s">
        <v>692</v>
      </c>
    </row>
    <row r="248">
      <c r="A248" s="10">
        <f>IFERROR(__xludf.DUMMYFUNCTION("""COMPUTED_VALUE"""),43508.30534337963)</f>
        <v>43508.30534</v>
      </c>
      <c r="B248" s="11" t="str">
        <f>IFERROR(__xludf.DUMMYFUNCTION("""COMPUTED_VALUE"""),"Ben Mowbray")</f>
        <v>Ben Mowbray</v>
      </c>
      <c r="C248" t="str">
        <f>IFERROR(__xludf.DUMMYFUNCTION("""COMPUTED_VALUE"""),"ben.mowbray@dep.state.fl.us")</f>
        <v>ben.mowbray@dep.state.fl.us</v>
      </c>
      <c r="D248" t="str">
        <f>IFERROR(__xludf.DUMMYFUNCTION("""COMPUTED_VALUE"""),"Research/Pam")</f>
        <v>Research/Pam</v>
      </c>
      <c r="E248" t="str">
        <f>IFERROR(__xludf.DUMMYFUNCTION("""COMPUTED_VALUE"""),"Douglas Crane")</f>
        <v>Douglas Crane</v>
      </c>
      <c r="F248" s="13">
        <f>IFERROR(__xludf.DUMMYFUNCTION("""COMPUTED_VALUE"""),0.3229166666678793)</f>
        <v>0.3229166667</v>
      </c>
      <c r="G248" s="14">
        <f>IFERROR(__xludf.DUMMYFUNCTION("""COMPUTED_VALUE"""),43508.0)</f>
        <v>43508</v>
      </c>
      <c r="H248" t="str">
        <f>IFERROR(__xludf.DUMMYFUNCTION("""COMPUTED_VALUE"""),"Jason Creek Marsh Monitoring Platforms")</f>
        <v>Jason Creek Marsh Monitoring Platforms</v>
      </c>
      <c r="I248" s="15">
        <f>IFERROR(__xludf.DUMMYFUNCTION("""COMPUTED_VALUE"""),0.5)</f>
        <v>0.5</v>
      </c>
      <c r="J248" s="16">
        <f>IFERROR(__xludf.DUMMYFUNCTION("""COMPUTED_VALUE"""),43508.54166666667)</f>
        <v>43508.54167</v>
      </c>
      <c r="K248" t="str">
        <f>IFERROR(__xludf.DUMMYFUNCTION("""COMPUTED_VALUE"""),"17ft Skill FL0642GW DEP07239")</f>
        <v>17ft Skill FL0642GW DEP07239</v>
      </c>
      <c r="M248" t="str">
        <f>IFERROR(__xludf.DUMMYFUNCTION("""COMPUTED_VALUE"""),"Ford F150 2008 - DEP18041 (SWMP Thing)")</f>
        <v>Ford F150 2008 - DEP18041 (SWMP Thing)</v>
      </c>
      <c r="N248" t="str">
        <f>IFERROR(__xludf.DUMMYFUNCTION("""COMPUTED_VALUE"""),"Silas Tanner, (904) 483-8423, Ben Mowbray, (407) 962-8782")</f>
        <v>Silas Tanner, (904) 483-8423, Ben Mowbray, (407) 962-8782</v>
      </c>
      <c r="P248" t="str">
        <f>IFERROR(__xludf.DUMMYFUNCTION("""COMPUTED_VALUE"""),"Silas")</f>
        <v>Silas</v>
      </c>
      <c r="Q248" t="str">
        <f>IFERROR(__xludf.DUMMYFUNCTION("""COMPUTED_VALUE"""),"Good")</f>
        <v>Good</v>
      </c>
      <c r="R248" t="str">
        <f>IFERROR(__xludf.DUMMYFUNCTION("""COMPUTED_VALUE"""),"Good")</f>
        <v>Good</v>
      </c>
      <c r="S248" t="str">
        <f>IFERROR(__xludf.DUMMYFUNCTION("""COMPUTED_VALUE"""),"Good")</f>
        <v>Good</v>
      </c>
      <c r="T248" t="str">
        <f>IFERROR(__xludf.DUMMYFUNCTION("""COMPUTED_VALUE"""),"Good")</f>
        <v>Good</v>
      </c>
      <c r="U248" t="str">
        <f>IFERROR(__xludf.DUMMYFUNCTION("""COMPUTED_VALUE"""),"Good")</f>
        <v>Good</v>
      </c>
      <c r="V248" t="str">
        <f>IFERROR(__xludf.DUMMYFUNCTION("""COMPUTED_VALUE"""),"Good")</f>
        <v>Good</v>
      </c>
      <c r="W248" t="str">
        <f>IFERROR(__xludf.DUMMYFUNCTION("""COMPUTED_VALUE"""),"Good")</f>
        <v>Good</v>
      </c>
      <c r="X248" t="str">
        <f>IFERROR(__xludf.DUMMYFUNCTION("""COMPUTED_VALUE"""),"Good")</f>
        <v>Good</v>
      </c>
      <c r="Y248" t="str">
        <f>IFERROR(__xludf.DUMMYFUNCTION("""COMPUTED_VALUE"""),"Good")</f>
        <v>Good</v>
      </c>
      <c r="Z248" t="str">
        <f>IFERROR(__xludf.DUMMYFUNCTION("""COMPUTED_VALUE"""),"Good")</f>
        <v>Good</v>
      </c>
      <c r="AA248" t="str">
        <f>IFERROR(__xludf.DUMMYFUNCTION("""COMPUTED_VALUE"""),"Good")</f>
        <v>Good</v>
      </c>
      <c r="AB248" t="str">
        <f>IFERROR(__xludf.DUMMYFUNCTION("""COMPUTED_VALUE"""),"Good")</f>
        <v>Good</v>
      </c>
      <c r="AC248" t="str">
        <f>IFERROR(__xludf.DUMMYFUNCTION("""COMPUTED_VALUE"""),"Good")</f>
        <v>Good</v>
      </c>
      <c r="AE248" s="11"/>
      <c r="AF248" t="s">
        <v>262</v>
      </c>
      <c r="AG248" s="17" t="s">
        <v>18</v>
      </c>
      <c r="AH248" s="12">
        <v>1040.0</v>
      </c>
      <c r="AI248" s="12" t="s">
        <v>693</v>
      </c>
      <c r="AJ248" s="19" t="s">
        <v>694</v>
      </c>
      <c r="AK248" s="20" t="str">
        <f>HYPERLINK("https://docs.google.com/document/d/1itUqLCg4quoRnKKQPLsV-rj3IX1_eBmEhbjlCHZeqlc/edit?usp=drivesdk","Ben Mowbray - 2/12/2019 7:45 AM")</f>
        <v>Ben Mowbray - 2/12/2019 7:45 AM</v>
      </c>
      <c r="AL248" s="12" t="s">
        <v>695</v>
      </c>
    </row>
    <row r="249">
      <c r="A249" s="10">
        <f>IFERROR(__xludf.DUMMYFUNCTION("""COMPUTED_VALUE"""),43509.36711243056)</f>
        <v>43509.36711</v>
      </c>
      <c r="B249" s="11" t="str">
        <f>IFERROR(__xludf.DUMMYFUNCTION("""COMPUTED_VALUE"""),"Silas Tanner")</f>
        <v>Silas Tanner</v>
      </c>
      <c r="C249" t="str">
        <f>IFERROR(__xludf.DUMMYFUNCTION("""COMPUTED_VALUE"""),"silas.tanner@floridadep.gov")</f>
        <v>silas.tanner@floridadep.gov</v>
      </c>
      <c r="D249" t="str">
        <f>IFERROR(__xludf.DUMMYFUNCTION("""COMPUTED_VALUE"""),"Research/Nikki")</f>
        <v>Research/Nikki</v>
      </c>
      <c r="E249" t="str">
        <f>IFERROR(__xludf.DUMMYFUNCTION("""COMPUTED_VALUE"""),"Palm Valley ramp")</f>
        <v>Palm Valley ramp</v>
      </c>
      <c r="F249" s="13">
        <f>IFERROR(__xludf.DUMMYFUNCTION("""COMPUTED_VALUE"""),0.40625)</f>
        <v>0.40625</v>
      </c>
      <c r="G249" s="14">
        <f>IFERROR(__xludf.DUMMYFUNCTION("""COMPUTED_VALUE"""),43509.0)</f>
        <v>43509</v>
      </c>
      <c r="H249" t="str">
        <f>IFERROR(__xludf.DUMMYFUNCTION("""COMPUTED_VALUE"""),"ICW - Pine Island marsh platforms")</f>
        <v>ICW - Pine Island marsh platforms</v>
      </c>
      <c r="I249" s="15">
        <f>IFERROR(__xludf.DUMMYFUNCTION("""COMPUTED_VALUE"""),0.625)</f>
        <v>0.625</v>
      </c>
      <c r="J249" s="16">
        <f>IFERROR(__xludf.DUMMYFUNCTION("""COMPUTED_VALUE"""),43509.65625)</f>
        <v>43509.65625</v>
      </c>
      <c r="K249" t="str">
        <f>IFERROR(__xludf.DUMMYFUNCTION("""COMPUTED_VALUE"""),"F 20ft Sea Ark (Easy 200) FL8534PY DEP21451")</f>
        <v>F 20ft Sea Ark (Easy 200) FL8534PY DEP21451</v>
      </c>
      <c r="M249" t="str">
        <f>IFERROR(__xludf.DUMMYFUNCTION("""COMPUTED_VALUE"""),"Ford F150 2008 - DEP18041 (SWMP Thing)")</f>
        <v>Ford F150 2008 - DEP18041 (SWMP Thing)</v>
      </c>
      <c r="N249" t="str">
        <f>IFERROR(__xludf.DUMMYFUNCTION("""COMPUTED_VALUE"""),"Silas Tanner, (904) 483-8423, Ben Mowbray, (407) 962-8782")</f>
        <v>Silas Tanner, (904) 483-8423, Ben Mowbray, (407) 962-8782</v>
      </c>
      <c r="P249" t="str">
        <f>IFERROR(__xludf.DUMMYFUNCTION("""COMPUTED_VALUE"""),"S. Tanner")</f>
        <v>S. Tanner</v>
      </c>
      <c r="Q249" t="str">
        <f>IFERROR(__xludf.DUMMYFUNCTION("""COMPUTED_VALUE"""),"Good")</f>
        <v>Good</v>
      </c>
      <c r="R249" t="str">
        <f>IFERROR(__xludf.DUMMYFUNCTION("""COMPUTED_VALUE"""),"Good")</f>
        <v>Good</v>
      </c>
      <c r="S249" t="str">
        <f>IFERROR(__xludf.DUMMYFUNCTION("""COMPUTED_VALUE"""),"Good")</f>
        <v>Good</v>
      </c>
      <c r="T249" t="str">
        <f>IFERROR(__xludf.DUMMYFUNCTION("""COMPUTED_VALUE"""),"Good")</f>
        <v>Good</v>
      </c>
      <c r="U249" t="str">
        <f>IFERROR(__xludf.DUMMYFUNCTION("""COMPUTED_VALUE"""),"Good")</f>
        <v>Good</v>
      </c>
      <c r="V249" t="str">
        <f>IFERROR(__xludf.DUMMYFUNCTION("""COMPUTED_VALUE"""),"Good")</f>
        <v>Good</v>
      </c>
      <c r="W249" t="str">
        <f>IFERROR(__xludf.DUMMYFUNCTION("""COMPUTED_VALUE"""),"Good")</f>
        <v>Good</v>
      </c>
      <c r="X249" t="str">
        <f>IFERROR(__xludf.DUMMYFUNCTION("""COMPUTED_VALUE"""),"Good")</f>
        <v>Good</v>
      </c>
      <c r="Y249" t="str">
        <f>IFERROR(__xludf.DUMMYFUNCTION("""COMPUTED_VALUE"""),"Good")</f>
        <v>Good</v>
      </c>
      <c r="Z249" t="str">
        <f>IFERROR(__xludf.DUMMYFUNCTION("""COMPUTED_VALUE"""),"Good")</f>
        <v>Good</v>
      </c>
      <c r="AA249" t="str">
        <f>IFERROR(__xludf.DUMMYFUNCTION("""COMPUTED_VALUE"""),"Good")</f>
        <v>Good</v>
      </c>
      <c r="AB249" t="str">
        <f>IFERROR(__xludf.DUMMYFUNCTION("""COMPUTED_VALUE"""),"Good")</f>
        <v>Good</v>
      </c>
      <c r="AC249" t="str">
        <f>IFERROR(__xludf.DUMMYFUNCTION("""COMPUTED_VALUE"""),"Good")</f>
        <v>Good</v>
      </c>
      <c r="AE249" s="11"/>
      <c r="AF249" t="s">
        <v>218</v>
      </c>
      <c r="AG249" s="17" t="s">
        <v>18</v>
      </c>
      <c r="AH249" s="12">
        <v>1020.0</v>
      </c>
      <c r="AI249" s="12" t="s">
        <v>696</v>
      </c>
      <c r="AJ249" s="19" t="s">
        <v>697</v>
      </c>
      <c r="AK249" s="20" t="str">
        <f>HYPERLINK("https://docs.google.com/document/d/1bAeE-YdJ3DaWyl_d93o31dCFP2fpmOBW8VVlRCpTtr8/edit?usp=drivesdk","Silas Tanner - 2/13/2019 9:45 AM")</f>
        <v>Silas Tanner - 2/13/2019 9:45 AM</v>
      </c>
      <c r="AL249" s="12" t="s">
        <v>698</v>
      </c>
    </row>
    <row r="250">
      <c r="A250" s="10">
        <f>IFERROR(__xludf.DUMMYFUNCTION("""COMPUTED_VALUE"""),43510.369321875005)</f>
        <v>43510.36932</v>
      </c>
      <c r="B250" s="11" t="str">
        <f>IFERROR(__xludf.DUMMYFUNCTION("""COMPUTED_VALUE"""),"Silas Tanner")</f>
        <v>Silas Tanner</v>
      </c>
      <c r="C250" t="str">
        <f>IFERROR(__xludf.DUMMYFUNCTION("""COMPUTED_VALUE"""),"silas.tanner@floridadep.gov")</f>
        <v>silas.tanner@floridadep.gov</v>
      </c>
      <c r="D250" t="str">
        <f>IFERROR(__xludf.DUMMYFUNCTION("""COMPUTED_VALUE"""),"Research/Nikki")</f>
        <v>Research/Nikki</v>
      </c>
      <c r="E250" t="str">
        <f>IFERROR(__xludf.DUMMYFUNCTION("""COMPUTED_VALUE"""),"Palm Valley")</f>
        <v>Palm Valley</v>
      </c>
      <c r="F250" s="13">
        <f>IFERROR(__xludf.DUMMYFUNCTION("""COMPUTED_VALUE"""),0.3854166666678793)</f>
        <v>0.3854166667</v>
      </c>
      <c r="G250" s="14">
        <f>IFERROR(__xludf.DUMMYFUNCTION("""COMPUTED_VALUE"""),43510.0)</f>
        <v>43510</v>
      </c>
      <c r="H250" t="str">
        <f>IFERROR(__xludf.DUMMYFUNCTION("""COMPUTED_VALUE"""),"ICW Pine Island marsh monitoring platforms")</f>
        <v>ICW Pine Island marsh monitoring platforms</v>
      </c>
      <c r="I250" s="15">
        <f>IFERROR(__xludf.DUMMYFUNCTION("""COMPUTED_VALUE"""),0.625)</f>
        <v>0.625</v>
      </c>
      <c r="J250" s="16">
        <f>IFERROR(__xludf.DUMMYFUNCTION("""COMPUTED_VALUE"""),43510.63541666667)</f>
        <v>43510.63542</v>
      </c>
      <c r="K250" t="str">
        <f>IFERROR(__xludf.DUMMYFUNCTION("""COMPUTED_VALUE"""),"F 20ft Sea Ark (Easy 200) FL8534PY DEP21451")</f>
        <v>F 20ft Sea Ark (Easy 200) FL8534PY DEP21451</v>
      </c>
      <c r="M250" t="str">
        <f>IFERROR(__xludf.DUMMYFUNCTION("""COMPUTED_VALUE"""),"Ford F250 2017 (Moby Dix) - DEP0021578")</f>
        <v>Ford F250 2017 (Moby Dix) - DEP0021578</v>
      </c>
      <c r="N250" t="str">
        <f>IFERROR(__xludf.DUMMYFUNCTION("""COMPUTED_VALUE"""),"Silas Tanner, (904) 483-8423, Ben Mowbray, (407) 962-8782")</f>
        <v>Silas Tanner, (904) 483-8423, Ben Mowbray, (407) 962-8782</v>
      </c>
      <c r="P250" t="str">
        <f>IFERROR(__xludf.DUMMYFUNCTION("""COMPUTED_VALUE"""),"Tanner")</f>
        <v>Tanner</v>
      </c>
      <c r="Q250" t="str">
        <f>IFERROR(__xludf.DUMMYFUNCTION("""COMPUTED_VALUE"""),"Good")</f>
        <v>Good</v>
      </c>
      <c r="R250" t="str">
        <f>IFERROR(__xludf.DUMMYFUNCTION("""COMPUTED_VALUE"""),"Good")</f>
        <v>Good</v>
      </c>
      <c r="S250" t="str">
        <f>IFERROR(__xludf.DUMMYFUNCTION("""COMPUTED_VALUE"""),"Good")</f>
        <v>Good</v>
      </c>
      <c r="T250" t="str">
        <f>IFERROR(__xludf.DUMMYFUNCTION("""COMPUTED_VALUE"""),"Good")</f>
        <v>Good</v>
      </c>
      <c r="U250" t="str">
        <f>IFERROR(__xludf.DUMMYFUNCTION("""COMPUTED_VALUE"""),"Good")</f>
        <v>Good</v>
      </c>
      <c r="V250" t="str">
        <f>IFERROR(__xludf.DUMMYFUNCTION("""COMPUTED_VALUE"""),"Good")</f>
        <v>Good</v>
      </c>
      <c r="W250" t="str">
        <f>IFERROR(__xludf.DUMMYFUNCTION("""COMPUTED_VALUE"""),"Good")</f>
        <v>Good</v>
      </c>
      <c r="X250" t="str">
        <f>IFERROR(__xludf.DUMMYFUNCTION("""COMPUTED_VALUE"""),"Good")</f>
        <v>Good</v>
      </c>
      <c r="Y250" t="str">
        <f>IFERROR(__xludf.DUMMYFUNCTION("""COMPUTED_VALUE"""),"Good")</f>
        <v>Good</v>
      </c>
      <c r="Z250" t="str">
        <f>IFERROR(__xludf.DUMMYFUNCTION("""COMPUTED_VALUE"""),"Good")</f>
        <v>Good</v>
      </c>
      <c r="AA250" t="str">
        <f>IFERROR(__xludf.DUMMYFUNCTION("""COMPUTED_VALUE"""),"Good")</f>
        <v>Good</v>
      </c>
      <c r="AB250" t="str">
        <f>IFERROR(__xludf.DUMMYFUNCTION("""COMPUTED_VALUE"""),"Good")</f>
        <v>Good</v>
      </c>
      <c r="AC250" t="str">
        <f>IFERROR(__xludf.DUMMYFUNCTION("""COMPUTED_VALUE"""),"Good")</f>
        <v>Good</v>
      </c>
      <c r="AE250" s="11"/>
      <c r="AF250" t="s">
        <v>218</v>
      </c>
      <c r="AG250" s="17" t="s">
        <v>18</v>
      </c>
      <c r="AH250" s="12">
        <v>1145.0</v>
      </c>
      <c r="AI250" s="12" t="s">
        <v>699</v>
      </c>
      <c r="AJ250" s="19" t="s">
        <v>700</v>
      </c>
      <c r="AK250" s="20" t="str">
        <f>HYPERLINK("https://docs.google.com/document/d/1f2_RdO7f651I6OZS4bfi5p2XdGlREoePCDX_MNDvHz0/edit?usp=drivesdk","Silas Tanner - 2/14/2019 9:15 AM")</f>
        <v>Silas Tanner - 2/14/2019 9:15 AM</v>
      </c>
      <c r="AL250" s="12" t="s">
        <v>701</v>
      </c>
    </row>
    <row r="251">
      <c r="A251" s="10">
        <f>IFERROR(__xludf.DUMMYFUNCTION("""COMPUTED_VALUE"""),43511.43028101852)</f>
        <v>43511.43028</v>
      </c>
      <c r="B251" s="11" t="str">
        <f>IFERROR(__xludf.DUMMYFUNCTION("""COMPUTED_VALUE"""),"Silas Tanner")</f>
        <v>Silas Tanner</v>
      </c>
      <c r="C251" t="str">
        <f>IFERROR(__xludf.DUMMYFUNCTION("""COMPUTED_VALUE"""),"silas.tanner@floridadep.gov")</f>
        <v>silas.tanner@floridadep.gov</v>
      </c>
      <c r="D251" t="str">
        <f>IFERROR(__xludf.DUMMYFUNCTION("""COMPUTED_VALUE"""),"Research/Shannon")</f>
        <v>Research/Shannon</v>
      </c>
      <c r="E251" t="str">
        <f>IFERROR(__xludf.DUMMYFUNCTION("""COMPUTED_VALUE"""),"Aunt Kate's")</f>
        <v>Aunt Kate's</v>
      </c>
      <c r="F251" s="13">
        <f>IFERROR(__xludf.DUMMYFUNCTION("""COMPUTED_VALUE"""),0.4479166666678793)</f>
        <v>0.4479166667</v>
      </c>
      <c r="G251" s="14">
        <f>IFERROR(__xludf.DUMMYFUNCTION("""COMPUTED_VALUE"""),43511.0)</f>
        <v>43511</v>
      </c>
      <c r="H251" t="str">
        <f>IFERROR(__xludf.DUMMYFUNCTION("""COMPUTED_VALUE"""),"ICW Sombrero Creek - Hat Island SWMP platforms")</f>
        <v>ICW Sombrero Creek - Hat Island SWMP platforms</v>
      </c>
      <c r="I251" s="15">
        <f>IFERROR(__xludf.DUMMYFUNCTION("""COMPUTED_VALUE"""),0.6458333333321207)</f>
        <v>0.6458333333</v>
      </c>
      <c r="J251" s="16">
        <f>IFERROR(__xludf.DUMMYFUNCTION("""COMPUTED_VALUE"""),43511.65625)</f>
        <v>43511.65625</v>
      </c>
      <c r="K251" t="str">
        <f>IFERROR(__xludf.DUMMYFUNCTION("""COMPUTED_VALUE"""),"23ft Skiff (Bertha) FL7972LJ DEP07613")</f>
        <v>23ft Skiff (Bertha) FL7972LJ DEP07613</v>
      </c>
      <c r="M251" t="str">
        <f>IFERROR(__xludf.DUMMYFUNCTION("""COMPUTED_VALUE"""),"Ford F150 2008 - DEP18041 (SWMP Thing)")</f>
        <v>Ford F150 2008 - DEP18041 (SWMP Thing)</v>
      </c>
      <c r="N251" t="str">
        <f>IFERROR(__xludf.DUMMYFUNCTION("""COMPUTED_VALUE"""),"Silas Tanner, (904) 483-8423, Ben Mowbray, (407) 962-8782")</f>
        <v>Silas Tanner, (904) 483-8423, Ben Mowbray, (407) 962-8782</v>
      </c>
      <c r="O251" t="str">
        <f>IFERROR(__xludf.DUMMYFUNCTION("""COMPUTED_VALUE"""),"Jessica Lee")</f>
        <v>Jessica Lee</v>
      </c>
      <c r="P251" t="str">
        <f>IFERROR(__xludf.DUMMYFUNCTION("""COMPUTED_VALUE"""),"S. Tanner")</f>
        <v>S. Tanner</v>
      </c>
      <c r="Q251" t="str">
        <f>IFERROR(__xludf.DUMMYFUNCTION("""COMPUTED_VALUE"""),"Good")</f>
        <v>Good</v>
      </c>
      <c r="R251" t="str">
        <f>IFERROR(__xludf.DUMMYFUNCTION("""COMPUTED_VALUE"""),"Good")</f>
        <v>Good</v>
      </c>
      <c r="S251" t="str">
        <f>IFERROR(__xludf.DUMMYFUNCTION("""COMPUTED_VALUE"""),"Good")</f>
        <v>Good</v>
      </c>
      <c r="T251" t="str">
        <f>IFERROR(__xludf.DUMMYFUNCTION("""COMPUTED_VALUE"""),"Good")</f>
        <v>Good</v>
      </c>
      <c r="U251" t="str">
        <f>IFERROR(__xludf.DUMMYFUNCTION("""COMPUTED_VALUE"""),"Good")</f>
        <v>Good</v>
      </c>
      <c r="V251" t="str">
        <f>IFERROR(__xludf.DUMMYFUNCTION("""COMPUTED_VALUE"""),"Good")</f>
        <v>Good</v>
      </c>
      <c r="W251" t="str">
        <f>IFERROR(__xludf.DUMMYFUNCTION("""COMPUTED_VALUE"""),"Good")</f>
        <v>Good</v>
      </c>
      <c r="X251" t="str">
        <f>IFERROR(__xludf.DUMMYFUNCTION("""COMPUTED_VALUE"""),"Good")</f>
        <v>Good</v>
      </c>
      <c r="Y251" t="str">
        <f>IFERROR(__xludf.DUMMYFUNCTION("""COMPUTED_VALUE"""),"Good")</f>
        <v>Good</v>
      </c>
      <c r="Z251" t="str">
        <f>IFERROR(__xludf.DUMMYFUNCTION("""COMPUTED_VALUE"""),"Good")</f>
        <v>Good</v>
      </c>
      <c r="AA251" t="str">
        <f>IFERROR(__xludf.DUMMYFUNCTION("""COMPUTED_VALUE"""),"Good")</f>
        <v>Good</v>
      </c>
      <c r="AB251" t="str">
        <f>IFERROR(__xludf.DUMMYFUNCTION("""COMPUTED_VALUE"""),"Good")</f>
        <v>Good</v>
      </c>
      <c r="AC251" t="str">
        <f>IFERROR(__xludf.DUMMYFUNCTION("""COMPUTED_VALUE"""),"Good")</f>
        <v>Good</v>
      </c>
      <c r="AE251" s="11"/>
      <c r="AF251" t="s">
        <v>269</v>
      </c>
      <c r="AG251" s="17" t="s">
        <v>511</v>
      </c>
      <c r="AH251" s="12">
        <v>1346.0</v>
      </c>
      <c r="AI251" s="12" t="s">
        <v>702</v>
      </c>
      <c r="AJ251" s="19" t="s">
        <v>703</v>
      </c>
      <c r="AK251" s="20" t="str">
        <f>HYPERLINK("https://docs.google.com/document/d/1vjgkI4Lfj1nbvK_7qvSxeRdAub1lhBKrshH59fnzSM4/edit?usp=drivesdk","Silas Tanner - 2/15/2019 10:45 AM")</f>
        <v>Silas Tanner - 2/15/2019 10:45 AM</v>
      </c>
      <c r="AL251" s="12" t="s">
        <v>704</v>
      </c>
    </row>
    <row r="252">
      <c r="A252" s="10">
        <f>IFERROR(__xludf.DUMMYFUNCTION("""COMPUTED_VALUE"""),43514.42810430555)</f>
        <v>43514.4281</v>
      </c>
      <c r="B252" s="11" t="str">
        <f>IFERROR(__xludf.DUMMYFUNCTION("""COMPUTED_VALUE"""),"Pamela Marcum")</f>
        <v>Pamela Marcum</v>
      </c>
      <c r="C252" t="str">
        <f>IFERROR(__xludf.DUMMYFUNCTION("""COMPUTED_VALUE"""),"Pamela.Marcum@dep.state.fl.us")</f>
        <v>Pamela.Marcum@dep.state.fl.us</v>
      </c>
      <c r="D252" t="str">
        <f>IFERROR(__xludf.DUMMYFUNCTION("""COMPUTED_VALUE"""),"Research/Nikki")</f>
        <v>Research/Nikki</v>
      </c>
      <c r="E252" t="str">
        <f>IFERROR(__xludf.DUMMYFUNCTION("""COMPUTED_VALUE"""),"Aunt Kate's")</f>
        <v>Aunt Kate's</v>
      </c>
      <c r="F252" s="13">
        <f>IFERROR(__xludf.DUMMYFUNCTION("""COMPUTED_VALUE"""),0.4375)</f>
        <v>0.4375</v>
      </c>
      <c r="G252" s="14">
        <f>IFERROR(__xludf.DUMMYFUNCTION("""COMPUTED_VALUE"""),43514.0)</f>
        <v>43514</v>
      </c>
      <c r="H252" t="str">
        <f>IFERROR(__xludf.DUMMYFUNCTION("""COMPUTED_VALUE"""),"Tolomato River")</f>
        <v>Tolomato River</v>
      </c>
      <c r="I252" s="15">
        <f>IFERROR(__xludf.DUMMYFUNCTION("""COMPUTED_VALUE"""),0.7083333333321207)</f>
        <v>0.7083333333</v>
      </c>
      <c r="J252" s="16">
        <f>IFERROR(__xludf.DUMMYFUNCTION("""COMPUTED_VALUE"""),43514.72916666667)</f>
        <v>43514.72917</v>
      </c>
      <c r="K252" t="str">
        <f>IFERROR(__xludf.DUMMYFUNCTION("""COMPUTED_VALUE"""),"23ft Skiff (Bertha) FL7972LJ DEP07613")</f>
        <v>23ft Skiff (Bertha) FL7972LJ DEP07613</v>
      </c>
      <c r="M252" t="str">
        <f>IFERROR(__xludf.DUMMYFUNCTION("""COMPUTED_VALUE"""),"Ford F150 2008 - DEP18041 (SWMP Thing)")</f>
        <v>Ford F150 2008 - DEP18041 (SWMP Thing)</v>
      </c>
      <c r="N252" t="str">
        <f>IFERROR(__xludf.DUMMYFUNCTION("""COMPUTED_VALUE"""),"Pam Marcum, (480) 332-5414")</f>
        <v>Pam Marcum, (480) 332-5414</v>
      </c>
      <c r="O252" t="str">
        <f>IFERROR(__xludf.DUMMYFUNCTION("""COMPUTED_VALUE"""),"Jeff Finnan, Mary Finnan")</f>
        <v>Jeff Finnan, Mary Finnan</v>
      </c>
      <c r="P252" t="str">
        <f>IFERROR(__xludf.DUMMYFUNCTION("""COMPUTED_VALUE"""),"Pam")</f>
        <v>Pam</v>
      </c>
      <c r="Q252" t="str">
        <f>IFERROR(__xludf.DUMMYFUNCTION("""COMPUTED_VALUE"""),"Good")</f>
        <v>Good</v>
      </c>
      <c r="R252" t="str">
        <f>IFERROR(__xludf.DUMMYFUNCTION("""COMPUTED_VALUE"""),"Good")</f>
        <v>Good</v>
      </c>
      <c r="S252" t="str">
        <f>IFERROR(__xludf.DUMMYFUNCTION("""COMPUTED_VALUE"""),"Good")</f>
        <v>Good</v>
      </c>
      <c r="T252" t="str">
        <f>IFERROR(__xludf.DUMMYFUNCTION("""COMPUTED_VALUE"""),"Good")</f>
        <v>Good</v>
      </c>
      <c r="U252" t="str">
        <f>IFERROR(__xludf.DUMMYFUNCTION("""COMPUTED_VALUE"""),"Good")</f>
        <v>Good</v>
      </c>
      <c r="V252" t="str">
        <f>IFERROR(__xludf.DUMMYFUNCTION("""COMPUTED_VALUE"""),"Good")</f>
        <v>Good</v>
      </c>
      <c r="W252" t="str">
        <f>IFERROR(__xludf.DUMMYFUNCTION("""COMPUTED_VALUE"""),"Good")</f>
        <v>Good</v>
      </c>
      <c r="X252" t="str">
        <f>IFERROR(__xludf.DUMMYFUNCTION("""COMPUTED_VALUE"""),"Good")</f>
        <v>Good</v>
      </c>
      <c r="Y252" t="str">
        <f>IFERROR(__xludf.DUMMYFUNCTION("""COMPUTED_VALUE"""),"Good")</f>
        <v>Good</v>
      </c>
      <c r="Z252" t="str">
        <f>IFERROR(__xludf.DUMMYFUNCTION("""COMPUTED_VALUE"""),"Good")</f>
        <v>Good</v>
      </c>
      <c r="AA252" t="str">
        <f>IFERROR(__xludf.DUMMYFUNCTION("""COMPUTED_VALUE"""),"Good")</f>
        <v>Good</v>
      </c>
      <c r="AB252" t="str">
        <f>IFERROR(__xludf.DUMMYFUNCTION("""COMPUTED_VALUE"""),"Good")</f>
        <v>Good</v>
      </c>
      <c r="AC252" t="str">
        <f>IFERROR(__xludf.DUMMYFUNCTION("""COMPUTED_VALUE"""),"Good")</f>
        <v>Good</v>
      </c>
      <c r="AE252" s="11"/>
      <c r="AF252" t="s">
        <v>218</v>
      </c>
      <c r="AG252" s="17" t="s">
        <v>60</v>
      </c>
      <c r="AH252" s="12">
        <v>1512.0</v>
      </c>
      <c r="AI252" s="12" t="s">
        <v>705</v>
      </c>
      <c r="AJ252" s="19" t="s">
        <v>706</v>
      </c>
      <c r="AK252" s="20" t="str">
        <f>HYPERLINK("https://docs.google.com/document/d/1Yt2HD3iejFIbR5_nzxBX4oSXL467Y0dEFPeCK--9RKY/edit?usp=drivesdk","Pamela Marcum - 2/18/2019 10:30 AM")</f>
        <v>Pamela Marcum - 2/18/2019 10:30 AM</v>
      </c>
      <c r="AL252" s="12" t="s">
        <v>707</v>
      </c>
    </row>
    <row r="253">
      <c r="A253" s="10">
        <f>IFERROR(__xludf.DUMMYFUNCTION("""COMPUTED_VALUE"""),43516.40135734953)</f>
        <v>43516.40136</v>
      </c>
      <c r="B253" s="11" t="str">
        <f>IFERROR(__xludf.DUMMYFUNCTION("""COMPUTED_VALUE"""),"Silas Tanner")</f>
        <v>Silas Tanner</v>
      </c>
      <c r="C253" t="str">
        <f>IFERROR(__xludf.DUMMYFUNCTION("""COMPUTED_VALUE"""),"silas.tanner@floridadep.gov")</f>
        <v>silas.tanner@floridadep.gov</v>
      </c>
      <c r="D253" t="str">
        <f>IFERROR(__xludf.DUMMYFUNCTION("""COMPUTED_VALUE"""),"Research/Nikki")</f>
        <v>Research/Nikki</v>
      </c>
      <c r="E253" t="str">
        <f>IFERROR(__xludf.DUMMYFUNCTION("""COMPUTED_VALUE"""),"Vilano Landing")</f>
        <v>Vilano Landing</v>
      </c>
      <c r="F253" s="13">
        <f>IFERROR(__xludf.DUMMYFUNCTION("""COMPUTED_VALUE"""),0.4479166666678793)</f>
        <v>0.4479166667</v>
      </c>
      <c r="G253" s="14">
        <f>IFERROR(__xludf.DUMMYFUNCTION("""COMPUTED_VALUE"""),43516.0)</f>
        <v>43516</v>
      </c>
      <c r="H253" t="str">
        <f>IFERROR(__xludf.DUMMYFUNCTION("""COMPUTED_VALUE"""),"ICW SWMP sites")</f>
        <v>ICW SWMP sites</v>
      </c>
      <c r="I253" s="15">
        <f>IFERROR(__xludf.DUMMYFUNCTION("""COMPUTED_VALUE"""),0.625)</f>
        <v>0.625</v>
      </c>
      <c r="J253" s="16">
        <f>IFERROR(__xludf.DUMMYFUNCTION("""COMPUTED_VALUE"""),43516.63541666667)</f>
        <v>43516.63542</v>
      </c>
      <c r="K253" t="str">
        <f>IFERROR(__xludf.DUMMYFUNCTION("""COMPUTED_VALUE"""),"23ft Skiff (Bertha) FL7972LJ DEP07613")</f>
        <v>23ft Skiff (Bertha) FL7972LJ DEP07613</v>
      </c>
      <c r="M253" t="str">
        <f>IFERROR(__xludf.DUMMYFUNCTION("""COMPUTED_VALUE"""),"Ford F250 2017 (Moby Dix) - DEP0021578")</f>
        <v>Ford F250 2017 (Moby Dix) - DEP0021578</v>
      </c>
      <c r="N253" t="str">
        <f>IFERROR(__xludf.DUMMYFUNCTION("""COMPUTED_VALUE"""),"Shannon Dunnigan, (803) 727-5734, Silas Tanner, (904) 483-8423")</f>
        <v>Shannon Dunnigan, (803) 727-5734, Silas Tanner, (904) 483-8423</v>
      </c>
      <c r="P253" t="str">
        <f>IFERROR(__xludf.DUMMYFUNCTION("""COMPUTED_VALUE"""),"Dunnigan")</f>
        <v>Dunnigan</v>
      </c>
      <c r="Q253" t="str">
        <f>IFERROR(__xludf.DUMMYFUNCTION("""COMPUTED_VALUE"""),"Good")</f>
        <v>Good</v>
      </c>
      <c r="R253" t="str">
        <f>IFERROR(__xludf.DUMMYFUNCTION("""COMPUTED_VALUE"""),"Good")</f>
        <v>Good</v>
      </c>
      <c r="S253" t="str">
        <f>IFERROR(__xludf.DUMMYFUNCTION("""COMPUTED_VALUE"""),"Good")</f>
        <v>Good</v>
      </c>
      <c r="T253" t="str">
        <f>IFERROR(__xludf.DUMMYFUNCTION("""COMPUTED_VALUE"""),"Good")</f>
        <v>Good</v>
      </c>
      <c r="U253" t="str">
        <f>IFERROR(__xludf.DUMMYFUNCTION("""COMPUTED_VALUE"""),"Good")</f>
        <v>Good</v>
      </c>
      <c r="V253" t="str">
        <f>IFERROR(__xludf.DUMMYFUNCTION("""COMPUTED_VALUE"""),"Good")</f>
        <v>Good</v>
      </c>
      <c r="W253" t="str">
        <f>IFERROR(__xludf.DUMMYFUNCTION("""COMPUTED_VALUE"""),"Good")</f>
        <v>Good</v>
      </c>
      <c r="X253" t="str">
        <f>IFERROR(__xludf.DUMMYFUNCTION("""COMPUTED_VALUE"""),"Good")</f>
        <v>Good</v>
      </c>
      <c r="Y253" t="str">
        <f>IFERROR(__xludf.DUMMYFUNCTION("""COMPUTED_VALUE"""),"Good")</f>
        <v>Good</v>
      </c>
      <c r="Z253" t="str">
        <f>IFERROR(__xludf.DUMMYFUNCTION("""COMPUTED_VALUE"""),"Good")</f>
        <v>Good</v>
      </c>
      <c r="AA253" t="str">
        <f>IFERROR(__xludf.DUMMYFUNCTION("""COMPUTED_VALUE"""),"Good")</f>
        <v>Good</v>
      </c>
      <c r="AB253" t="str">
        <f>IFERROR(__xludf.DUMMYFUNCTION("""COMPUTED_VALUE"""),"Good")</f>
        <v>Good</v>
      </c>
      <c r="AC253" t="str">
        <f>IFERROR(__xludf.DUMMYFUNCTION("""COMPUTED_VALUE"""),"Good")</f>
        <v>Good</v>
      </c>
      <c r="AE253" s="11"/>
      <c r="AF253" t="s">
        <v>218</v>
      </c>
      <c r="AG253" s="17" t="s">
        <v>18</v>
      </c>
      <c r="AH253" s="12">
        <v>1522.0</v>
      </c>
      <c r="AI253" s="12" t="s">
        <v>708</v>
      </c>
      <c r="AJ253" s="19" t="s">
        <v>709</v>
      </c>
      <c r="AK253" s="20" t="str">
        <f>HYPERLINK("https://docs.google.com/document/d/1eml75LLBrnwv1nCwBu_-OJNxHvJ3ubC1U_W3NBu9nRM/edit?usp=drivesdk","Silas Tanner - 2/20/2019 10:45 AM")</f>
        <v>Silas Tanner - 2/20/2019 10:45 AM</v>
      </c>
      <c r="AL253" s="12" t="s">
        <v>710</v>
      </c>
    </row>
    <row r="254">
      <c r="A254" s="10">
        <f>IFERROR(__xludf.DUMMYFUNCTION("""COMPUTED_VALUE"""),43516.536198622685)</f>
        <v>43516.5362</v>
      </c>
      <c r="B254" s="11" t="str">
        <f>IFERROR(__xludf.DUMMYFUNCTION("""COMPUTED_VALUE"""),"Pamela Marcum")</f>
        <v>Pamela Marcum</v>
      </c>
      <c r="C254" t="str">
        <f>IFERROR(__xludf.DUMMYFUNCTION("""COMPUTED_VALUE"""),"pamela.marcum@floridadep.gov")</f>
        <v>pamela.marcum@floridadep.gov</v>
      </c>
      <c r="D254" t="str">
        <f>IFERROR(__xludf.DUMMYFUNCTION("""COMPUTED_VALUE"""),"Research/Nikki")</f>
        <v>Research/Nikki</v>
      </c>
      <c r="E254" t="str">
        <f>IFERROR(__xludf.DUMMYFUNCTION("""COMPUTED_VALUE"""),"Shore drive crane park")</f>
        <v>Shore drive crane park</v>
      </c>
      <c r="F254" s="13">
        <f>IFERROR(__xludf.DUMMYFUNCTION("""COMPUTED_VALUE"""),0.5208333333321207)</f>
        <v>0.5208333333</v>
      </c>
      <c r="G254" s="14">
        <f>IFERROR(__xludf.DUMMYFUNCTION("""COMPUTED_VALUE"""),43516.0)</f>
        <v>43516</v>
      </c>
      <c r="H254" t="str">
        <f>IFERROR(__xludf.DUMMYFUNCTION("""COMPUTED_VALUE"""),"Matanzas River ")</f>
        <v>Matanzas River </v>
      </c>
      <c r="I254" s="15">
        <f>IFERROR(__xludf.DUMMYFUNCTION("""COMPUTED_VALUE"""),0.6666666666678793)</f>
        <v>0.6666666667</v>
      </c>
      <c r="J254" s="16">
        <f>IFERROR(__xludf.DUMMYFUNCTION("""COMPUTED_VALUE"""),43516.6875)</f>
        <v>43516.6875</v>
      </c>
      <c r="K254" t="str">
        <f>IFERROR(__xludf.DUMMYFUNCTION("""COMPUTED_VALUE"""),"F 20ft Sea Ark (Easy 200) FL8534PY DEP21451")</f>
        <v>F 20ft Sea Ark (Easy 200) FL8534PY DEP21451</v>
      </c>
      <c r="M254" t="str">
        <f>IFERROR(__xludf.DUMMYFUNCTION("""COMPUTED_VALUE"""),"Ford F150 2008 - DEP18041 (SWMP Thing)")</f>
        <v>Ford F150 2008 - DEP18041 (SWMP Thing)</v>
      </c>
      <c r="N254" t="str">
        <f>IFERROR(__xludf.DUMMYFUNCTION("""COMPUTED_VALUE"""),"Pam Marcum, (480) 332-5414, Ben Mowbray, (407) 962-8782")</f>
        <v>Pam Marcum, (480) 332-5414, Ben Mowbray, (407) 962-8782</v>
      </c>
      <c r="O254" t="str">
        <f>IFERROR(__xludf.DUMMYFUNCTION("""COMPUTED_VALUE"""),"Marti,  Cathy")</f>
        <v>Marti,  Cathy</v>
      </c>
      <c r="P254" t="str">
        <f>IFERROR(__xludf.DUMMYFUNCTION("""COMPUTED_VALUE"""),"Ben")</f>
        <v>Ben</v>
      </c>
      <c r="Q254" t="str">
        <f>IFERROR(__xludf.DUMMYFUNCTION("""COMPUTED_VALUE"""),"Good")</f>
        <v>Good</v>
      </c>
      <c r="R254" t="str">
        <f>IFERROR(__xludf.DUMMYFUNCTION("""COMPUTED_VALUE"""),"Good")</f>
        <v>Good</v>
      </c>
      <c r="S254" t="str">
        <f>IFERROR(__xludf.DUMMYFUNCTION("""COMPUTED_VALUE"""),"Good")</f>
        <v>Good</v>
      </c>
      <c r="T254" t="str">
        <f>IFERROR(__xludf.DUMMYFUNCTION("""COMPUTED_VALUE"""),"Good")</f>
        <v>Good</v>
      </c>
      <c r="U254" t="str">
        <f>IFERROR(__xludf.DUMMYFUNCTION("""COMPUTED_VALUE"""),"Good")</f>
        <v>Good</v>
      </c>
      <c r="V254" t="str">
        <f>IFERROR(__xludf.DUMMYFUNCTION("""COMPUTED_VALUE"""),"Good")</f>
        <v>Good</v>
      </c>
      <c r="W254" t="str">
        <f>IFERROR(__xludf.DUMMYFUNCTION("""COMPUTED_VALUE"""),"Good")</f>
        <v>Good</v>
      </c>
      <c r="X254" t="str">
        <f>IFERROR(__xludf.DUMMYFUNCTION("""COMPUTED_VALUE"""),"Good")</f>
        <v>Good</v>
      </c>
      <c r="Y254" t="str">
        <f>IFERROR(__xludf.DUMMYFUNCTION("""COMPUTED_VALUE"""),"Good")</f>
        <v>Good</v>
      </c>
      <c r="Z254" t="str">
        <f>IFERROR(__xludf.DUMMYFUNCTION("""COMPUTED_VALUE"""),"Good")</f>
        <v>Good</v>
      </c>
      <c r="AA254" t="str">
        <f>IFERROR(__xludf.DUMMYFUNCTION("""COMPUTED_VALUE"""),"Good")</f>
        <v>Good</v>
      </c>
      <c r="AB254" t="str">
        <f>IFERROR(__xludf.DUMMYFUNCTION("""COMPUTED_VALUE"""),"Good")</f>
        <v>Good</v>
      </c>
      <c r="AC254" t="str">
        <f>IFERROR(__xludf.DUMMYFUNCTION("""COMPUTED_VALUE"""),"Good")</f>
        <v>Good</v>
      </c>
      <c r="AE254" s="11"/>
      <c r="AF254" t="s">
        <v>218</v>
      </c>
      <c r="AG254" s="17" t="s">
        <v>43</v>
      </c>
      <c r="AH254" s="12">
        <v>1745.0</v>
      </c>
      <c r="AI254" s="12" t="s">
        <v>711</v>
      </c>
      <c r="AJ254" s="19" t="s">
        <v>712</v>
      </c>
      <c r="AK254" s="20" t="str">
        <f>HYPERLINK("https://docs.google.com/document/d/1vmmHbbEKOlfRp-_iKH2vKvCl0CVCLNAqtyyG8zrDGGo/edit?usp=drivesdk","Pamela Marcum - 2/20/2019 12:30 PM")</f>
        <v>Pamela Marcum - 2/20/2019 12:30 PM</v>
      </c>
      <c r="AL254" s="12" t="s">
        <v>713</v>
      </c>
    </row>
    <row r="255">
      <c r="A255" s="10">
        <f>IFERROR(__xludf.DUMMYFUNCTION("""COMPUTED_VALUE"""),43516.577832627314)</f>
        <v>43516.57783</v>
      </c>
      <c r="B255" s="11" t="str">
        <f>IFERROR(__xludf.DUMMYFUNCTION("""COMPUTED_VALUE"""),"james tomazinis")</f>
        <v>james tomazinis</v>
      </c>
      <c r="C255" t="str">
        <f>IFERROR(__xludf.DUMMYFUNCTION("""COMPUTED_VALUE"""),"james.tomazinis@floridadep.gov")</f>
        <v>james.tomazinis@floridadep.gov</v>
      </c>
      <c r="D255" t="str">
        <f>IFERROR(__xludf.DUMMYFUNCTION("""COMPUTED_VALUE"""),"Stewardship (Aquatic)")</f>
        <v>Stewardship (Aquatic)</v>
      </c>
      <c r="E255" t="str">
        <f>IFERROR(__xludf.DUMMYFUNCTION("""COMPUTED_VALUE"""),"Vilano")</f>
        <v>Vilano</v>
      </c>
      <c r="F255" s="13">
        <f>IFERROR(__xludf.DUMMYFUNCTION("""COMPUTED_VALUE"""),0.3541666666678793)</f>
        <v>0.3541666667</v>
      </c>
      <c r="G255" s="14">
        <f>IFERROR(__xludf.DUMMYFUNCTION("""COMPUTED_VALUE"""),43517.0)</f>
        <v>43517</v>
      </c>
      <c r="H255" t="str">
        <f>IFERROR(__xludf.DUMMYFUNCTION("""COMPUTED_VALUE"""),"Matanzas River nekton sites")</f>
        <v>Matanzas River nekton sites</v>
      </c>
      <c r="I255" s="15">
        <f>IFERROR(__xludf.DUMMYFUNCTION("""COMPUTED_VALUE"""),0.5416666666678793)</f>
        <v>0.5416666667</v>
      </c>
      <c r="J255" s="16"/>
      <c r="K255" t="str">
        <f>IFERROR(__xludf.DUMMYFUNCTION("""COMPUTED_VALUE"""),"23ft Skiff (Bertha) FL7972LJ DEP07613")</f>
        <v>23ft Skiff (Bertha) FL7972LJ DEP07613</v>
      </c>
      <c r="M255" t="str">
        <f>IFERROR(__xludf.DUMMYFUNCTION("""COMPUTED_VALUE"""),"Ford F250 2017 (Moby Dix) - DEP0021578")</f>
        <v>Ford F250 2017 (Moby Dix) - DEP0021578</v>
      </c>
      <c r="N255" t="str">
        <f>IFERROR(__xludf.DUMMYFUNCTION("""COMPUTED_VALUE"""),"Jimmy Tomazinis, (904) 547-0094")</f>
        <v>Jimmy Tomazinis, (904) 547-0094</v>
      </c>
      <c r="O255" t="str">
        <f>IFERROR(__xludf.DUMMYFUNCTION("""COMPUTED_VALUE"""),"Ed Mcginley + students")</f>
        <v>Ed Mcginley + students</v>
      </c>
      <c r="P255" t="str">
        <f>IFERROR(__xludf.DUMMYFUNCTION("""COMPUTED_VALUE"""),"Jimmy")</f>
        <v>Jimmy</v>
      </c>
      <c r="Q255" t="str">
        <f>IFERROR(__xludf.DUMMYFUNCTION("""COMPUTED_VALUE"""),"Good")</f>
        <v>Good</v>
      </c>
      <c r="R255" t="str">
        <f>IFERROR(__xludf.DUMMYFUNCTION("""COMPUTED_VALUE"""),"Good")</f>
        <v>Good</v>
      </c>
      <c r="S255" t="str">
        <f>IFERROR(__xludf.DUMMYFUNCTION("""COMPUTED_VALUE"""),"Good")</f>
        <v>Good</v>
      </c>
      <c r="T255" t="str">
        <f>IFERROR(__xludf.DUMMYFUNCTION("""COMPUTED_VALUE"""),"Good")</f>
        <v>Good</v>
      </c>
      <c r="U255" t="str">
        <f>IFERROR(__xludf.DUMMYFUNCTION("""COMPUTED_VALUE"""),"Good")</f>
        <v>Good</v>
      </c>
      <c r="V255" t="str">
        <f>IFERROR(__xludf.DUMMYFUNCTION("""COMPUTED_VALUE"""),"Good")</f>
        <v>Good</v>
      </c>
      <c r="W255" t="str">
        <f>IFERROR(__xludf.DUMMYFUNCTION("""COMPUTED_VALUE"""),"Good")</f>
        <v>Good</v>
      </c>
      <c r="X255" t="str">
        <f>IFERROR(__xludf.DUMMYFUNCTION("""COMPUTED_VALUE"""),"Good")</f>
        <v>Good</v>
      </c>
      <c r="Y255" t="str">
        <f>IFERROR(__xludf.DUMMYFUNCTION("""COMPUTED_VALUE"""),"Good")</f>
        <v>Good</v>
      </c>
      <c r="Z255" t="str">
        <f>IFERROR(__xludf.DUMMYFUNCTION("""COMPUTED_VALUE"""),"Good")</f>
        <v>Good</v>
      </c>
      <c r="AA255" t="str">
        <f>IFERROR(__xludf.DUMMYFUNCTION("""COMPUTED_VALUE"""),"Good")</f>
        <v>Good</v>
      </c>
      <c r="AB255" t="str">
        <f>IFERROR(__xludf.DUMMYFUNCTION("""COMPUTED_VALUE"""),"Good")</f>
        <v>Good</v>
      </c>
      <c r="AC255" t="str">
        <f>IFERROR(__xludf.DUMMYFUNCTION("""COMPUTED_VALUE"""),"Good")</f>
        <v>Good</v>
      </c>
      <c r="AE255" s="11"/>
      <c r="AF255" t="s">
        <v>32</v>
      </c>
      <c r="AG255" s="17" t="s">
        <v>714</v>
      </c>
      <c r="AH255" s="12">
        <v>1320.0</v>
      </c>
      <c r="AI255" s="12" t="s">
        <v>715</v>
      </c>
      <c r="AJ255" s="19" t="s">
        <v>716</v>
      </c>
      <c r="AK255" s="20" t="str">
        <f>HYPERLINK("https://docs.google.com/document/d/14pAUYwsaSmzX3501xXPXCLv9Bc9CBsp_aTg69Fj2q_c/edit?usp=drivesdk","james tomazinis - 2/21/2019 8:30 AM")</f>
        <v>james tomazinis - 2/21/2019 8:30 AM</v>
      </c>
      <c r="AL255" s="12" t="s">
        <v>717</v>
      </c>
    </row>
    <row r="256">
      <c r="A256" s="10">
        <f>IFERROR(__xludf.DUMMYFUNCTION("""COMPUTED_VALUE"""),43518.5207091088)</f>
        <v>43518.52071</v>
      </c>
      <c r="B256" s="11" t="str">
        <f>IFERROR(__xludf.DUMMYFUNCTION("""COMPUTED_VALUE"""),"Pamela Marcum")</f>
        <v>Pamela Marcum</v>
      </c>
      <c r="C256" t="str">
        <f>IFERROR(__xludf.DUMMYFUNCTION("""COMPUTED_VALUE"""),"Pamela.Marcum@floridadep.gov")</f>
        <v>Pamela.Marcum@floridadep.gov</v>
      </c>
      <c r="D256" t="str">
        <f>IFERROR(__xludf.DUMMYFUNCTION("""COMPUTED_VALUE"""),"Research/Nikki")</f>
        <v>Research/Nikki</v>
      </c>
      <c r="E256" t="str">
        <f>IFERROR(__xludf.DUMMYFUNCTION("""COMPUTED_VALUE"""),"Lighthouse")</f>
        <v>Lighthouse</v>
      </c>
      <c r="F256" s="13">
        <f>IFERROR(__xludf.DUMMYFUNCTION("""COMPUTED_VALUE"""),0.5416666666678793)</f>
        <v>0.5416666667</v>
      </c>
      <c r="G256" s="14">
        <f>IFERROR(__xludf.DUMMYFUNCTION("""COMPUTED_VALUE"""),43518.0)</f>
        <v>43518</v>
      </c>
      <c r="H256" t="str">
        <f>IFERROR(__xludf.DUMMYFUNCTION("""COMPUTED_VALUE"""),"Salt Run/St. Aug Inlet")</f>
        <v>Salt Run/St. Aug Inlet</v>
      </c>
      <c r="I256" s="15">
        <f>IFERROR(__xludf.DUMMYFUNCTION("""COMPUTED_VALUE"""),0.6666666666678793)</f>
        <v>0.6666666667</v>
      </c>
      <c r="J256" s="16">
        <f>IFERROR(__xludf.DUMMYFUNCTION("""COMPUTED_VALUE"""),43518.6875)</f>
        <v>43518.6875</v>
      </c>
      <c r="K256" t="str">
        <f>IFERROR(__xludf.DUMMYFUNCTION("""COMPUTED_VALUE"""),"F 20ft Sea Ark (Easy 200) FL8534PY DEP21451")</f>
        <v>F 20ft Sea Ark (Easy 200) FL8534PY DEP21451</v>
      </c>
      <c r="M256" t="str">
        <f>IFERROR(__xludf.DUMMYFUNCTION("""COMPUTED_VALUE"""),"Ford F150 2008 - DEP18041 (SWMP Thing)")</f>
        <v>Ford F150 2008 - DEP18041 (SWMP Thing)</v>
      </c>
      <c r="N256" t="str">
        <f>IFERROR(__xludf.DUMMYFUNCTION("""COMPUTED_VALUE"""),"Pam Marcum, (480) 332-5414")</f>
        <v>Pam Marcum, (480) 332-5414</v>
      </c>
      <c r="O256" t="str">
        <f>IFERROR(__xludf.DUMMYFUNCTION("""COMPUTED_VALUE"""),"Jeff Finnan, Mike Darragh")</f>
        <v>Jeff Finnan, Mike Darragh</v>
      </c>
      <c r="P256" t="str">
        <f>IFERROR(__xludf.DUMMYFUNCTION("""COMPUTED_VALUE"""),"Pam")</f>
        <v>Pam</v>
      </c>
      <c r="Q256" t="str">
        <f>IFERROR(__xludf.DUMMYFUNCTION("""COMPUTED_VALUE"""),"Good")</f>
        <v>Good</v>
      </c>
      <c r="R256" t="str">
        <f>IFERROR(__xludf.DUMMYFUNCTION("""COMPUTED_VALUE"""),"Good")</f>
        <v>Good</v>
      </c>
      <c r="S256" t="str">
        <f>IFERROR(__xludf.DUMMYFUNCTION("""COMPUTED_VALUE"""),"Good")</f>
        <v>Good</v>
      </c>
      <c r="T256" t="str">
        <f>IFERROR(__xludf.DUMMYFUNCTION("""COMPUTED_VALUE"""),"Good")</f>
        <v>Good</v>
      </c>
      <c r="U256" t="str">
        <f>IFERROR(__xludf.DUMMYFUNCTION("""COMPUTED_VALUE"""),"Good")</f>
        <v>Good</v>
      </c>
      <c r="V256" t="str">
        <f>IFERROR(__xludf.DUMMYFUNCTION("""COMPUTED_VALUE"""),"Good")</f>
        <v>Good</v>
      </c>
      <c r="W256" t="str">
        <f>IFERROR(__xludf.DUMMYFUNCTION("""COMPUTED_VALUE"""),"Good")</f>
        <v>Good</v>
      </c>
      <c r="X256" t="str">
        <f>IFERROR(__xludf.DUMMYFUNCTION("""COMPUTED_VALUE"""),"Good")</f>
        <v>Good</v>
      </c>
      <c r="Y256" t="str">
        <f>IFERROR(__xludf.DUMMYFUNCTION("""COMPUTED_VALUE"""),"Good")</f>
        <v>Good</v>
      </c>
      <c r="Z256" t="str">
        <f>IFERROR(__xludf.DUMMYFUNCTION("""COMPUTED_VALUE"""),"Good")</f>
        <v>Good</v>
      </c>
      <c r="AA256" t="str">
        <f>IFERROR(__xludf.DUMMYFUNCTION("""COMPUTED_VALUE"""),"Good")</f>
        <v>Good</v>
      </c>
      <c r="AB256" t="str">
        <f>IFERROR(__xludf.DUMMYFUNCTION("""COMPUTED_VALUE"""),"Good")</f>
        <v>Good</v>
      </c>
      <c r="AC256" t="str">
        <f>IFERROR(__xludf.DUMMYFUNCTION("""COMPUTED_VALUE"""),"Good")</f>
        <v>Good</v>
      </c>
      <c r="AE256" s="11"/>
      <c r="AF256" t="s">
        <v>218</v>
      </c>
      <c r="AG256" s="17" t="s">
        <v>43</v>
      </c>
      <c r="AH256" s="12">
        <v>1650.0</v>
      </c>
      <c r="AI256" s="12" t="s">
        <v>718</v>
      </c>
      <c r="AJ256" s="19" t="s">
        <v>719</v>
      </c>
      <c r="AK256" s="20" t="str">
        <f>HYPERLINK("https://docs.google.com/document/d/1Wg9Zp0UHwlUm4go4IGLILI0V5u0WvC2wzcoeNBDzINg/edit?usp=drivesdk","Pamela Marcum - 2/22/2019 1:00 PM")</f>
        <v>Pamela Marcum - 2/22/2019 1:00 PM</v>
      </c>
      <c r="AL256" s="12" t="s">
        <v>720</v>
      </c>
    </row>
    <row r="257">
      <c r="A257" s="10">
        <f>IFERROR(__xludf.DUMMYFUNCTION("""COMPUTED_VALUE"""),43523.30097172454)</f>
        <v>43523.30097</v>
      </c>
      <c r="B257" s="11" t="str">
        <f>IFERROR(__xludf.DUMMYFUNCTION("""COMPUTED_VALUE"""),"Pamela Marcum")</f>
        <v>Pamela Marcum</v>
      </c>
      <c r="C257" t="str">
        <f>IFERROR(__xludf.DUMMYFUNCTION("""COMPUTED_VALUE"""),"Pamela.Marcum@dep.state.fl.us")</f>
        <v>Pamela.Marcum@dep.state.fl.us</v>
      </c>
      <c r="D257" t="str">
        <f>IFERROR(__xludf.DUMMYFUNCTION("""COMPUTED_VALUE"""),"Research/Nikki")</f>
        <v>Research/Nikki</v>
      </c>
      <c r="E257" t="str">
        <f>IFERROR(__xludf.DUMMYFUNCTION("""COMPUTED_VALUE"""),"Usina/Aunt Kate's")</f>
        <v>Usina/Aunt Kate's</v>
      </c>
      <c r="F257" s="13">
        <f>IFERROR(__xludf.DUMMYFUNCTION("""COMPUTED_VALUE"""),0.3541666666678793)</f>
        <v>0.3541666667</v>
      </c>
      <c r="G257" s="14">
        <f>IFERROR(__xludf.DUMMYFUNCTION("""COMPUTED_VALUE"""),43523.0)</f>
        <v>43523</v>
      </c>
      <c r="H257" t="str">
        <f>IFERROR(__xludf.DUMMYFUNCTION("""COMPUTED_VALUE"""),"Tolomato River - Across from Wright's Landing")</f>
        <v>Tolomato River - Across from Wright's Landing</v>
      </c>
      <c r="I257" s="15">
        <f>IFERROR(__xludf.DUMMYFUNCTION("""COMPUTED_VALUE"""),0.4791666666678793)</f>
        <v>0.4791666667</v>
      </c>
      <c r="J257" s="16">
        <f>IFERROR(__xludf.DUMMYFUNCTION("""COMPUTED_VALUE"""),43523.5)</f>
        <v>43523.5</v>
      </c>
      <c r="K257" t="str">
        <f>IFERROR(__xludf.DUMMYFUNCTION("""COMPUTED_VALUE"""),"20ft Sea Ark FL5351SJ UNF 2015")</f>
        <v>20ft Sea Ark FL5351SJ UNF 2015</v>
      </c>
      <c r="M257" t="str">
        <f>IFERROR(__xludf.DUMMYFUNCTION("""COMPUTED_VALUE"""),"Ford F150 2015 (White) - DEP21448")</f>
        <v>Ford F150 2015 (White) - DEP21448</v>
      </c>
      <c r="N257" t="str">
        <f>IFERROR(__xludf.DUMMYFUNCTION("""COMPUTED_VALUE"""),"Pam Marcum, (480) 332-5414")</f>
        <v>Pam Marcum, (480) 332-5414</v>
      </c>
      <c r="O257" t="str">
        <f>IFERROR(__xludf.DUMMYFUNCTION("""COMPUTED_VALUE"""),"Jeff Finnan, Jim Cedarburg")</f>
        <v>Jeff Finnan, Jim Cedarburg</v>
      </c>
      <c r="P257" t="str">
        <f>IFERROR(__xludf.DUMMYFUNCTION("""COMPUTED_VALUE"""),"Pam")</f>
        <v>Pam</v>
      </c>
      <c r="Q257" t="str">
        <f>IFERROR(__xludf.DUMMYFUNCTION("""COMPUTED_VALUE"""),"Good")</f>
        <v>Good</v>
      </c>
      <c r="R257" t="str">
        <f>IFERROR(__xludf.DUMMYFUNCTION("""COMPUTED_VALUE"""),"Good")</f>
        <v>Good</v>
      </c>
      <c r="S257" t="str">
        <f>IFERROR(__xludf.DUMMYFUNCTION("""COMPUTED_VALUE"""),"Good")</f>
        <v>Good</v>
      </c>
      <c r="T257" t="str">
        <f>IFERROR(__xludf.DUMMYFUNCTION("""COMPUTED_VALUE"""),"Good")</f>
        <v>Good</v>
      </c>
      <c r="U257" t="str">
        <f>IFERROR(__xludf.DUMMYFUNCTION("""COMPUTED_VALUE"""),"Good")</f>
        <v>Good</v>
      </c>
      <c r="V257" t="str">
        <f>IFERROR(__xludf.DUMMYFUNCTION("""COMPUTED_VALUE"""),"Good")</f>
        <v>Good</v>
      </c>
      <c r="W257" t="str">
        <f>IFERROR(__xludf.DUMMYFUNCTION("""COMPUTED_VALUE"""),"Good")</f>
        <v>Good</v>
      </c>
      <c r="X257" t="str">
        <f>IFERROR(__xludf.DUMMYFUNCTION("""COMPUTED_VALUE"""),"Good")</f>
        <v>Good</v>
      </c>
      <c r="Y257" t="str">
        <f>IFERROR(__xludf.DUMMYFUNCTION("""COMPUTED_VALUE"""),"Good")</f>
        <v>Good</v>
      </c>
      <c r="Z257" t="str">
        <f>IFERROR(__xludf.DUMMYFUNCTION("""COMPUTED_VALUE"""),"Good")</f>
        <v>Good</v>
      </c>
      <c r="AA257" t="str">
        <f>IFERROR(__xludf.DUMMYFUNCTION("""COMPUTED_VALUE"""),"Good")</f>
        <v>Good</v>
      </c>
      <c r="AB257" t="str">
        <f>IFERROR(__xludf.DUMMYFUNCTION("""COMPUTED_VALUE"""),"Good")</f>
        <v>Good</v>
      </c>
      <c r="AC257" t="str">
        <f>IFERROR(__xludf.DUMMYFUNCTION("""COMPUTED_VALUE"""),"Good")</f>
        <v>Good</v>
      </c>
      <c r="AE257" s="11"/>
      <c r="AF257" t="s">
        <v>218</v>
      </c>
      <c r="AG257" s="17" t="s">
        <v>43</v>
      </c>
      <c r="AH257" s="12">
        <v>1125.0</v>
      </c>
      <c r="AI257" s="12" t="s">
        <v>721</v>
      </c>
      <c r="AJ257" s="19" t="s">
        <v>722</v>
      </c>
      <c r="AK257" s="20" t="str">
        <f>HYPERLINK("https://docs.google.com/document/d/1sDmDyYMJ_Z6YauBF7BJ7lbIu9r7ZI3aH4vnfTBeQ-Is/edit?usp=drivesdk","Pamela Marcum - 2/27/2019 8:30 AM")</f>
        <v>Pamela Marcum - 2/27/2019 8:30 AM</v>
      </c>
      <c r="AL257" s="12" t="s">
        <v>723</v>
      </c>
    </row>
    <row r="258">
      <c r="A258" s="10">
        <f>IFERROR(__xludf.DUMMYFUNCTION("""COMPUTED_VALUE"""),43523.665582118054)</f>
        <v>43523.66558</v>
      </c>
      <c r="B258" s="11" t="str">
        <f>IFERROR(__xludf.DUMMYFUNCTION("""COMPUTED_VALUE"""),"James Tomazinis")</f>
        <v>James Tomazinis</v>
      </c>
      <c r="C258" t="str">
        <f>IFERROR(__xludf.DUMMYFUNCTION("""COMPUTED_VALUE"""),"james.tomazinis@floridadep.gov")</f>
        <v>james.tomazinis@floridadep.gov</v>
      </c>
      <c r="D258" t="str">
        <f>IFERROR(__xludf.DUMMYFUNCTION("""COMPUTED_VALUE"""),"Stewardship (Aquatic)")</f>
        <v>Stewardship (Aquatic)</v>
      </c>
      <c r="E258" t="str">
        <f>IFERROR(__xludf.DUMMYFUNCTION("""COMPUTED_VALUE"""),"Vilano")</f>
        <v>Vilano</v>
      </c>
      <c r="F258" s="13">
        <f>IFERROR(__xludf.DUMMYFUNCTION("""COMPUTED_VALUE"""),0.3541666666678793)</f>
        <v>0.3541666667</v>
      </c>
      <c r="G258" s="14">
        <f>IFERROR(__xludf.DUMMYFUNCTION("""COMPUTED_VALUE"""),43524.0)</f>
        <v>43524</v>
      </c>
      <c r="H258" t="str">
        <f>IFERROR(__xludf.DUMMYFUNCTION("""COMPUTED_VALUE"""),"Matanzas River Nekton sites")</f>
        <v>Matanzas River Nekton sites</v>
      </c>
      <c r="I258" s="15">
        <f>IFERROR(__xludf.DUMMYFUNCTION("""COMPUTED_VALUE"""),0.5625)</f>
        <v>0.5625</v>
      </c>
      <c r="J258" s="16"/>
      <c r="K258" t="str">
        <f>IFERROR(__xludf.DUMMYFUNCTION("""COMPUTED_VALUE"""),"23ft Skiff (Bertha) FL7972LJ DEP07613")</f>
        <v>23ft Skiff (Bertha) FL7972LJ DEP07613</v>
      </c>
      <c r="M258" t="str">
        <f>IFERROR(__xludf.DUMMYFUNCTION("""COMPUTED_VALUE"""),"Ford F250 2017 (Moby Dix) - DEP0021578")</f>
        <v>Ford F250 2017 (Moby Dix) - DEP0021578</v>
      </c>
      <c r="N258" t="str">
        <f>IFERROR(__xludf.DUMMYFUNCTION("""COMPUTED_VALUE"""),"Jimmy Tomazinis, (904) 547-0094")</f>
        <v>Jimmy Tomazinis, (904) 547-0094</v>
      </c>
      <c r="O258" t="str">
        <f>IFERROR(__xludf.DUMMYFUNCTION("""COMPUTED_VALUE"""),"Jeff Finnan, Rueben Allen, Ed McGinley, students")</f>
        <v>Jeff Finnan, Rueben Allen, Ed McGinley, students</v>
      </c>
      <c r="P258" t="str">
        <f>IFERROR(__xludf.DUMMYFUNCTION("""COMPUTED_VALUE"""),"Jimmy")</f>
        <v>Jimmy</v>
      </c>
      <c r="Q258" t="str">
        <f>IFERROR(__xludf.DUMMYFUNCTION("""COMPUTED_VALUE"""),"Good")</f>
        <v>Good</v>
      </c>
      <c r="R258" t="str">
        <f>IFERROR(__xludf.DUMMYFUNCTION("""COMPUTED_VALUE"""),"Good")</f>
        <v>Good</v>
      </c>
      <c r="S258" t="str">
        <f>IFERROR(__xludf.DUMMYFUNCTION("""COMPUTED_VALUE"""),"Good")</f>
        <v>Good</v>
      </c>
      <c r="T258" t="str">
        <f>IFERROR(__xludf.DUMMYFUNCTION("""COMPUTED_VALUE"""),"Good")</f>
        <v>Good</v>
      </c>
      <c r="U258" t="str">
        <f>IFERROR(__xludf.DUMMYFUNCTION("""COMPUTED_VALUE"""),"Good")</f>
        <v>Good</v>
      </c>
      <c r="V258" t="str">
        <f>IFERROR(__xludf.DUMMYFUNCTION("""COMPUTED_VALUE"""),"Good")</f>
        <v>Good</v>
      </c>
      <c r="W258" t="str">
        <f>IFERROR(__xludf.DUMMYFUNCTION("""COMPUTED_VALUE"""),"Good")</f>
        <v>Good</v>
      </c>
      <c r="X258" t="str">
        <f>IFERROR(__xludf.DUMMYFUNCTION("""COMPUTED_VALUE"""),"Good")</f>
        <v>Good</v>
      </c>
      <c r="Y258" t="str">
        <f>IFERROR(__xludf.DUMMYFUNCTION("""COMPUTED_VALUE"""),"Good")</f>
        <v>Good</v>
      </c>
      <c r="Z258" t="str">
        <f>IFERROR(__xludf.DUMMYFUNCTION("""COMPUTED_VALUE"""),"Good")</f>
        <v>Good</v>
      </c>
      <c r="AA258" t="str">
        <f>IFERROR(__xludf.DUMMYFUNCTION("""COMPUTED_VALUE"""),"Good")</f>
        <v>Good</v>
      </c>
      <c r="AB258" t="str">
        <f>IFERROR(__xludf.DUMMYFUNCTION("""COMPUTED_VALUE"""),"Good")</f>
        <v>Good</v>
      </c>
      <c r="AC258" t="str">
        <f>IFERROR(__xludf.DUMMYFUNCTION("""COMPUTED_VALUE"""),"Good")</f>
        <v>Good</v>
      </c>
      <c r="AE258" s="11"/>
      <c r="AF258" t="s">
        <v>32</v>
      </c>
      <c r="AG258" s="17" t="s">
        <v>18</v>
      </c>
      <c r="AH258" s="12">
        <v>1320.0</v>
      </c>
      <c r="AI258" s="12" t="s">
        <v>724</v>
      </c>
      <c r="AJ258" s="19" t="s">
        <v>725</v>
      </c>
      <c r="AK258" s="20" t="str">
        <f>HYPERLINK("https://docs.google.com/document/d/1MF4XTFcMuFaeeAGZvcZGTrRDTufu4yqULGm4wOzvNHk/edit?usp=drivesdk","James Tomazinis - 2/28/2019 8:30 AM")</f>
        <v>James Tomazinis - 2/28/2019 8:30 AM</v>
      </c>
      <c r="AL258" s="12" t="s">
        <v>726</v>
      </c>
    </row>
    <row r="259">
      <c r="A259" s="10">
        <f>IFERROR(__xludf.DUMMYFUNCTION("""COMPUTED_VALUE"""),43524.36113023148)</f>
        <v>43524.36113</v>
      </c>
      <c r="B259" s="11" t="str">
        <f>IFERROR(__xludf.DUMMYFUNCTION("""COMPUTED_VALUE"""),"Pamela Marcum")</f>
        <v>Pamela Marcum</v>
      </c>
      <c r="C259" t="str">
        <f>IFERROR(__xludf.DUMMYFUNCTION("""COMPUTED_VALUE"""),"Pamela.Marcum@floridadep.gov")</f>
        <v>Pamela.Marcum@floridadep.gov</v>
      </c>
      <c r="D259" t="str">
        <f>IFERROR(__xludf.DUMMYFUNCTION("""COMPUTED_VALUE"""),"Research/Nikki")</f>
        <v>Research/Nikki</v>
      </c>
      <c r="E259" t="str">
        <f>IFERROR(__xludf.DUMMYFUNCTION("""COMPUTED_VALUE"""),"Lighthouse 9:15, Green Rd 11a, Whitney Lab, 12:30p")</f>
        <v>Lighthouse 9:15, Green Rd 11a, Whitney Lab, 12:30p</v>
      </c>
      <c r="F259" s="13">
        <f>IFERROR(__xludf.DUMMYFUNCTION("""COMPUTED_VALUE"""),0.375)</f>
        <v>0.375</v>
      </c>
      <c r="G259" s="14">
        <f>IFERROR(__xludf.DUMMYFUNCTION("""COMPUTED_VALUE"""),43524.0)</f>
        <v>43524</v>
      </c>
      <c r="H259" t="str">
        <f>IFERROR(__xludf.DUMMYFUNCTION("""COMPUTED_VALUE"""),"Salt Run, Devil's Elbow, Pellicer Flats")</f>
        <v>Salt Run, Devil's Elbow, Pellicer Flats</v>
      </c>
      <c r="I259" s="15">
        <f>IFERROR(__xludf.DUMMYFUNCTION("""COMPUTED_VALUE"""),0.5625)</f>
        <v>0.5625</v>
      </c>
      <c r="J259" s="16">
        <f>IFERROR(__xludf.DUMMYFUNCTION("""COMPUTED_VALUE"""),43524.60416666667)</f>
        <v>43524.60417</v>
      </c>
      <c r="K259" t="str">
        <f>IFERROR(__xludf.DUMMYFUNCTION("""COMPUTED_VALUE"""),"20ft Sea Ark FL5351SJ UNF 2015")</f>
        <v>20ft Sea Ark FL5351SJ UNF 2015</v>
      </c>
      <c r="M259" t="str">
        <f>IFERROR(__xludf.DUMMYFUNCTION("""COMPUTED_VALUE"""),"Ford F150 2015 (White) - DEP21448")</f>
        <v>Ford F150 2015 (White) - DEP21448</v>
      </c>
      <c r="N259" t="str">
        <f>IFERROR(__xludf.DUMMYFUNCTION("""COMPUTED_VALUE"""),"Pam Marcum, (480) 332-5414")</f>
        <v>Pam Marcum, (480) 332-5414</v>
      </c>
      <c r="O259" t="str">
        <f>IFERROR(__xludf.DUMMYFUNCTION("""COMPUTED_VALUE"""),"Kala Neighbor")</f>
        <v>Kala Neighbor</v>
      </c>
      <c r="P259" t="str">
        <f>IFERROR(__xludf.DUMMYFUNCTION("""COMPUTED_VALUE"""),"Pam")</f>
        <v>Pam</v>
      </c>
      <c r="Q259" t="str">
        <f>IFERROR(__xludf.DUMMYFUNCTION("""COMPUTED_VALUE"""),"Good")</f>
        <v>Good</v>
      </c>
      <c r="R259" t="str">
        <f>IFERROR(__xludf.DUMMYFUNCTION("""COMPUTED_VALUE"""),"Good")</f>
        <v>Good</v>
      </c>
      <c r="S259" t="str">
        <f>IFERROR(__xludf.DUMMYFUNCTION("""COMPUTED_VALUE"""),"Good")</f>
        <v>Good</v>
      </c>
      <c r="T259" t="str">
        <f>IFERROR(__xludf.DUMMYFUNCTION("""COMPUTED_VALUE"""),"Good")</f>
        <v>Good</v>
      </c>
      <c r="U259" t="str">
        <f>IFERROR(__xludf.DUMMYFUNCTION("""COMPUTED_VALUE"""),"Good")</f>
        <v>Good</v>
      </c>
      <c r="V259" t="str">
        <f>IFERROR(__xludf.DUMMYFUNCTION("""COMPUTED_VALUE"""),"Good")</f>
        <v>Good</v>
      </c>
      <c r="W259" t="str">
        <f>IFERROR(__xludf.DUMMYFUNCTION("""COMPUTED_VALUE"""),"Good")</f>
        <v>Good</v>
      </c>
      <c r="X259" t="str">
        <f>IFERROR(__xludf.DUMMYFUNCTION("""COMPUTED_VALUE"""),"Good")</f>
        <v>Good</v>
      </c>
      <c r="Y259" t="str">
        <f>IFERROR(__xludf.DUMMYFUNCTION("""COMPUTED_VALUE"""),"Good")</f>
        <v>Good</v>
      </c>
      <c r="Z259" t="str">
        <f>IFERROR(__xludf.DUMMYFUNCTION("""COMPUTED_VALUE"""),"Good")</f>
        <v>Good</v>
      </c>
      <c r="AA259" t="str">
        <f>IFERROR(__xludf.DUMMYFUNCTION("""COMPUTED_VALUE"""),"Good")</f>
        <v>Good</v>
      </c>
      <c r="AB259" t="str">
        <f>IFERROR(__xludf.DUMMYFUNCTION("""COMPUTED_VALUE"""),"Good")</f>
        <v>Good</v>
      </c>
      <c r="AC259" t="str">
        <f>IFERROR(__xludf.DUMMYFUNCTION("""COMPUTED_VALUE"""),"Good")</f>
        <v>Good</v>
      </c>
      <c r="AE259" s="11"/>
      <c r="AF259" t="s">
        <v>218</v>
      </c>
      <c r="AG259" s="17" t="s">
        <v>18</v>
      </c>
      <c r="AH259" s="12">
        <v>1315.0</v>
      </c>
      <c r="AI259" s="12" t="s">
        <v>727</v>
      </c>
      <c r="AJ259" s="19" t="s">
        <v>728</v>
      </c>
      <c r="AK259" s="20" t="str">
        <f>HYPERLINK("https://docs.google.com/document/d/1SSjQWnl-mwCpqOXHeWdGBalJD7IGHDPVfgJa0kDIzdE/edit?usp=drivesdk","Pamela Marcum - 2/28/2019 9:00 AM")</f>
        <v>Pamela Marcum - 2/28/2019 9:00 AM</v>
      </c>
      <c r="AL259" s="12" t="s">
        <v>729</v>
      </c>
    </row>
    <row r="260">
      <c r="A260" s="10">
        <f>IFERROR(__xludf.DUMMYFUNCTION("""COMPUTED_VALUE"""),43525.352190115744)</f>
        <v>43525.35219</v>
      </c>
      <c r="B260" s="11" t="str">
        <f>IFERROR(__xludf.DUMMYFUNCTION("""COMPUTED_VALUE"""),"Pamela Marcum")</f>
        <v>Pamela Marcum</v>
      </c>
      <c r="C260" t="str">
        <f>IFERROR(__xludf.DUMMYFUNCTION("""COMPUTED_VALUE"""),"Pamela.Marcum@floridadep.gov")</f>
        <v>Pamela.Marcum@floridadep.gov</v>
      </c>
      <c r="D260" t="str">
        <f>IFERROR(__xludf.DUMMYFUNCTION("""COMPUTED_VALUE"""),"Research/Nikki")</f>
        <v>Research/Nikki</v>
      </c>
      <c r="E260" t="str">
        <f>IFERROR(__xludf.DUMMYFUNCTION("""COMPUTED_VALUE"""),"Aunt Kate's")</f>
        <v>Aunt Kate's</v>
      </c>
      <c r="F260" s="13">
        <f>IFERROR(__xludf.DUMMYFUNCTION("""COMPUTED_VALUE"""),0.3958333333321207)</f>
        <v>0.3958333333</v>
      </c>
      <c r="G260" s="14">
        <f>IFERROR(__xludf.DUMMYFUNCTION("""COMPUTED_VALUE"""),43525.0)</f>
        <v>43525</v>
      </c>
      <c r="H260" t="str">
        <f>IFERROR(__xludf.DUMMYFUNCTION("""COMPUTED_VALUE"""),"St Aug, GR, TR spat trees")</f>
        <v>St Aug, GR, TR spat trees</v>
      </c>
      <c r="I260" s="15">
        <f>IFERROR(__xludf.DUMMYFUNCTION("""COMPUTED_VALUE"""),0.6666666666678793)</f>
        <v>0.6666666667</v>
      </c>
      <c r="J260" s="16">
        <f>IFERROR(__xludf.DUMMYFUNCTION("""COMPUTED_VALUE"""),43525.6875)</f>
        <v>43525.6875</v>
      </c>
      <c r="K260" t="str">
        <f>IFERROR(__xludf.DUMMYFUNCTION("""COMPUTED_VALUE"""),"20ft Sea Ark FL5351SJ UNF 2015")</f>
        <v>20ft Sea Ark FL5351SJ UNF 2015</v>
      </c>
      <c r="M260" t="str">
        <f>IFERROR(__xludf.DUMMYFUNCTION("""COMPUTED_VALUE"""),"Ford F150 2015 (White) - DEP21448")</f>
        <v>Ford F150 2015 (White) - DEP21448</v>
      </c>
      <c r="N260" t="str">
        <f>IFERROR(__xludf.DUMMYFUNCTION("""COMPUTED_VALUE"""),"Pam Marcum, (480) 332-5414")</f>
        <v>Pam Marcum, (480) 332-5414</v>
      </c>
      <c r="O260" t="str">
        <f>IFERROR(__xludf.DUMMYFUNCTION("""COMPUTED_VALUE"""),"Nicole Peckham, Adrienne Breef-Pilz")</f>
        <v>Nicole Peckham, Adrienne Breef-Pilz</v>
      </c>
      <c r="P260" t="str">
        <f>IFERROR(__xludf.DUMMYFUNCTION("""COMPUTED_VALUE"""),"Pam")</f>
        <v>Pam</v>
      </c>
      <c r="Q260" t="str">
        <f>IFERROR(__xludf.DUMMYFUNCTION("""COMPUTED_VALUE"""),"Good")</f>
        <v>Good</v>
      </c>
      <c r="R260" t="str">
        <f>IFERROR(__xludf.DUMMYFUNCTION("""COMPUTED_VALUE"""),"Good")</f>
        <v>Good</v>
      </c>
      <c r="S260" t="str">
        <f>IFERROR(__xludf.DUMMYFUNCTION("""COMPUTED_VALUE"""),"Good")</f>
        <v>Good</v>
      </c>
      <c r="T260" t="str">
        <f>IFERROR(__xludf.DUMMYFUNCTION("""COMPUTED_VALUE"""),"Good")</f>
        <v>Good</v>
      </c>
      <c r="U260" t="str">
        <f>IFERROR(__xludf.DUMMYFUNCTION("""COMPUTED_VALUE"""),"Good")</f>
        <v>Good</v>
      </c>
      <c r="V260" t="str">
        <f>IFERROR(__xludf.DUMMYFUNCTION("""COMPUTED_VALUE"""),"Good")</f>
        <v>Good</v>
      </c>
      <c r="W260" t="str">
        <f>IFERROR(__xludf.DUMMYFUNCTION("""COMPUTED_VALUE"""),"Good")</f>
        <v>Good</v>
      </c>
      <c r="X260" t="str">
        <f>IFERROR(__xludf.DUMMYFUNCTION("""COMPUTED_VALUE"""),"Good")</f>
        <v>Good</v>
      </c>
      <c r="Y260" t="str">
        <f>IFERROR(__xludf.DUMMYFUNCTION("""COMPUTED_VALUE"""),"Good")</f>
        <v>Good</v>
      </c>
      <c r="Z260" t="str">
        <f>IFERROR(__xludf.DUMMYFUNCTION("""COMPUTED_VALUE"""),"Good")</f>
        <v>Good</v>
      </c>
      <c r="AA260" t="str">
        <f>IFERROR(__xludf.DUMMYFUNCTION("""COMPUTED_VALUE"""),"Good")</f>
        <v>Good</v>
      </c>
      <c r="AB260" t="str">
        <f>IFERROR(__xludf.DUMMYFUNCTION("""COMPUTED_VALUE"""),"Good")</f>
        <v>Good</v>
      </c>
      <c r="AC260" t="str">
        <f>IFERROR(__xludf.DUMMYFUNCTION("""COMPUTED_VALUE"""),"Good")</f>
        <v>Good</v>
      </c>
      <c r="AE260" s="11"/>
      <c r="AF260" t="s">
        <v>218</v>
      </c>
      <c r="AG260" s="17" t="s">
        <v>128</v>
      </c>
      <c r="AH260" s="12">
        <v>1400.0</v>
      </c>
      <c r="AI260" s="12" t="s">
        <v>730</v>
      </c>
      <c r="AJ260" s="19" t="s">
        <v>731</v>
      </c>
      <c r="AK260" s="20" t="str">
        <f>HYPERLINK("https://docs.google.com/document/d/13swHtX7gKJbnmI4FTAIM1Ytz2fAZaljKFxQgPpMXl7w/edit?usp=drivesdk","Pamela Marcum - 3/1/2019 9:30 AM")</f>
        <v>Pamela Marcum - 3/1/2019 9:30 AM</v>
      </c>
      <c r="AL260" s="12" t="s">
        <v>732</v>
      </c>
    </row>
    <row r="261">
      <c r="A261" s="10">
        <f>IFERROR(__xludf.DUMMYFUNCTION("""COMPUTED_VALUE"""),43525.60143208333)</f>
        <v>43525.60143</v>
      </c>
      <c r="B261" s="11" t="str">
        <f>IFERROR(__xludf.DUMMYFUNCTION("""COMPUTED_VALUE"""),"Pam Marcum")</f>
        <v>Pam Marcum</v>
      </c>
      <c r="C261" t="str">
        <f>IFERROR(__xludf.DUMMYFUNCTION("""COMPUTED_VALUE"""),"Pamela.Marcum@floridadep.gov")</f>
        <v>Pamela.Marcum@floridadep.gov</v>
      </c>
      <c r="D261" t="str">
        <f>IFERROR(__xludf.DUMMYFUNCTION("""COMPUTED_VALUE"""),"Research/Nikki")</f>
        <v>Research/Nikki</v>
      </c>
      <c r="E261" t="str">
        <f>IFERROR(__xludf.DUMMYFUNCTION("""COMPUTED_VALUE"""),"Shore Dr")</f>
        <v>Shore Dr</v>
      </c>
      <c r="F261" s="13">
        <f>IFERROR(__xludf.DUMMYFUNCTION("""COMPUTED_VALUE"""),0.6458333333321207)</f>
        <v>0.6458333333</v>
      </c>
      <c r="G261" s="14">
        <f>IFERROR(__xludf.DUMMYFUNCTION("""COMPUTED_VALUE"""),43525.0)</f>
        <v>43525</v>
      </c>
      <c r="H261" t="str">
        <f>IFERROR(__xludf.DUMMYFUNCTION("""COMPUTED_VALUE"""),"San Sebastian/Matanzas River SA Spat trees")</f>
        <v>San Sebastian/Matanzas River SA Spat trees</v>
      </c>
      <c r="I261" s="15">
        <f>IFERROR(__xludf.DUMMYFUNCTION("""COMPUTED_VALUE"""),0.7083333333321207)</f>
        <v>0.7083333333</v>
      </c>
      <c r="J261" s="16">
        <f>IFERROR(__xludf.DUMMYFUNCTION("""COMPUTED_VALUE"""),43525.72916666667)</f>
        <v>43525.72917</v>
      </c>
      <c r="K261" t="str">
        <f>IFERROR(__xludf.DUMMYFUNCTION("""COMPUTED_VALUE"""),"20ft Sea Ark FL5351SJ UNF 2015")</f>
        <v>20ft Sea Ark FL5351SJ UNF 2015</v>
      </c>
      <c r="M261" t="str">
        <f>IFERROR(__xludf.DUMMYFUNCTION("""COMPUTED_VALUE"""),"Ford F150 2015 (White) - DEP21448")</f>
        <v>Ford F150 2015 (White) - DEP21448</v>
      </c>
      <c r="N261" t="str">
        <f>IFERROR(__xludf.DUMMYFUNCTION("""COMPUTED_VALUE"""),"Pam Marcum, (480) 332-5414")</f>
        <v>Pam Marcum, (480) 332-5414</v>
      </c>
      <c r="O261" t="str">
        <f>IFERROR(__xludf.DUMMYFUNCTION("""COMPUTED_VALUE"""),"Joseph Turvey")</f>
        <v>Joseph Turvey</v>
      </c>
      <c r="P261" t="str">
        <f>IFERROR(__xludf.DUMMYFUNCTION("""COMPUTED_VALUE"""),"Pam")</f>
        <v>Pam</v>
      </c>
      <c r="Q261" t="str">
        <f>IFERROR(__xludf.DUMMYFUNCTION("""COMPUTED_VALUE"""),"Good")</f>
        <v>Good</v>
      </c>
      <c r="R261" t="str">
        <f>IFERROR(__xludf.DUMMYFUNCTION("""COMPUTED_VALUE"""),"Good")</f>
        <v>Good</v>
      </c>
      <c r="S261" t="str">
        <f>IFERROR(__xludf.DUMMYFUNCTION("""COMPUTED_VALUE"""),"Good")</f>
        <v>Good</v>
      </c>
      <c r="T261" t="str">
        <f>IFERROR(__xludf.DUMMYFUNCTION("""COMPUTED_VALUE"""),"Good")</f>
        <v>Good</v>
      </c>
      <c r="U261" t="str">
        <f>IFERROR(__xludf.DUMMYFUNCTION("""COMPUTED_VALUE"""),"Good")</f>
        <v>Good</v>
      </c>
      <c r="V261" t="str">
        <f>IFERROR(__xludf.DUMMYFUNCTION("""COMPUTED_VALUE"""),"Good")</f>
        <v>Good</v>
      </c>
      <c r="W261" t="str">
        <f>IFERROR(__xludf.DUMMYFUNCTION("""COMPUTED_VALUE"""),"Good")</f>
        <v>Good</v>
      </c>
      <c r="X261" t="str">
        <f>IFERROR(__xludf.DUMMYFUNCTION("""COMPUTED_VALUE"""),"Good")</f>
        <v>Good</v>
      </c>
      <c r="Y261" t="str">
        <f>IFERROR(__xludf.DUMMYFUNCTION("""COMPUTED_VALUE"""),"Good")</f>
        <v>Good</v>
      </c>
      <c r="Z261" t="str">
        <f>IFERROR(__xludf.DUMMYFUNCTION("""COMPUTED_VALUE"""),"Good")</f>
        <v>Good</v>
      </c>
      <c r="AA261" t="str">
        <f>IFERROR(__xludf.DUMMYFUNCTION("""COMPUTED_VALUE"""),"Good")</f>
        <v>Good</v>
      </c>
      <c r="AB261" t="str">
        <f>IFERROR(__xludf.DUMMYFUNCTION("""COMPUTED_VALUE"""),"Good")</f>
        <v>Good</v>
      </c>
      <c r="AC261" t="str">
        <f>IFERROR(__xludf.DUMMYFUNCTION("""COMPUTED_VALUE"""),"Good")</f>
        <v>Good</v>
      </c>
      <c r="AE261" s="11"/>
      <c r="AF261" t="s">
        <v>218</v>
      </c>
      <c r="AG261" s="17" t="s">
        <v>43</v>
      </c>
      <c r="AH261" s="12">
        <v>1600.0</v>
      </c>
      <c r="AI261" s="12" t="s">
        <v>733</v>
      </c>
      <c r="AJ261" s="19" t="s">
        <v>734</v>
      </c>
      <c r="AK261" s="20" t="str">
        <f>HYPERLINK("https://docs.google.com/document/d/1iJsN9moJpH-rG7n8WmHd_EvVphFOsQgH3l5bndDInzo/edit?usp=drivesdk","Pam Marcum - 3/1/2019 3:30 PM")</f>
        <v>Pam Marcum - 3/1/2019 3:30 PM</v>
      </c>
      <c r="AL261" s="12" t="s">
        <v>735</v>
      </c>
    </row>
    <row r="262">
      <c r="A262" s="10">
        <f>IFERROR(__xludf.DUMMYFUNCTION("""COMPUTED_VALUE"""),43528.323434108795)</f>
        <v>43528.32343</v>
      </c>
      <c r="B262" s="11" t="str">
        <f>IFERROR(__xludf.DUMMYFUNCTION("""COMPUTED_VALUE"""),"Jimmy")</f>
        <v>Jimmy</v>
      </c>
      <c r="C262" t="str">
        <f>IFERROR(__xludf.DUMMYFUNCTION("""COMPUTED_VALUE"""),"james.tomazinis@dep.state.fl.us")</f>
        <v>james.tomazinis@dep.state.fl.us</v>
      </c>
      <c r="D262" t="str">
        <f>IFERROR(__xludf.DUMMYFUNCTION("""COMPUTED_VALUE"""),"Stewardship (Aquatic)")</f>
        <v>Stewardship (Aquatic)</v>
      </c>
      <c r="E262" t="str">
        <f>IFERROR(__xludf.DUMMYFUNCTION("""COMPUTED_VALUE"""),"Guana Dam")</f>
        <v>Guana Dam</v>
      </c>
      <c r="F262" s="13">
        <f>IFERROR(__xludf.DUMMYFUNCTION("""COMPUTED_VALUE"""),0.34375)</f>
        <v>0.34375</v>
      </c>
      <c r="G262" s="14">
        <f>IFERROR(__xludf.DUMMYFUNCTION("""COMPUTED_VALUE"""),43528.0)</f>
        <v>43528</v>
      </c>
      <c r="H262" t="str">
        <f>IFERROR(__xludf.DUMMYFUNCTION("""COMPUTED_VALUE"""),"Guana River WQ sites")</f>
        <v>Guana River WQ sites</v>
      </c>
      <c r="I262" s="15">
        <f>IFERROR(__xludf.DUMMYFUNCTION("""COMPUTED_VALUE"""),0.40625)</f>
        <v>0.40625</v>
      </c>
      <c r="J262" s="16"/>
      <c r="K262" t="str">
        <f>IFERROR(__xludf.DUMMYFUNCTION("""COMPUTED_VALUE"""),"Jon Boat FL0484NP DEP06819")</f>
        <v>Jon Boat FL0484NP DEP06819</v>
      </c>
      <c r="M262" t="str">
        <f>IFERROR(__xludf.DUMMYFUNCTION("""COMPUTED_VALUE"""),"Ford F150 2015 (White) - DEP21448")</f>
        <v>Ford F150 2015 (White) - DEP21448</v>
      </c>
      <c r="N262" t="str">
        <f>IFERROR(__xludf.DUMMYFUNCTION("""COMPUTED_VALUE"""),"Jimmy Tomazinis, (904) 547-0094")</f>
        <v>Jimmy Tomazinis, (904) 547-0094</v>
      </c>
      <c r="O262" t="str">
        <f>IFERROR(__xludf.DUMMYFUNCTION("""COMPUTED_VALUE"""),"Mike Darragh")</f>
        <v>Mike Darragh</v>
      </c>
      <c r="P262" t="str">
        <f>IFERROR(__xludf.DUMMYFUNCTION("""COMPUTED_VALUE"""),"Jimmy")</f>
        <v>Jimmy</v>
      </c>
      <c r="Q262" t="str">
        <f>IFERROR(__xludf.DUMMYFUNCTION("""COMPUTED_VALUE"""),"Good")</f>
        <v>Good</v>
      </c>
      <c r="R262" t="str">
        <f>IFERROR(__xludf.DUMMYFUNCTION("""COMPUTED_VALUE"""),"Good")</f>
        <v>Good</v>
      </c>
      <c r="S262" t="str">
        <f>IFERROR(__xludf.DUMMYFUNCTION("""COMPUTED_VALUE"""),"Good")</f>
        <v>Good</v>
      </c>
      <c r="T262" t="str">
        <f>IFERROR(__xludf.DUMMYFUNCTION("""COMPUTED_VALUE"""),"Good")</f>
        <v>Good</v>
      </c>
      <c r="U262" t="str">
        <f>IFERROR(__xludf.DUMMYFUNCTION("""COMPUTED_VALUE"""),"Good")</f>
        <v>Good</v>
      </c>
      <c r="V262" t="str">
        <f>IFERROR(__xludf.DUMMYFUNCTION("""COMPUTED_VALUE"""),"Good")</f>
        <v>Good</v>
      </c>
      <c r="W262" t="str">
        <f>IFERROR(__xludf.DUMMYFUNCTION("""COMPUTED_VALUE"""),"Good")</f>
        <v>Good</v>
      </c>
      <c r="X262" t="str">
        <f>IFERROR(__xludf.DUMMYFUNCTION("""COMPUTED_VALUE"""),"Good")</f>
        <v>Good</v>
      </c>
      <c r="Y262" t="str">
        <f>IFERROR(__xludf.DUMMYFUNCTION("""COMPUTED_VALUE"""),"Good")</f>
        <v>Good</v>
      </c>
      <c r="Z262" t="str">
        <f>IFERROR(__xludf.DUMMYFUNCTION("""COMPUTED_VALUE"""),"Good")</f>
        <v>Good</v>
      </c>
      <c r="AA262" t="str">
        <f>IFERROR(__xludf.DUMMYFUNCTION("""COMPUTED_VALUE"""),"Good")</f>
        <v>Good</v>
      </c>
      <c r="AB262" t="str">
        <f>IFERROR(__xludf.DUMMYFUNCTION("""COMPUTED_VALUE"""),"Good")</f>
        <v>Good</v>
      </c>
      <c r="AC262" t="str">
        <f>IFERROR(__xludf.DUMMYFUNCTION("""COMPUTED_VALUE"""),"Good")</f>
        <v>Good</v>
      </c>
      <c r="AE262" s="11"/>
      <c r="AF262" t="s">
        <v>32</v>
      </c>
      <c r="AG262" s="17" t="s">
        <v>18</v>
      </c>
      <c r="AH262" s="12">
        <v>1000.0</v>
      </c>
      <c r="AI262" s="12" t="s">
        <v>736</v>
      </c>
      <c r="AJ262" s="19" t="s">
        <v>737</v>
      </c>
      <c r="AK262" s="20" t="str">
        <f>HYPERLINK("https://docs.google.com/document/d/1THJY9npUUObsa_EIxEJih_JhyMtxohl0xQnwoTdyRVE/edit?usp=drivesdk","Jimmy - 3/4/2019 8:15 AM")</f>
        <v>Jimmy - 3/4/2019 8:15 AM</v>
      </c>
      <c r="AL262" s="12" t="s">
        <v>738</v>
      </c>
    </row>
    <row r="263">
      <c r="A263" s="10">
        <f>IFERROR(__xludf.DUMMYFUNCTION("""COMPUTED_VALUE"""),43528.659959641205)</f>
        <v>43528.65996</v>
      </c>
      <c r="B263" s="11" t="str">
        <f>IFERROR(__xludf.DUMMYFUNCTION("""COMPUTED_VALUE"""),"Silas Tanner")</f>
        <v>Silas Tanner</v>
      </c>
      <c r="C263" t="str">
        <f>IFERROR(__xludf.DUMMYFUNCTION("""COMPUTED_VALUE"""),"silas.tanner@floridadep.gov")</f>
        <v>silas.tanner@floridadep.gov</v>
      </c>
      <c r="D263" t="str">
        <f>IFERROR(__xludf.DUMMYFUNCTION("""COMPUTED_VALUE"""),"Research/Nikki")</f>
        <v>Research/Nikki</v>
      </c>
      <c r="E263" t="str">
        <f>IFERROR(__xludf.DUMMYFUNCTION("""COMPUTED_VALUE"""),"Vilano Landing")</f>
        <v>Vilano Landing</v>
      </c>
      <c r="F263" s="13">
        <f>IFERROR(__xludf.DUMMYFUNCTION("""COMPUTED_VALUE"""),0.3229166666678793)</f>
        <v>0.3229166667</v>
      </c>
      <c r="G263" s="14">
        <f>IFERROR(__xludf.DUMMYFUNCTION("""COMPUTED_VALUE"""),43528.0)</f>
        <v>43528</v>
      </c>
      <c r="H263" t="str">
        <f>IFERROR(__xludf.DUMMYFUNCTION("""COMPUTED_VALUE"""),"ICW SWMP Sites")</f>
        <v>ICW SWMP Sites</v>
      </c>
      <c r="I263" s="15">
        <f>IFERROR(__xludf.DUMMYFUNCTION("""COMPUTED_VALUE"""),0.5729166666678793)</f>
        <v>0.5729166667</v>
      </c>
      <c r="J263" s="16">
        <f>IFERROR(__xludf.DUMMYFUNCTION("""COMPUTED_VALUE"""),43528.58333333333)</f>
        <v>43528.58333</v>
      </c>
      <c r="K263" t="str">
        <f>IFERROR(__xludf.DUMMYFUNCTION("""COMPUTED_VALUE"""),"23ft Skiff (Bertha) FL7972LJ DEP07613")</f>
        <v>23ft Skiff (Bertha) FL7972LJ DEP07613</v>
      </c>
      <c r="M263" t="str">
        <f>IFERROR(__xludf.DUMMYFUNCTION("""COMPUTED_VALUE"""),"Ford F250 2017 (Moby Dix) - DEP0021578")</f>
        <v>Ford F250 2017 (Moby Dix) - DEP0021578</v>
      </c>
      <c r="N263" t="str">
        <f>IFERROR(__xludf.DUMMYFUNCTION("""COMPUTED_VALUE"""),"Silas Tanner, (904) 483-8423, Jimmy Tomazinis, (904) 547-0094")</f>
        <v>Silas Tanner, (904) 483-8423, Jimmy Tomazinis, (904) 547-0094</v>
      </c>
      <c r="O263" t="str">
        <f>IFERROR(__xludf.DUMMYFUNCTION("""COMPUTED_VALUE"""),"Casey McClure")</f>
        <v>Casey McClure</v>
      </c>
      <c r="P263" t="str">
        <f>IFERROR(__xludf.DUMMYFUNCTION("""COMPUTED_VALUE"""),"S. Tanner")</f>
        <v>S. Tanner</v>
      </c>
      <c r="Q263" t="str">
        <f>IFERROR(__xludf.DUMMYFUNCTION("""COMPUTED_VALUE"""),"Good")</f>
        <v>Good</v>
      </c>
      <c r="R263" t="str">
        <f>IFERROR(__xludf.DUMMYFUNCTION("""COMPUTED_VALUE"""),"Good")</f>
        <v>Good</v>
      </c>
      <c r="S263" t="str">
        <f>IFERROR(__xludf.DUMMYFUNCTION("""COMPUTED_VALUE"""),"Good")</f>
        <v>Good</v>
      </c>
      <c r="T263" t="str">
        <f>IFERROR(__xludf.DUMMYFUNCTION("""COMPUTED_VALUE"""),"Good")</f>
        <v>Good</v>
      </c>
      <c r="U263" t="str">
        <f>IFERROR(__xludf.DUMMYFUNCTION("""COMPUTED_VALUE"""),"Good")</f>
        <v>Good</v>
      </c>
      <c r="V263" t="str">
        <f>IFERROR(__xludf.DUMMYFUNCTION("""COMPUTED_VALUE"""),"Good")</f>
        <v>Good</v>
      </c>
      <c r="W263" t="str">
        <f>IFERROR(__xludf.DUMMYFUNCTION("""COMPUTED_VALUE"""),"Good")</f>
        <v>Good</v>
      </c>
      <c r="X263" t="str">
        <f>IFERROR(__xludf.DUMMYFUNCTION("""COMPUTED_VALUE"""),"Good")</f>
        <v>Good</v>
      </c>
      <c r="Y263" t="str">
        <f>IFERROR(__xludf.DUMMYFUNCTION("""COMPUTED_VALUE"""),"Good")</f>
        <v>Good</v>
      </c>
      <c r="Z263" t="str">
        <f>IFERROR(__xludf.DUMMYFUNCTION("""COMPUTED_VALUE"""),"Good")</f>
        <v>Good</v>
      </c>
      <c r="AA263" t="str">
        <f>IFERROR(__xludf.DUMMYFUNCTION("""COMPUTED_VALUE"""),"Good")</f>
        <v>Good</v>
      </c>
      <c r="AB263" t="str">
        <f>IFERROR(__xludf.DUMMYFUNCTION("""COMPUTED_VALUE"""),"Good")</f>
        <v>Good</v>
      </c>
      <c r="AC263" t="str">
        <f>IFERROR(__xludf.DUMMYFUNCTION("""COMPUTED_VALUE"""),"Good")</f>
        <v>Good</v>
      </c>
      <c r="AE263" s="11"/>
      <c r="AF263" t="s">
        <v>218</v>
      </c>
      <c r="AG263" s="17" t="s">
        <v>18</v>
      </c>
      <c r="AH263" s="12">
        <v>1310.0</v>
      </c>
      <c r="AI263" s="12" t="s">
        <v>739</v>
      </c>
      <c r="AJ263" s="19" t="s">
        <v>740</v>
      </c>
      <c r="AK263" s="20" t="str">
        <f>HYPERLINK("https://docs.google.com/document/d/1TJtSa6lbULLrc9i4aU81PsSx6hsWL8HJ2uszk5W7kv8/edit?usp=drivesdk","Silas Tanner - 3/4/2019 7:45 AM")</f>
        <v>Silas Tanner - 3/4/2019 7:45 AM</v>
      </c>
      <c r="AL263" s="12" t="s">
        <v>741</v>
      </c>
    </row>
    <row r="264">
      <c r="A264" s="10">
        <f>IFERROR(__xludf.DUMMYFUNCTION("""COMPUTED_VALUE"""),43535.44156988426)</f>
        <v>43535.44157</v>
      </c>
      <c r="B264" s="11" t="str">
        <f>IFERROR(__xludf.DUMMYFUNCTION("""COMPUTED_VALUE"""),"James Tomazinis")</f>
        <v>James Tomazinis</v>
      </c>
      <c r="C264" t="str">
        <f>IFERROR(__xludf.DUMMYFUNCTION("""COMPUTED_VALUE"""),"james.tomazinis@floridadep.gov")</f>
        <v>james.tomazinis@floridadep.gov</v>
      </c>
      <c r="D264" t="str">
        <f>IFERROR(__xludf.DUMMYFUNCTION("""COMPUTED_VALUE"""),"Stewardship (Aquatic)")</f>
        <v>Stewardship (Aquatic)</v>
      </c>
      <c r="E264" t="str">
        <f>IFERROR(__xludf.DUMMYFUNCTION("""COMPUTED_VALUE"""),"Vilano")</f>
        <v>Vilano</v>
      </c>
      <c r="F264" s="13">
        <f>IFERROR(__xludf.DUMMYFUNCTION("""COMPUTED_VALUE"""),0.3854166666678793)</f>
        <v>0.3854166667</v>
      </c>
      <c r="G264" s="14">
        <f>IFERROR(__xludf.DUMMYFUNCTION("""COMPUTED_VALUE"""),43536.0)</f>
        <v>43536</v>
      </c>
      <c r="H264" t="str">
        <f>IFERROR(__xludf.DUMMYFUNCTION("""COMPUTED_VALUE"""),"Tolomato Nekton sites")</f>
        <v>Tolomato Nekton sites</v>
      </c>
      <c r="I264" s="15">
        <f>IFERROR(__xludf.DUMMYFUNCTION("""COMPUTED_VALUE"""),0.6875)</f>
        <v>0.6875</v>
      </c>
      <c r="J264" s="16"/>
      <c r="K264" t="str">
        <f>IFERROR(__xludf.DUMMYFUNCTION("""COMPUTED_VALUE"""),"23ft Skiff (Bertha) FL7972LJ DEP07613")</f>
        <v>23ft Skiff (Bertha) FL7972LJ DEP07613</v>
      </c>
      <c r="M264" t="str">
        <f>IFERROR(__xludf.DUMMYFUNCTION("""COMPUTED_VALUE"""),"Ford F150 2015 (White) - DEP21448")</f>
        <v>Ford F150 2015 (White) - DEP21448</v>
      </c>
      <c r="N264" t="str">
        <f>IFERROR(__xludf.DUMMYFUNCTION("""COMPUTED_VALUE"""),"Jimmy Tomazinis, (904) 547-0094")</f>
        <v>Jimmy Tomazinis, (904) 547-0094</v>
      </c>
      <c r="O264" t="str">
        <f>IFERROR(__xludf.DUMMYFUNCTION("""COMPUTED_VALUE"""),"Mike Dickson, Chris Kurtz, Maddie Paris")</f>
        <v>Mike Dickson, Chris Kurtz, Maddie Paris</v>
      </c>
      <c r="P264" t="str">
        <f>IFERROR(__xludf.DUMMYFUNCTION("""COMPUTED_VALUE"""),"Jimmy")</f>
        <v>Jimmy</v>
      </c>
      <c r="Q264" t="str">
        <f>IFERROR(__xludf.DUMMYFUNCTION("""COMPUTED_VALUE"""),"Good")</f>
        <v>Good</v>
      </c>
      <c r="R264" t="str">
        <f>IFERROR(__xludf.DUMMYFUNCTION("""COMPUTED_VALUE"""),"Good")</f>
        <v>Good</v>
      </c>
      <c r="S264" t="str">
        <f>IFERROR(__xludf.DUMMYFUNCTION("""COMPUTED_VALUE"""),"Good")</f>
        <v>Good</v>
      </c>
      <c r="T264" t="str">
        <f>IFERROR(__xludf.DUMMYFUNCTION("""COMPUTED_VALUE"""),"Good")</f>
        <v>Good</v>
      </c>
      <c r="U264" t="str">
        <f>IFERROR(__xludf.DUMMYFUNCTION("""COMPUTED_VALUE"""),"Good")</f>
        <v>Good</v>
      </c>
      <c r="V264" t="str">
        <f>IFERROR(__xludf.DUMMYFUNCTION("""COMPUTED_VALUE"""),"Good")</f>
        <v>Good</v>
      </c>
      <c r="W264" t="str">
        <f>IFERROR(__xludf.DUMMYFUNCTION("""COMPUTED_VALUE"""),"Good")</f>
        <v>Good</v>
      </c>
      <c r="X264" t="str">
        <f>IFERROR(__xludf.DUMMYFUNCTION("""COMPUTED_VALUE"""),"Good")</f>
        <v>Good</v>
      </c>
      <c r="Y264" t="str">
        <f>IFERROR(__xludf.DUMMYFUNCTION("""COMPUTED_VALUE"""),"Good")</f>
        <v>Good</v>
      </c>
      <c r="Z264" t="str">
        <f>IFERROR(__xludf.DUMMYFUNCTION("""COMPUTED_VALUE"""),"Good")</f>
        <v>Good</v>
      </c>
      <c r="AA264" t="str">
        <f>IFERROR(__xludf.DUMMYFUNCTION("""COMPUTED_VALUE"""),"Good")</f>
        <v>Good</v>
      </c>
      <c r="AB264" t="str">
        <f>IFERROR(__xludf.DUMMYFUNCTION("""COMPUTED_VALUE"""),"Good")</f>
        <v>Good</v>
      </c>
      <c r="AC264" t="str">
        <f>IFERROR(__xludf.DUMMYFUNCTION("""COMPUTED_VALUE"""),"Good")</f>
        <v>Good</v>
      </c>
      <c r="AE264" s="11"/>
      <c r="AF264" t="s">
        <v>32</v>
      </c>
      <c r="AG264" s="17" t="s">
        <v>18</v>
      </c>
      <c r="AH264" s="12">
        <v>1625.0</v>
      </c>
      <c r="AI264" s="12" t="s">
        <v>742</v>
      </c>
      <c r="AJ264" s="19" t="s">
        <v>743</v>
      </c>
      <c r="AK264" s="20" t="str">
        <f>HYPERLINK("https://docs.google.com/document/d/16vjClCoqC7m3akVttcJyh9s3Hbn-CzZ-MyVW-Lji67g/edit?usp=drivesdk","James Tomazinis - 3/12/2019 9:15 AM")</f>
        <v>James Tomazinis - 3/12/2019 9:15 AM</v>
      </c>
      <c r="AL264" s="12" t="s">
        <v>744</v>
      </c>
    </row>
    <row r="265">
      <c r="A265" s="10">
        <f>IFERROR(__xludf.DUMMYFUNCTION("""COMPUTED_VALUE"""),43536.71336869213)</f>
        <v>43536.71337</v>
      </c>
      <c r="B265" s="11" t="str">
        <f>IFERROR(__xludf.DUMMYFUNCTION("""COMPUTED_VALUE"""),"James Tomazinis")</f>
        <v>James Tomazinis</v>
      </c>
      <c r="C265" t="str">
        <f>IFERROR(__xludf.DUMMYFUNCTION("""COMPUTED_VALUE"""),"james.tomazinis@floridadep.gov")</f>
        <v>james.tomazinis@floridadep.gov</v>
      </c>
      <c r="D265" t="str">
        <f>IFERROR(__xludf.DUMMYFUNCTION("""COMPUTED_VALUE"""),"Stewardship (Aquatic)")</f>
        <v>Stewardship (Aquatic)</v>
      </c>
      <c r="E265" t="str">
        <f>IFERROR(__xludf.DUMMYFUNCTION("""COMPUTED_VALUE"""),"Vilano")</f>
        <v>Vilano</v>
      </c>
      <c r="F265" s="13">
        <f>IFERROR(__xludf.DUMMYFUNCTION("""COMPUTED_VALUE"""),0.3854166666678793)</f>
        <v>0.3854166667</v>
      </c>
      <c r="G265" s="14">
        <f>IFERROR(__xludf.DUMMYFUNCTION("""COMPUTED_VALUE"""),43537.0)</f>
        <v>43537</v>
      </c>
      <c r="H265" t="str">
        <f>IFERROR(__xludf.DUMMYFUNCTION("""COMPUTED_VALUE"""),"Matanzas River Nekton Sites")</f>
        <v>Matanzas River Nekton Sites</v>
      </c>
      <c r="I265" s="15">
        <f>IFERROR(__xludf.DUMMYFUNCTION("""COMPUTED_VALUE"""),0.6875)</f>
        <v>0.6875</v>
      </c>
      <c r="J265" s="16"/>
      <c r="K265" t="str">
        <f>IFERROR(__xludf.DUMMYFUNCTION("""COMPUTED_VALUE"""),"23ft Skiff (Bertha) FL7972LJ DEP07613")</f>
        <v>23ft Skiff (Bertha) FL7972LJ DEP07613</v>
      </c>
      <c r="M265" t="str">
        <f>IFERROR(__xludf.DUMMYFUNCTION("""COMPUTED_VALUE"""),"Ford F150 2015 (White) - DEP21448")</f>
        <v>Ford F150 2015 (White) - DEP21448</v>
      </c>
      <c r="N265" t="str">
        <f>IFERROR(__xludf.DUMMYFUNCTION("""COMPUTED_VALUE"""),"Jimmy Tomazinis, (904) 547-0094")</f>
        <v>Jimmy Tomazinis, (904) 547-0094</v>
      </c>
      <c r="O265" t="str">
        <f>IFERROR(__xludf.DUMMYFUNCTION("""COMPUTED_VALUE"""),"Mike Dickson, Amy Brownfield, Jeff Finnan")</f>
        <v>Mike Dickson, Amy Brownfield, Jeff Finnan</v>
      </c>
      <c r="P265" t="str">
        <f>IFERROR(__xludf.DUMMYFUNCTION("""COMPUTED_VALUE"""),"Jimmy")</f>
        <v>Jimmy</v>
      </c>
      <c r="Q265" t="str">
        <f>IFERROR(__xludf.DUMMYFUNCTION("""COMPUTED_VALUE"""),"Good")</f>
        <v>Good</v>
      </c>
      <c r="R265" t="str">
        <f>IFERROR(__xludf.DUMMYFUNCTION("""COMPUTED_VALUE"""),"Good")</f>
        <v>Good</v>
      </c>
      <c r="S265" t="str">
        <f>IFERROR(__xludf.DUMMYFUNCTION("""COMPUTED_VALUE"""),"Good")</f>
        <v>Good</v>
      </c>
      <c r="T265" t="str">
        <f>IFERROR(__xludf.DUMMYFUNCTION("""COMPUTED_VALUE"""),"Good")</f>
        <v>Good</v>
      </c>
      <c r="U265" t="str">
        <f>IFERROR(__xludf.DUMMYFUNCTION("""COMPUTED_VALUE"""),"Good")</f>
        <v>Good</v>
      </c>
      <c r="V265" t="str">
        <f>IFERROR(__xludf.DUMMYFUNCTION("""COMPUTED_VALUE"""),"Good")</f>
        <v>Good</v>
      </c>
      <c r="W265" t="str">
        <f>IFERROR(__xludf.DUMMYFUNCTION("""COMPUTED_VALUE"""),"Good")</f>
        <v>Good</v>
      </c>
      <c r="X265" t="str">
        <f>IFERROR(__xludf.DUMMYFUNCTION("""COMPUTED_VALUE"""),"Good")</f>
        <v>Good</v>
      </c>
      <c r="Y265" t="str">
        <f>IFERROR(__xludf.DUMMYFUNCTION("""COMPUTED_VALUE"""),"Good")</f>
        <v>Good</v>
      </c>
      <c r="Z265" t="str">
        <f>IFERROR(__xludf.DUMMYFUNCTION("""COMPUTED_VALUE"""),"Good")</f>
        <v>Good</v>
      </c>
      <c r="AA265" t="str">
        <f>IFERROR(__xludf.DUMMYFUNCTION("""COMPUTED_VALUE"""),"Good")</f>
        <v>Good</v>
      </c>
      <c r="AB265" t="str">
        <f>IFERROR(__xludf.DUMMYFUNCTION("""COMPUTED_VALUE"""),"Good")</f>
        <v>Good</v>
      </c>
      <c r="AC265" t="str">
        <f>IFERROR(__xludf.DUMMYFUNCTION("""COMPUTED_VALUE"""),"Good")</f>
        <v>Good</v>
      </c>
      <c r="AE265" s="11"/>
      <c r="AF265" t="s">
        <v>32</v>
      </c>
      <c r="AG265" s="17" t="s">
        <v>18</v>
      </c>
      <c r="AH265" s="12">
        <v>165.0</v>
      </c>
      <c r="AI265" s="12" t="s">
        <v>745</v>
      </c>
      <c r="AJ265" s="19" t="s">
        <v>746</v>
      </c>
      <c r="AK265" s="20" t="str">
        <f>HYPERLINK("https://docs.google.com/document/d/1odhTpTLuy9rmKb4m7VExrlFUjNvK50mcGTUs0hW18L8/edit?usp=drivesdk","James Tomazinis - 3/13/2019 9:15 AM")</f>
        <v>James Tomazinis - 3/13/2019 9:15 AM</v>
      </c>
      <c r="AL265" s="12" t="s">
        <v>747</v>
      </c>
    </row>
    <row r="266">
      <c r="A266" s="10">
        <f>IFERROR(__xludf.DUMMYFUNCTION("""COMPUTED_VALUE"""),43537.742384652774)</f>
        <v>43537.74238</v>
      </c>
      <c r="B266" s="11" t="str">
        <f>IFERROR(__xludf.DUMMYFUNCTION("""COMPUTED_VALUE"""),"James Tomazinis")</f>
        <v>James Tomazinis</v>
      </c>
      <c r="C266" t="str">
        <f>IFERROR(__xludf.DUMMYFUNCTION("""COMPUTED_VALUE"""),"james.tomazinis@floridadep.gov")</f>
        <v>james.tomazinis@floridadep.gov</v>
      </c>
      <c r="D266" t="str">
        <f>IFERROR(__xludf.DUMMYFUNCTION("""COMPUTED_VALUE"""),"Stewardship (Aquatic)")</f>
        <v>Stewardship (Aquatic)</v>
      </c>
      <c r="E266" t="str">
        <f>IFERROR(__xludf.DUMMYFUNCTION("""COMPUTED_VALUE"""),"Bings")</f>
        <v>Bings</v>
      </c>
      <c r="F266" s="13">
        <f>IFERROR(__xludf.DUMMYFUNCTION("""COMPUTED_VALUE"""),0.4270833333321207)</f>
        <v>0.4270833333</v>
      </c>
      <c r="G266" s="14">
        <f>IFERROR(__xludf.DUMMYFUNCTION("""COMPUTED_VALUE"""),43538.0)</f>
        <v>43538</v>
      </c>
      <c r="H266" t="str">
        <f>IFERROR(__xludf.DUMMYFUNCTION("""COMPUTED_VALUE"""),"Nekton sites 18,19,20")</f>
        <v>Nekton sites 18,19,20</v>
      </c>
      <c r="I266" s="15">
        <f>IFERROR(__xludf.DUMMYFUNCTION("""COMPUTED_VALUE"""),0.5)</f>
        <v>0.5</v>
      </c>
      <c r="J266" s="16"/>
      <c r="K266" t="str">
        <f>IFERROR(__xludf.DUMMYFUNCTION("""COMPUTED_VALUE"""),"23ft Skiff (Bertha) FL7972LJ DEP07613")</f>
        <v>23ft Skiff (Bertha) FL7972LJ DEP07613</v>
      </c>
      <c r="M266" t="str">
        <f>IFERROR(__xludf.DUMMYFUNCTION("""COMPUTED_VALUE"""),"Ford F150 2015 (White) - DEP21448")</f>
        <v>Ford F150 2015 (White) - DEP21448</v>
      </c>
      <c r="N266" t="str">
        <f>IFERROR(__xludf.DUMMYFUNCTION("""COMPUTED_VALUE"""),"Jimmy Tomazinis, (904) 547-0094")</f>
        <v>Jimmy Tomazinis, (904) 547-0094</v>
      </c>
      <c r="O266" t="str">
        <f>IFERROR(__xludf.DUMMYFUNCTION("""COMPUTED_VALUE"""),"Jeff Finnan, Mike Dickson, Flagler students")</f>
        <v>Jeff Finnan, Mike Dickson, Flagler students</v>
      </c>
      <c r="P266" t="str">
        <f>IFERROR(__xludf.DUMMYFUNCTION("""COMPUTED_VALUE"""),"Jimmy")</f>
        <v>Jimmy</v>
      </c>
      <c r="Q266" t="str">
        <f>IFERROR(__xludf.DUMMYFUNCTION("""COMPUTED_VALUE"""),"Good")</f>
        <v>Good</v>
      </c>
      <c r="R266" t="str">
        <f>IFERROR(__xludf.DUMMYFUNCTION("""COMPUTED_VALUE"""),"Good")</f>
        <v>Good</v>
      </c>
      <c r="S266" t="str">
        <f>IFERROR(__xludf.DUMMYFUNCTION("""COMPUTED_VALUE"""),"Good")</f>
        <v>Good</v>
      </c>
      <c r="T266" t="str">
        <f>IFERROR(__xludf.DUMMYFUNCTION("""COMPUTED_VALUE"""),"Good")</f>
        <v>Good</v>
      </c>
      <c r="U266" t="str">
        <f>IFERROR(__xludf.DUMMYFUNCTION("""COMPUTED_VALUE"""),"Good")</f>
        <v>Good</v>
      </c>
      <c r="V266" t="str">
        <f>IFERROR(__xludf.DUMMYFUNCTION("""COMPUTED_VALUE"""),"Good")</f>
        <v>Good</v>
      </c>
      <c r="W266" t="str">
        <f>IFERROR(__xludf.DUMMYFUNCTION("""COMPUTED_VALUE"""),"Good")</f>
        <v>Good</v>
      </c>
      <c r="X266" t="str">
        <f>IFERROR(__xludf.DUMMYFUNCTION("""COMPUTED_VALUE"""),"Good")</f>
        <v>Good</v>
      </c>
      <c r="Y266" t="str">
        <f>IFERROR(__xludf.DUMMYFUNCTION("""COMPUTED_VALUE"""),"Good")</f>
        <v>Good</v>
      </c>
      <c r="Z266" t="str">
        <f>IFERROR(__xludf.DUMMYFUNCTION("""COMPUTED_VALUE"""),"Good")</f>
        <v>Good</v>
      </c>
      <c r="AA266" t="str">
        <f>IFERROR(__xludf.DUMMYFUNCTION("""COMPUTED_VALUE"""),"Good")</f>
        <v>Good</v>
      </c>
      <c r="AB266" t="str">
        <f>IFERROR(__xludf.DUMMYFUNCTION("""COMPUTED_VALUE"""),"Good")</f>
        <v>Good</v>
      </c>
      <c r="AC266" t="str">
        <f>IFERROR(__xludf.DUMMYFUNCTION("""COMPUTED_VALUE"""),"Good")</f>
        <v>Good</v>
      </c>
      <c r="AE266" s="11"/>
      <c r="AF266" t="s">
        <v>32</v>
      </c>
      <c r="AG266" s="17" t="s">
        <v>18</v>
      </c>
      <c r="AH266" s="12">
        <v>1235.0</v>
      </c>
      <c r="AI266" s="12" t="s">
        <v>748</v>
      </c>
      <c r="AJ266" s="19" t="s">
        <v>749</v>
      </c>
      <c r="AK266" s="20" t="str">
        <f>HYPERLINK("https://docs.google.com/document/d/1CE7RpdJaTh2JD6fLOPYtoqWGdMGQ2c8KX9dL8l5pYSk/edit?usp=drivesdk","James Tomazinis - 3/14/2019 10:15 AM")</f>
        <v>James Tomazinis - 3/14/2019 10:15 AM</v>
      </c>
      <c r="AL266" s="12" t="s">
        <v>750</v>
      </c>
    </row>
    <row r="267">
      <c r="A267" s="10">
        <f>IFERROR(__xludf.DUMMYFUNCTION("""COMPUTED_VALUE"""),43539.330928125)</f>
        <v>43539.33093</v>
      </c>
      <c r="B267" s="11" t="str">
        <f>IFERROR(__xludf.DUMMYFUNCTION("""COMPUTED_VALUE"""),"Pam Marcum")</f>
        <v>Pam Marcum</v>
      </c>
      <c r="C267" t="str">
        <f>IFERROR(__xludf.DUMMYFUNCTION("""COMPUTED_VALUE"""),"Pamela.Marcum@dep.state.fl.us")</f>
        <v>Pamela.Marcum@dep.state.fl.us</v>
      </c>
      <c r="D267" t="str">
        <f>IFERROR(__xludf.DUMMYFUNCTION("""COMPUTED_VALUE"""),"Research/Nikki")</f>
        <v>Research/Nikki</v>
      </c>
      <c r="E267" t="str">
        <f>IFERROR(__xludf.DUMMYFUNCTION("""COMPUTED_VALUE"""),"Palm Valley")</f>
        <v>Palm Valley</v>
      </c>
      <c r="F267" s="13">
        <f>IFERROR(__xludf.DUMMYFUNCTION("""COMPUTED_VALUE"""),0.3541666666678793)</f>
        <v>0.3541666667</v>
      </c>
      <c r="G267" s="14">
        <f>IFERROR(__xludf.DUMMYFUNCTION("""COMPUTED_VALUE"""),43539.0)</f>
        <v>43539</v>
      </c>
      <c r="H267" t="str">
        <f>IFERROR(__xludf.DUMMYFUNCTION("""COMPUTED_VALUE"""),"Tolomato River - Angelini Sites")</f>
        <v>Tolomato River - Angelini Sites</v>
      </c>
      <c r="I267" s="15">
        <f>IFERROR(__xludf.DUMMYFUNCTION("""COMPUTED_VALUE"""),0.625)</f>
        <v>0.625</v>
      </c>
      <c r="J267" s="16">
        <f>IFERROR(__xludf.DUMMYFUNCTION("""COMPUTED_VALUE"""),43539.64583333333)</f>
        <v>43539.64583</v>
      </c>
      <c r="K267" t="str">
        <f>IFERROR(__xludf.DUMMYFUNCTION("""COMPUTED_VALUE"""),"23ft Skiff (Bertha) FL7972LJ DEP07613")</f>
        <v>23ft Skiff (Bertha) FL7972LJ DEP07613</v>
      </c>
      <c r="M267" t="str">
        <f>IFERROR(__xludf.DUMMYFUNCTION("""COMPUTED_VALUE"""),"Ford F150 2015 (White) - DEP21448")</f>
        <v>Ford F150 2015 (White) - DEP21448</v>
      </c>
      <c r="N267" t="str">
        <f>IFERROR(__xludf.DUMMYFUNCTION("""COMPUTED_VALUE"""),"Pam Marcum, (480) 332-5414")</f>
        <v>Pam Marcum, (480) 332-5414</v>
      </c>
      <c r="O267" t="str">
        <f>IFERROR(__xludf.DUMMYFUNCTION("""COMPUTED_VALUE"""),"Patrick Norby")</f>
        <v>Patrick Norby</v>
      </c>
      <c r="P267" t="str">
        <f>IFERROR(__xludf.DUMMYFUNCTION("""COMPUTED_VALUE"""),"Pam")</f>
        <v>Pam</v>
      </c>
      <c r="Q267" t="str">
        <f>IFERROR(__xludf.DUMMYFUNCTION("""COMPUTED_VALUE"""),"Good")</f>
        <v>Good</v>
      </c>
      <c r="R267" t="str">
        <f>IFERROR(__xludf.DUMMYFUNCTION("""COMPUTED_VALUE"""),"Good")</f>
        <v>Good</v>
      </c>
      <c r="S267" t="str">
        <f>IFERROR(__xludf.DUMMYFUNCTION("""COMPUTED_VALUE"""),"Good")</f>
        <v>Good</v>
      </c>
      <c r="T267" t="str">
        <f>IFERROR(__xludf.DUMMYFUNCTION("""COMPUTED_VALUE"""),"Good")</f>
        <v>Good</v>
      </c>
      <c r="U267" t="str">
        <f>IFERROR(__xludf.DUMMYFUNCTION("""COMPUTED_VALUE"""),"Good")</f>
        <v>Good</v>
      </c>
      <c r="V267" t="str">
        <f>IFERROR(__xludf.DUMMYFUNCTION("""COMPUTED_VALUE"""),"Good")</f>
        <v>Good</v>
      </c>
      <c r="W267" t="str">
        <f>IFERROR(__xludf.DUMMYFUNCTION("""COMPUTED_VALUE"""),"Good")</f>
        <v>Good</v>
      </c>
      <c r="X267" t="str">
        <f>IFERROR(__xludf.DUMMYFUNCTION("""COMPUTED_VALUE"""),"Good")</f>
        <v>Good</v>
      </c>
      <c r="Y267" t="str">
        <f>IFERROR(__xludf.DUMMYFUNCTION("""COMPUTED_VALUE"""),"Good")</f>
        <v>Good</v>
      </c>
      <c r="Z267" t="str">
        <f>IFERROR(__xludf.DUMMYFUNCTION("""COMPUTED_VALUE"""),"Good")</f>
        <v>Good</v>
      </c>
      <c r="AA267" t="str">
        <f>IFERROR(__xludf.DUMMYFUNCTION("""COMPUTED_VALUE"""),"Good")</f>
        <v>Good</v>
      </c>
      <c r="AB267" t="str">
        <f>IFERROR(__xludf.DUMMYFUNCTION("""COMPUTED_VALUE"""),"Good")</f>
        <v>Good</v>
      </c>
      <c r="AC267" t="str">
        <f>IFERROR(__xludf.DUMMYFUNCTION("""COMPUTED_VALUE"""),"Good")</f>
        <v>Good</v>
      </c>
      <c r="AE267" s="11"/>
      <c r="AF267" t="s">
        <v>218</v>
      </c>
      <c r="AG267" s="17" t="s">
        <v>18</v>
      </c>
      <c r="AH267" s="12">
        <v>1515.0</v>
      </c>
      <c r="AI267" s="12" t="s">
        <v>751</v>
      </c>
      <c r="AJ267" s="19" t="s">
        <v>752</v>
      </c>
      <c r="AK267" s="20" t="str">
        <f>HYPERLINK("https://docs.google.com/document/d/1jnJsXS29HDOhrHeQq8n7gliU6CgrEEMc5ofm0gMZrKk/edit?usp=drivesdk","Pam Marcum - 3/15/2019 8:30 AM")</f>
        <v>Pam Marcum - 3/15/2019 8:30 AM</v>
      </c>
      <c r="AL267" s="12" t="s">
        <v>753</v>
      </c>
    </row>
    <row r="268">
      <c r="A268" s="10">
        <f>IFERROR(__xludf.DUMMYFUNCTION("""COMPUTED_VALUE"""),43543.30873454861)</f>
        <v>43543.30873</v>
      </c>
      <c r="B268" s="11" t="str">
        <f>IFERROR(__xludf.DUMMYFUNCTION("""COMPUTED_VALUE"""),"Silas Tanner")</f>
        <v>Silas Tanner</v>
      </c>
      <c r="C268" t="str">
        <f>IFERROR(__xludf.DUMMYFUNCTION("""COMPUTED_VALUE"""),"silas.tanner@floridadep.gov")</f>
        <v>silas.tanner@floridadep.gov</v>
      </c>
      <c r="D268" t="str">
        <f>IFERROR(__xludf.DUMMYFUNCTION("""COMPUTED_VALUE"""),"Research/Shannon")</f>
        <v>Research/Shannon</v>
      </c>
      <c r="E268" t="str">
        <f>IFERROR(__xludf.DUMMYFUNCTION("""COMPUTED_VALUE"""),"Vilano Landing")</f>
        <v>Vilano Landing</v>
      </c>
      <c r="F268" s="13">
        <f>IFERROR(__xludf.DUMMYFUNCTION("""COMPUTED_VALUE"""),0.3229166666678793)</f>
        <v>0.3229166667</v>
      </c>
      <c r="G268" s="14">
        <f>IFERROR(__xludf.DUMMYFUNCTION("""COMPUTED_VALUE"""),43543.0)</f>
        <v>43543</v>
      </c>
      <c r="H268" t="str">
        <f>IFERROR(__xludf.DUMMYFUNCTION("""COMPUTED_VALUE"""),"ICW SWMP sites")</f>
        <v>ICW SWMP sites</v>
      </c>
      <c r="I268" s="15">
        <f>IFERROR(__xludf.DUMMYFUNCTION("""COMPUTED_VALUE"""),0.5416666666678793)</f>
        <v>0.5416666667</v>
      </c>
      <c r="J268" s="16">
        <f>IFERROR(__xludf.DUMMYFUNCTION("""COMPUTED_VALUE"""),43543.55208333333)</f>
        <v>43543.55208</v>
      </c>
      <c r="K268" t="str">
        <f>IFERROR(__xludf.DUMMYFUNCTION("""COMPUTED_VALUE"""),"20ft Sea Ark FL5351SJ UNF 2015")</f>
        <v>20ft Sea Ark FL5351SJ UNF 2015</v>
      </c>
      <c r="M268" t="str">
        <f>IFERROR(__xludf.DUMMYFUNCTION("""COMPUTED_VALUE"""),"Ford F250 2017 (Moby Dix) - DEP0021578")</f>
        <v>Ford F250 2017 (Moby Dix) - DEP0021578</v>
      </c>
      <c r="N268" t="str">
        <f>IFERROR(__xludf.DUMMYFUNCTION("""COMPUTED_VALUE"""),"Silas Tanner, (904) 483-8423")</f>
        <v>Silas Tanner, (904) 483-8423</v>
      </c>
      <c r="O268" t="str">
        <f>IFERROR(__xludf.DUMMYFUNCTION("""COMPUTED_VALUE"""),"Remo Mondazzi")</f>
        <v>Remo Mondazzi</v>
      </c>
      <c r="P268" t="str">
        <f>IFERROR(__xludf.DUMMYFUNCTION("""COMPUTED_VALUE"""),"S. Tanner")</f>
        <v>S. Tanner</v>
      </c>
      <c r="Q268" t="str">
        <f>IFERROR(__xludf.DUMMYFUNCTION("""COMPUTED_VALUE"""),"Good")</f>
        <v>Good</v>
      </c>
      <c r="R268" t="str">
        <f>IFERROR(__xludf.DUMMYFUNCTION("""COMPUTED_VALUE"""),"Good")</f>
        <v>Good</v>
      </c>
      <c r="S268" t="str">
        <f>IFERROR(__xludf.DUMMYFUNCTION("""COMPUTED_VALUE"""),"Good")</f>
        <v>Good</v>
      </c>
      <c r="T268" t="str">
        <f>IFERROR(__xludf.DUMMYFUNCTION("""COMPUTED_VALUE"""),"Good")</f>
        <v>Good</v>
      </c>
      <c r="U268" t="str">
        <f>IFERROR(__xludf.DUMMYFUNCTION("""COMPUTED_VALUE"""),"Good")</f>
        <v>Good</v>
      </c>
      <c r="V268" t="str">
        <f>IFERROR(__xludf.DUMMYFUNCTION("""COMPUTED_VALUE"""),"Good")</f>
        <v>Good</v>
      </c>
      <c r="W268" t="str">
        <f>IFERROR(__xludf.DUMMYFUNCTION("""COMPUTED_VALUE"""),"Good")</f>
        <v>Good</v>
      </c>
      <c r="X268" t="str">
        <f>IFERROR(__xludf.DUMMYFUNCTION("""COMPUTED_VALUE"""),"Good")</f>
        <v>Good</v>
      </c>
      <c r="Y268" t="str">
        <f>IFERROR(__xludf.DUMMYFUNCTION("""COMPUTED_VALUE"""),"Good")</f>
        <v>Good</v>
      </c>
      <c r="Z268" t="str">
        <f>IFERROR(__xludf.DUMMYFUNCTION("""COMPUTED_VALUE"""),"Good")</f>
        <v>Good</v>
      </c>
      <c r="AA268" t="str">
        <f>IFERROR(__xludf.DUMMYFUNCTION("""COMPUTED_VALUE"""),"Good")</f>
        <v>Good</v>
      </c>
      <c r="AB268" t="str">
        <f>IFERROR(__xludf.DUMMYFUNCTION("""COMPUTED_VALUE"""),"Good")</f>
        <v>Good</v>
      </c>
      <c r="AC268" t="str">
        <f>IFERROR(__xludf.DUMMYFUNCTION("""COMPUTED_VALUE"""),"Good")</f>
        <v>Good</v>
      </c>
      <c r="AE268" s="11"/>
      <c r="AF268" t="s">
        <v>269</v>
      </c>
      <c r="AG268" s="17" t="s">
        <v>18</v>
      </c>
      <c r="AH268" s="12">
        <v>1215.0</v>
      </c>
      <c r="AI268" s="12" t="s">
        <v>754</v>
      </c>
      <c r="AJ268" s="19" t="s">
        <v>755</v>
      </c>
      <c r="AK268" s="20" t="str">
        <f>HYPERLINK("https://docs.google.com/document/d/1VtQ18zcO7flR4xUlRI4xlQwk7HLbxifr5GREZNqxXeE/edit?usp=drivesdk","Silas Tanner - 3/19/2019 7:45 AM")</f>
        <v>Silas Tanner - 3/19/2019 7:45 AM</v>
      </c>
      <c r="AL268" s="12" t="s">
        <v>756</v>
      </c>
    </row>
    <row r="269">
      <c r="A269" s="10">
        <f>IFERROR(__xludf.DUMMYFUNCTION("""COMPUTED_VALUE"""),43553.375526840275)</f>
        <v>43553.37553</v>
      </c>
      <c r="B269" s="11" t="str">
        <f>IFERROR(__xludf.DUMMYFUNCTION("""COMPUTED_VALUE"""),"Pam Marcum")</f>
        <v>Pam Marcum</v>
      </c>
      <c r="C269" t="str">
        <f>IFERROR(__xludf.DUMMYFUNCTION("""COMPUTED_VALUE"""),"Pamela.Marcum@dep.state.fl.us")</f>
        <v>Pamela.Marcum@dep.state.fl.us</v>
      </c>
      <c r="D269" t="str">
        <f>IFERROR(__xludf.DUMMYFUNCTION("""COMPUTED_VALUE"""),"Research/Nikki")</f>
        <v>Research/Nikki</v>
      </c>
      <c r="E269" t="str">
        <f>IFERROR(__xludf.DUMMYFUNCTION("""COMPUTED_VALUE"""),"Green Rd")</f>
        <v>Green Rd</v>
      </c>
      <c r="F269" s="13">
        <f>IFERROR(__xludf.DUMMYFUNCTION("""COMPUTED_VALUE"""),0.4166666666678793)</f>
        <v>0.4166666667</v>
      </c>
      <c r="G269" s="14">
        <f>IFERROR(__xludf.DUMMYFUNCTION("""COMPUTED_VALUE"""),43553.0)</f>
        <v>43553</v>
      </c>
      <c r="H269" t="str">
        <f>IFERROR(__xludf.DUMMYFUNCTION("""COMPUTED_VALUE"""),"Moses Creek Platforms")</f>
        <v>Moses Creek Platforms</v>
      </c>
      <c r="I269" s="15">
        <f>IFERROR(__xludf.DUMMYFUNCTION("""COMPUTED_VALUE"""),0.6666666666678793)</f>
        <v>0.6666666667</v>
      </c>
      <c r="J269" s="16">
        <f>IFERROR(__xludf.DUMMYFUNCTION("""COMPUTED_VALUE"""),43553.69791666667)</f>
        <v>43553.69792</v>
      </c>
      <c r="K269" t="str">
        <f>IFERROR(__xludf.DUMMYFUNCTION("""COMPUTED_VALUE"""),"23ft Skiff (Bertha) FL7972LJ DEP07613")</f>
        <v>23ft Skiff (Bertha) FL7972LJ DEP07613</v>
      </c>
      <c r="M269" t="str">
        <f>IFERROR(__xludf.DUMMYFUNCTION("""COMPUTED_VALUE"""),"Ford F150 2008 - DEP18041 (SWMP Thing)")</f>
        <v>Ford F150 2008 - DEP18041 (SWMP Thing)</v>
      </c>
      <c r="N269" t="str">
        <f>IFERROR(__xludf.DUMMYFUNCTION("""COMPUTED_VALUE"""),"Pam Marcum, (480) 332-5414")</f>
        <v>Pam Marcum, (480) 332-5414</v>
      </c>
      <c r="O269" t="str">
        <f>IFERROR(__xludf.DUMMYFUNCTION("""COMPUTED_VALUE"""),"Jessica Lee")</f>
        <v>Jessica Lee</v>
      </c>
      <c r="P269" t="str">
        <f>IFERROR(__xludf.DUMMYFUNCTION("""COMPUTED_VALUE"""),"Pam")</f>
        <v>Pam</v>
      </c>
      <c r="Q269" t="str">
        <f>IFERROR(__xludf.DUMMYFUNCTION("""COMPUTED_VALUE"""),"Good")</f>
        <v>Good</v>
      </c>
      <c r="R269" t="str">
        <f>IFERROR(__xludf.DUMMYFUNCTION("""COMPUTED_VALUE"""),"Good")</f>
        <v>Good</v>
      </c>
      <c r="S269" t="str">
        <f>IFERROR(__xludf.DUMMYFUNCTION("""COMPUTED_VALUE"""),"Good")</f>
        <v>Good</v>
      </c>
      <c r="T269" t="str">
        <f>IFERROR(__xludf.DUMMYFUNCTION("""COMPUTED_VALUE"""),"Good")</f>
        <v>Good</v>
      </c>
      <c r="U269" t="str">
        <f>IFERROR(__xludf.DUMMYFUNCTION("""COMPUTED_VALUE"""),"Good")</f>
        <v>Good</v>
      </c>
      <c r="V269" t="str">
        <f>IFERROR(__xludf.DUMMYFUNCTION("""COMPUTED_VALUE"""),"Good")</f>
        <v>Good</v>
      </c>
      <c r="W269" t="str">
        <f>IFERROR(__xludf.DUMMYFUNCTION("""COMPUTED_VALUE"""),"Good")</f>
        <v>Good</v>
      </c>
      <c r="X269" t="str">
        <f>IFERROR(__xludf.DUMMYFUNCTION("""COMPUTED_VALUE"""),"Good")</f>
        <v>Good</v>
      </c>
      <c r="Y269" t="str">
        <f>IFERROR(__xludf.DUMMYFUNCTION("""COMPUTED_VALUE"""),"Good")</f>
        <v>Good</v>
      </c>
      <c r="Z269" t="str">
        <f>IFERROR(__xludf.DUMMYFUNCTION("""COMPUTED_VALUE"""),"Good")</f>
        <v>Good</v>
      </c>
      <c r="AA269" t="str">
        <f>IFERROR(__xludf.DUMMYFUNCTION("""COMPUTED_VALUE"""),"Good")</f>
        <v>Good</v>
      </c>
      <c r="AB269" t="str">
        <f>IFERROR(__xludf.DUMMYFUNCTION("""COMPUTED_VALUE"""),"Good")</f>
        <v>Good</v>
      </c>
      <c r="AC269" t="str">
        <f>IFERROR(__xludf.DUMMYFUNCTION("""COMPUTED_VALUE"""),"Good")</f>
        <v>Good</v>
      </c>
      <c r="AE269" s="11"/>
      <c r="AF269" t="s">
        <v>218</v>
      </c>
      <c r="AG269" s="17" t="s">
        <v>115</v>
      </c>
      <c r="AH269" s="12">
        <v>1540.0</v>
      </c>
      <c r="AI269" s="12" t="s">
        <v>757</v>
      </c>
      <c r="AJ269" s="19" t="s">
        <v>758</v>
      </c>
      <c r="AK269" s="20" t="str">
        <f>HYPERLINK("https://docs.google.com/document/d/1L1BhSBkasbBc33FaIlGEUy1QJoKlaM_Jtc_EQeyB6rE/edit?usp=drivesdk","Pam Marcum - 3/29/2019 10:00 AM")</f>
        <v>Pam Marcum - 3/29/2019 10:00 AM</v>
      </c>
      <c r="AL269" s="12" t="s">
        <v>759</v>
      </c>
    </row>
    <row r="270">
      <c r="A270" s="10">
        <f>IFERROR(__xludf.DUMMYFUNCTION("""COMPUTED_VALUE"""),43555.42901400463)</f>
        <v>43555.42901</v>
      </c>
      <c r="B270" s="11" t="str">
        <f>IFERROR(__xludf.DUMMYFUNCTION("""COMPUTED_VALUE"""),"Pam Marcum")</f>
        <v>Pam Marcum</v>
      </c>
      <c r="C270" t="str">
        <f>IFERROR(__xludf.DUMMYFUNCTION("""COMPUTED_VALUE"""),"Pamela.Marcum@floridadep.gov")</f>
        <v>Pamela.Marcum@floridadep.gov</v>
      </c>
      <c r="D270" t="str">
        <f>IFERROR(__xludf.DUMMYFUNCTION("""COMPUTED_VALUE"""),"Research/Nikki")</f>
        <v>Research/Nikki</v>
      </c>
      <c r="E270" t="str">
        <f>IFERROR(__xludf.DUMMYFUNCTION("""COMPUTED_VALUE"""),"Shore, green, bings, lighthouse")</f>
        <v>Shore, green, bings, lighthouse</v>
      </c>
      <c r="F270" s="13">
        <f>IFERROR(__xludf.DUMMYFUNCTION("""COMPUTED_VALUE"""),0.4270833333321207)</f>
        <v>0.4270833333</v>
      </c>
      <c r="G270" s="14">
        <f>IFERROR(__xludf.DUMMYFUNCTION("""COMPUTED_VALUE"""),43555.0)</f>
        <v>43555</v>
      </c>
      <c r="H270" t="str">
        <f>IFERROR(__xludf.DUMMYFUNCTION("""COMPUTED_VALUE"""),"Spat trees")</f>
        <v>Spat trees</v>
      </c>
      <c r="I270" s="15">
        <f>IFERROR(__xludf.DUMMYFUNCTION("""COMPUTED_VALUE"""),0.7083333333321207)</f>
        <v>0.7083333333</v>
      </c>
      <c r="J270" s="16">
        <f>IFERROR(__xludf.DUMMYFUNCTION("""COMPUTED_VALUE"""),43555.71875)</f>
        <v>43555.71875</v>
      </c>
      <c r="K270" t="str">
        <f>IFERROR(__xludf.DUMMYFUNCTION("""COMPUTED_VALUE"""),"20ft Sea Ark FL5351SJ UNF 2015")</f>
        <v>20ft Sea Ark FL5351SJ UNF 2015</v>
      </c>
      <c r="M270" t="str">
        <f>IFERROR(__xludf.DUMMYFUNCTION("""COMPUTED_VALUE"""),"Ford F150 2008 - DEP18041 (SWMP Thing)")</f>
        <v>Ford F150 2008 - DEP18041 (SWMP Thing)</v>
      </c>
      <c r="N270" t="str">
        <f>IFERROR(__xludf.DUMMYFUNCTION("""COMPUTED_VALUE"""),"Joseph Burgess, (904) 599-2723")</f>
        <v>Joseph Burgess, (904) 599-2723</v>
      </c>
      <c r="O270" t="str">
        <f>IFERROR(__xludf.DUMMYFUNCTION("""COMPUTED_VALUE"""),"Nicole Peckham, Joey Turvey")</f>
        <v>Nicole Peckham, Joey Turvey</v>
      </c>
      <c r="P270" t="str">
        <f>IFERROR(__xludf.DUMMYFUNCTION("""COMPUTED_VALUE"""),"Pam")</f>
        <v>Pam</v>
      </c>
      <c r="Q270" t="str">
        <f>IFERROR(__xludf.DUMMYFUNCTION("""COMPUTED_VALUE"""),"Good")</f>
        <v>Good</v>
      </c>
      <c r="R270" t="str">
        <f>IFERROR(__xludf.DUMMYFUNCTION("""COMPUTED_VALUE"""),"Good")</f>
        <v>Good</v>
      </c>
      <c r="S270" t="str">
        <f>IFERROR(__xludf.DUMMYFUNCTION("""COMPUTED_VALUE"""),"Good")</f>
        <v>Good</v>
      </c>
      <c r="T270" t="str">
        <f>IFERROR(__xludf.DUMMYFUNCTION("""COMPUTED_VALUE"""),"Good")</f>
        <v>Good</v>
      </c>
      <c r="U270" t="str">
        <f>IFERROR(__xludf.DUMMYFUNCTION("""COMPUTED_VALUE"""),"Good")</f>
        <v>Good</v>
      </c>
      <c r="V270" t="str">
        <f>IFERROR(__xludf.DUMMYFUNCTION("""COMPUTED_VALUE"""),"Good")</f>
        <v>Good</v>
      </c>
      <c r="W270" t="str">
        <f>IFERROR(__xludf.DUMMYFUNCTION("""COMPUTED_VALUE"""),"Good")</f>
        <v>Good</v>
      </c>
      <c r="X270" t="str">
        <f>IFERROR(__xludf.DUMMYFUNCTION("""COMPUTED_VALUE"""),"Good")</f>
        <v>Good</v>
      </c>
      <c r="Y270" t="str">
        <f>IFERROR(__xludf.DUMMYFUNCTION("""COMPUTED_VALUE"""),"Good")</f>
        <v>Good</v>
      </c>
      <c r="Z270" t="str">
        <f>IFERROR(__xludf.DUMMYFUNCTION("""COMPUTED_VALUE"""),"Good")</f>
        <v>Good</v>
      </c>
      <c r="AA270" t="str">
        <f>IFERROR(__xludf.DUMMYFUNCTION("""COMPUTED_VALUE"""),"Good")</f>
        <v>Good</v>
      </c>
      <c r="AB270" t="str">
        <f>IFERROR(__xludf.DUMMYFUNCTION("""COMPUTED_VALUE"""),"Good")</f>
        <v>Good</v>
      </c>
      <c r="AC270" t="str">
        <f>IFERROR(__xludf.DUMMYFUNCTION("""COMPUTED_VALUE"""),"Good")</f>
        <v>Good</v>
      </c>
      <c r="AE270" s="11"/>
      <c r="AF270" t="s">
        <v>218</v>
      </c>
      <c r="AG270" s="17" t="s">
        <v>43</v>
      </c>
      <c r="AH270" s="12">
        <v>1545.0</v>
      </c>
      <c r="AI270" s="12" t="s">
        <v>760</v>
      </c>
      <c r="AJ270" s="19" t="s">
        <v>761</v>
      </c>
      <c r="AK270" s="20" t="str">
        <f>HYPERLINK("https://docs.google.com/document/d/1Dzim86Y4YGT_YVul2rHTGacthfweWnqj2ROmmM8TFk0/edit?usp=drivesdk","Pam Marcum - 3/31/2019 10:15 AM")</f>
        <v>Pam Marcum - 3/31/2019 10:15 AM</v>
      </c>
      <c r="AL270" s="12" t="s">
        <v>762</v>
      </c>
    </row>
    <row r="271">
      <c r="A271" s="10">
        <f>IFERROR(__xludf.DUMMYFUNCTION("""COMPUTED_VALUE"""),43556.41098934028)</f>
        <v>43556.41099</v>
      </c>
      <c r="B271" s="11" t="str">
        <f>IFERROR(__xludf.DUMMYFUNCTION("""COMPUTED_VALUE"""),"Pamela Marcum")</f>
        <v>Pamela Marcum</v>
      </c>
      <c r="C271" t="str">
        <f>IFERROR(__xludf.DUMMYFUNCTION("""COMPUTED_VALUE"""),"Pamela.Marcum@dep.state.fl.us")</f>
        <v>Pamela.Marcum@dep.state.fl.us</v>
      </c>
      <c r="D271" t="str">
        <f>IFERROR(__xludf.DUMMYFUNCTION("""COMPUTED_VALUE"""),"Research/Nikki")</f>
        <v>Research/Nikki</v>
      </c>
      <c r="E271" t="str">
        <f>IFERROR(__xludf.DUMMYFUNCTION("""COMPUTED_VALUE"""),"Aunt Kates")</f>
        <v>Aunt Kates</v>
      </c>
      <c r="F271" s="13">
        <f>IFERROR(__xludf.DUMMYFUNCTION("""COMPUTED_VALUE"""),0.5)</f>
        <v>0.5</v>
      </c>
      <c r="G271" s="14">
        <f>IFERROR(__xludf.DUMMYFUNCTION("""COMPUTED_VALUE"""),43556.0)</f>
        <v>43556</v>
      </c>
      <c r="H271" t="str">
        <f>IFERROR(__xludf.DUMMYFUNCTION("""COMPUTED_VALUE"""),"Tolomato and Guana spat trees")</f>
        <v>Tolomato and Guana spat trees</v>
      </c>
      <c r="I271" s="15">
        <f>IFERROR(__xludf.DUMMYFUNCTION("""COMPUTED_VALUE"""),0.6666666666678793)</f>
        <v>0.6666666667</v>
      </c>
      <c r="J271" s="16">
        <f>IFERROR(__xludf.DUMMYFUNCTION("""COMPUTED_VALUE"""),43556.6875)</f>
        <v>43556.6875</v>
      </c>
      <c r="K271" t="str">
        <f>IFERROR(__xludf.DUMMYFUNCTION("""COMPUTED_VALUE"""),"20ft Sea Ark FL5351SJ UNF 2015")</f>
        <v>20ft Sea Ark FL5351SJ UNF 2015</v>
      </c>
      <c r="M271" t="str">
        <f>IFERROR(__xludf.DUMMYFUNCTION("""COMPUTED_VALUE"""),"Ford F150 2008 - DEP18041 (SWMP Thing)")</f>
        <v>Ford F150 2008 - DEP18041 (SWMP Thing)</v>
      </c>
      <c r="N271" t="str">
        <f>IFERROR(__xludf.DUMMYFUNCTION("""COMPUTED_VALUE"""),"Pam Marcum, (480) 332-5414")</f>
        <v>Pam Marcum, (480) 332-5414</v>
      </c>
      <c r="O271" t="str">
        <f>IFERROR(__xludf.DUMMYFUNCTION("""COMPUTED_VALUE"""),"Adrienne Breef-Pilz, Nicole Peckham")</f>
        <v>Adrienne Breef-Pilz, Nicole Peckham</v>
      </c>
      <c r="P271" t="str">
        <f>IFERROR(__xludf.DUMMYFUNCTION("""COMPUTED_VALUE"""),"Pam")</f>
        <v>Pam</v>
      </c>
      <c r="Q271" t="str">
        <f>IFERROR(__xludf.DUMMYFUNCTION("""COMPUTED_VALUE"""),"Good")</f>
        <v>Good</v>
      </c>
      <c r="R271" t="str">
        <f>IFERROR(__xludf.DUMMYFUNCTION("""COMPUTED_VALUE"""),"Good")</f>
        <v>Good</v>
      </c>
      <c r="S271" t="str">
        <f>IFERROR(__xludf.DUMMYFUNCTION("""COMPUTED_VALUE"""),"Good")</f>
        <v>Good</v>
      </c>
      <c r="T271" t="str">
        <f>IFERROR(__xludf.DUMMYFUNCTION("""COMPUTED_VALUE"""),"Good")</f>
        <v>Good</v>
      </c>
      <c r="U271" t="str">
        <f>IFERROR(__xludf.DUMMYFUNCTION("""COMPUTED_VALUE"""),"Good")</f>
        <v>Good</v>
      </c>
      <c r="V271" t="str">
        <f>IFERROR(__xludf.DUMMYFUNCTION("""COMPUTED_VALUE"""),"Good")</f>
        <v>Good</v>
      </c>
      <c r="W271" t="str">
        <f>IFERROR(__xludf.DUMMYFUNCTION("""COMPUTED_VALUE"""),"Good")</f>
        <v>Good</v>
      </c>
      <c r="X271" t="str">
        <f>IFERROR(__xludf.DUMMYFUNCTION("""COMPUTED_VALUE"""),"Good")</f>
        <v>Good</v>
      </c>
      <c r="Y271" t="str">
        <f>IFERROR(__xludf.DUMMYFUNCTION("""COMPUTED_VALUE"""),"Good")</f>
        <v>Good</v>
      </c>
      <c r="Z271" t="str">
        <f>IFERROR(__xludf.DUMMYFUNCTION("""COMPUTED_VALUE"""),"Good")</f>
        <v>Good</v>
      </c>
      <c r="AA271" t="str">
        <f>IFERROR(__xludf.DUMMYFUNCTION("""COMPUTED_VALUE"""),"Good")</f>
        <v>Good</v>
      </c>
      <c r="AB271" t="str">
        <f>IFERROR(__xludf.DUMMYFUNCTION("""COMPUTED_VALUE"""),"Good")</f>
        <v>Good</v>
      </c>
      <c r="AC271" t="str">
        <f>IFERROR(__xludf.DUMMYFUNCTION("""COMPUTED_VALUE"""),"Good")</f>
        <v>Good</v>
      </c>
      <c r="AE271" s="11"/>
      <c r="AF271" t="s">
        <v>218</v>
      </c>
      <c r="AG271" s="17" t="s">
        <v>43</v>
      </c>
      <c r="AH271" s="12">
        <v>1610.0</v>
      </c>
      <c r="AI271" s="12" t="s">
        <v>763</v>
      </c>
      <c r="AJ271" s="19" t="s">
        <v>764</v>
      </c>
      <c r="AK271" s="20" t="str">
        <f>HYPERLINK("https://docs.google.com/document/d/1mBCEfKk4M0GnmEfttHkg7DYLU8NC9VAAZ_0zCFxBuws/edit?usp=drivesdk","Pamela Marcum - 4/1/2019 12:00 PM")</f>
        <v>Pamela Marcum - 4/1/2019 12:00 PM</v>
      </c>
      <c r="AL271" s="12" t="s">
        <v>765</v>
      </c>
    </row>
    <row r="272">
      <c r="A272" s="10">
        <f>IFERROR(__xludf.DUMMYFUNCTION("""COMPUTED_VALUE"""),43556.74737189815)</f>
        <v>43556.74737</v>
      </c>
      <c r="B272" s="11" t="str">
        <f>IFERROR(__xludf.DUMMYFUNCTION("""COMPUTED_VALUE"""),"James Tomazinis")</f>
        <v>James Tomazinis</v>
      </c>
      <c r="C272" t="str">
        <f>IFERROR(__xludf.DUMMYFUNCTION("""COMPUTED_VALUE"""),"james.tomazinis@floridadep.gov")</f>
        <v>james.tomazinis@floridadep.gov</v>
      </c>
      <c r="D272" t="str">
        <f>IFERROR(__xludf.DUMMYFUNCTION("""COMPUTED_VALUE"""),"Stewardship (Aquatic)")</f>
        <v>Stewardship (Aquatic)</v>
      </c>
      <c r="E272" t="str">
        <f>IFERROR(__xludf.DUMMYFUNCTION("""COMPUTED_VALUE"""),"Guana Dam")</f>
        <v>Guana Dam</v>
      </c>
      <c r="F272" s="13">
        <f>IFERROR(__xludf.DUMMYFUNCTION("""COMPUTED_VALUE"""),0.375)</f>
        <v>0.375</v>
      </c>
      <c r="G272" s="14">
        <f>IFERROR(__xludf.DUMMYFUNCTION("""COMPUTED_VALUE"""),43557.0)</f>
        <v>43557</v>
      </c>
      <c r="H272" t="str">
        <f>IFERROR(__xludf.DUMMYFUNCTION("""COMPUTED_VALUE"""),"Guana River WQ sites")</f>
        <v>Guana River WQ sites</v>
      </c>
      <c r="I272" s="15">
        <f>IFERROR(__xludf.DUMMYFUNCTION("""COMPUTED_VALUE"""),0.4375)</f>
        <v>0.4375</v>
      </c>
      <c r="J272" s="16"/>
      <c r="K272" t="str">
        <f>IFERROR(__xludf.DUMMYFUNCTION("""COMPUTED_VALUE"""),"Jon Boat FL0484NP DEP06819")</f>
        <v>Jon Boat FL0484NP DEP06819</v>
      </c>
      <c r="M272" t="str">
        <f>IFERROR(__xludf.DUMMYFUNCTION("""COMPUTED_VALUE"""),"Ford F150 2015 (White) - DEP21448")</f>
        <v>Ford F150 2015 (White) - DEP21448</v>
      </c>
      <c r="N272" t="str">
        <f>IFERROR(__xludf.DUMMYFUNCTION("""COMPUTED_VALUE"""),"Jimmy Tomazinis, (904) 547-0094")</f>
        <v>Jimmy Tomazinis, (904) 547-0094</v>
      </c>
      <c r="O272" t="str">
        <f>IFERROR(__xludf.DUMMYFUNCTION("""COMPUTED_VALUE"""),"Mike Darragh")</f>
        <v>Mike Darragh</v>
      </c>
      <c r="P272" t="str">
        <f>IFERROR(__xludf.DUMMYFUNCTION("""COMPUTED_VALUE"""),"Jimmy")</f>
        <v>Jimmy</v>
      </c>
      <c r="Q272" t="str">
        <f>IFERROR(__xludf.DUMMYFUNCTION("""COMPUTED_VALUE"""),"Good")</f>
        <v>Good</v>
      </c>
      <c r="R272" t="str">
        <f>IFERROR(__xludf.DUMMYFUNCTION("""COMPUTED_VALUE"""),"Good")</f>
        <v>Good</v>
      </c>
      <c r="S272" t="str">
        <f>IFERROR(__xludf.DUMMYFUNCTION("""COMPUTED_VALUE"""),"Good")</f>
        <v>Good</v>
      </c>
      <c r="T272" t="str">
        <f>IFERROR(__xludf.DUMMYFUNCTION("""COMPUTED_VALUE"""),"Good")</f>
        <v>Good</v>
      </c>
      <c r="U272" t="str">
        <f>IFERROR(__xludf.DUMMYFUNCTION("""COMPUTED_VALUE"""),"Good")</f>
        <v>Good</v>
      </c>
      <c r="V272" t="str">
        <f>IFERROR(__xludf.DUMMYFUNCTION("""COMPUTED_VALUE"""),"Good")</f>
        <v>Good</v>
      </c>
      <c r="W272" t="str">
        <f>IFERROR(__xludf.DUMMYFUNCTION("""COMPUTED_VALUE"""),"Good")</f>
        <v>Good</v>
      </c>
      <c r="X272" t="str">
        <f>IFERROR(__xludf.DUMMYFUNCTION("""COMPUTED_VALUE"""),"Good")</f>
        <v>Good</v>
      </c>
      <c r="Y272" t="str">
        <f>IFERROR(__xludf.DUMMYFUNCTION("""COMPUTED_VALUE"""),"Good")</f>
        <v>Good</v>
      </c>
      <c r="Z272" t="str">
        <f>IFERROR(__xludf.DUMMYFUNCTION("""COMPUTED_VALUE"""),"Good")</f>
        <v>Good</v>
      </c>
      <c r="AA272" t="str">
        <f>IFERROR(__xludf.DUMMYFUNCTION("""COMPUTED_VALUE"""),"Good")</f>
        <v>Good</v>
      </c>
      <c r="AB272" t="str">
        <f>IFERROR(__xludf.DUMMYFUNCTION("""COMPUTED_VALUE"""),"Good")</f>
        <v>Good</v>
      </c>
      <c r="AC272" t="str">
        <f>IFERROR(__xludf.DUMMYFUNCTION("""COMPUTED_VALUE"""),"Good")</f>
        <v>Good</v>
      </c>
      <c r="AE272" s="11"/>
      <c r="AF272" t="s">
        <v>32</v>
      </c>
      <c r="AG272" s="17" t="s">
        <v>18</v>
      </c>
      <c r="AH272" s="12">
        <v>1145.0</v>
      </c>
      <c r="AI272" s="12" t="s">
        <v>766</v>
      </c>
      <c r="AJ272" s="19" t="s">
        <v>767</v>
      </c>
      <c r="AK272" s="20" t="str">
        <f>HYPERLINK("https://docs.google.com/document/d/1hBWPvOMDWDX1__sfEInbaoUfl4W3yrdgE2duMe0b6N8/edit?usp=drivesdk","James Tomazinis - 4/2/2019 9:00 AM")</f>
        <v>James Tomazinis - 4/2/2019 9:00 AM</v>
      </c>
      <c r="AL272" s="12" t="s">
        <v>768</v>
      </c>
    </row>
    <row r="273">
      <c r="A273" s="10">
        <f>IFERROR(__xludf.DUMMYFUNCTION("""COMPUTED_VALUE"""),43558.30487688657)</f>
        <v>43558.30488</v>
      </c>
      <c r="B273" s="11" t="str">
        <f>IFERROR(__xludf.DUMMYFUNCTION("""COMPUTED_VALUE"""),"Silas Tanner")</f>
        <v>Silas Tanner</v>
      </c>
      <c r="C273" t="str">
        <f>IFERROR(__xludf.DUMMYFUNCTION("""COMPUTED_VALUE"""),"silas.tanner@floridadep.gov")</f>
        <v>silas.tanner@floridadep.gov</v>
      </c>
      <c r="D273" t="str">
        <f>IFERROR(__xludf.DUMMYFUNCTION("""COMPUTED_VALUE"""),"Research/Nikki")</f>
        <v>Research/Nikki</v>
      </c>
      <c r="E273" t="str">
        <f>IFERROR(__xludf.DUMMYFUNCTION("""COMPUTED_VALUE"""),"Vilano Landing")</f>
        <v>Vilano Landing</v>
      </c>
      <c r="F273" s="13">
        <f>IFERROR(__xludf.DUMMYFUNCTION("""COMPUTED_VALUE"""),0.3125)</f>
        <v>0.3125</v>
      </c>
      <c r="G273" s="14">
        <f>IFERROR(__xludf.DUMMYFUNCTION("""COMPUTED_VALUE"""),43558.0)</f>
        <v>43558</v>
      </c>
      <c r="H273" t="str">
        <f>IFERROR(__xludf.DUMMYFUNCTION("""COMPUTED_VALUE"""),"ICW SWMP sites")</f>
        <v>ICW SWMP sites</v>
      </c>
      <c r="I273" s="15">
        <f>IFERROR(__xludf.DUMMYFUNCTION("""COMPUTED_VALUE"""),0.5208333333321207)</f>
        <v>0.5208333333</v>
      </c>
      <c r="J273" s="16">
        <f>IFERROR(__xludf.DUMMYFUNCTION("""COMPUTED_VALUE"""),43558.54166666667)</f>
        <v>43558.54167</v>
      </c>
      <c r="K273" t="str">
        <f>IFERROR(__xludf.DUMMYFUNCTION("""COMPUTED_VALUE"""),"20ft Sea Ark FL5351SJ UNF 2015")</f>
        <v>20ft Sea Ark FL5351SJ UNF 2015</v>
      </c>
      <c r="M273" t="str">
        <f>IFERROR(__xludf.DUMMYFUNCTION("""COMPUTED_VALUE"""),"Ford F150 2015 (White) - DEP21448")</f>
        <v>Ford F150 2015 (White) - DEP21448</v>
      </c>
      <c r="N273" t="str">
        <f>IFERROR(__xludf.DUMMYFUNCTION("""COMPUTED_VALUE"""),"Silas Tanner, (904) 483-8423, Jimmy Tomazinis, (904) 547-0094")</f>
        <v>Silas Tanner, (904) 483-8423, Jimmy Tomazinis, (904) 547-0094</v>
      </c>
      <c r="O273" t="str">
        <f>IFERROR(__xludf.DUMMYFUNCTION("""COMPUTED_VALUE"""),"Jeff Finnan")</f>
        <v>Jeff Finnan</v>
      </c>
      <c r="P273" t="str">
        <f>IFERROR(__xludf.DUMMYFUNCTION("""COMPUTED_VALUE"""),"S. Tanner")</f>
        <v>S. Tanner</v>
      </c>
      <c r="Q273" t="str">
        <f>IFERROR(__xludf.DUMMYFUNCTION("""COMPUTED_VALUE"""),"Good")</f>
        <v>Good</v>
      </c>
      <c r="R273" t="str">
        <f>IFERROR(__xludf.DUMMYFUNCTION("""COMPUTED_VALUE"""),"Good")</f>
        <v>Good</v>
      </c>
      <c r="S273" t="str">
        <f>IFERROR(__xludf.DUMMYFUNCTION("""COMPUTED_VALUE"""),"Good")</f>
        <v>Good</v>
      </c>
      <c r="T273" t="str">
        <f>IFERROR(__xludf.DUMMYFUNCTION("""COMPUTED_VALUE"""),"Good")</f>
        <v>Good</v>
      </c>
      <c r="U273" t="str">
        <f>IFERROR(__xludf.DUMMYFUNCTION("""COMPUTED_VALUE"""),"Good")</f>
        <v>Good</v>
      </c>
      <c r="V273" t="str">
        <f>IFERROR(__xludf.DUMMYFUNCTION("""COMPUTED_VALUE"""),"Good")</f>
        <v>Good</v>
      </c>
      <c r="W273" t="str">
        <f>IFERROR(__xludf.DUMMYFUNCTION("""COMPUTED_VALUE"""),"Good")</f>
        <v>Good</v>
      </c>
      <c r="X273" t="str">
        <f>IFERROR(__xludf.DUMMYFUNCTION("""COMPUTED_VALUE"""),"Good")</f>
        <v>Good</v>
      </c>
      <c r="Y273" t="str">
        <f>IFERROR(__xludf.DUMMYFUNCTION("""COMPUTED_VALUE"""),"Good")</f>
        <v>Good</v>
      </c>
      <c r="Z273" t="str">
        <f>IFERROR(__xludf.DUMMYFUNCTION("""COMPUTED_VALUE"""),"Good")</f>
        <v>Good</v>
      </c>
      <c r="AA273" t="str">
        <f>IFERROR(__xludf.DUMMYFUNCTION("""COMPUTED_VALUE"""),"Good")</f>
        <v>Good</v>
      </c>
      <c r="AB273" t="str">
        <f>IFERROR(__xludf.DUMMYFUNCTION("""COMPUTED_VALUE"""),"Good")</f>
        <v>Good</v>
      </c>
      <c r="AC273" t="str">
        <f>IFERROR(__xludf.DUMMYFUNCTION("""COMPUTED_VALUE"""),"Good")</f>
        <v>Good</v>
      </c>
      <c r="AE273" s="11"/>
      <c r="AF273" t="s">
        <v>218</v>
      </c>
      <c r="AG273" s="17" t="s">
        <v>18</v>
      </c>
      <c r="AH273" s="12">
        <v>1215.0</v>
      </c>
      <c r="AI273" s="12" t="s">
        <v>769</v>
      </c>
      <c r="AJ273" s="19" t="s">
        <v>770</v>
      </c>
      <c r="AK273" s="20" t="str">
        <f>HYPERLINK("https://docs.google.com/document/d/1dGjXr-f0fBAgpju4CycNigpwZYO7y6akkSw-DyY80Hg/edit?usp=drivesdk","Silas Tanner - 4/3/2019 7:30 AM")</f>
        <v>Silas Tanner - 4/3/2019 7:30 AM</v>
      </c>
      <c r="AL273" s="12" t="s">
        <v>771</v>
      </c>
    </row>
    <row r="274">
      <c r="A274" s="10">
        <f>IFERROR(__xludf.DUMMYFUNCTION("""COMPUTED_VALUE"""),43563.27693378473)</f>
        <v>43563.27693</v>
      </c>
      <c r="B274" s="11" t="str">
        <f>IFERROR(__xludf.DUMMYFUNCTION("""COMPUTED_VALUE"""),"Silas Tanner")</f>
        <v>Silas Tanner</v>
      </c>
      <c r="C274" t="str">
        <f>IFERROR(__xludf.DUMMYFUNCTION("""COMPUTED_VALUE"""),"silas.tanner@floridadep.gov")</f>
        <v>silas.tanner@floridadep.gov</v>
      </c>
      <c r="D274" t="str">
        <f>IFERROR(__xludf.DUMMYFUNCTION("""COMPUTED_VALUE"""),"Research/Nikki")</f>
        <v>Research/Nikki</v>
      </c>
      <c r="E274" t="str">
        <f>IFERROR(__xludf.DUMMYFUNCTION("""COMPUTED_VALUE"""),"Moses Creek floating dock")</f>
        <v>Moses Creek floating dock</v>
      </c>
      <c r="F274" s="13">
        <f>IFERROR(__xludf.DUMMYFUNCTION("""COMPUTED_VALUE"""),0.3541666666678793)</f>
        <v>0.3541666667</v>
      </c>
      <c r="G274" s="14">
        <f>IFERROR(__xludf.DUMMYFUNCTION("""COMPUTED_VALUE"""),43563.0)</f>
        <v>43563</v>
      </c>
      <c r="H274" t="str">
        <f>IFERROR(__xludf.DUMMYFUNCTION("""COMPUTED_VALUE"""),"Moses Creek SWMP platforms")</f>
        <v>Moses Creek SWMP platforms</v>
      </c>
      <c r="I274" s="15">
        <f>IFERROR(__xludf.DUMMYFUNCTION("""COMPUTED_VALUE"""),0.5625)</f>
        <v>0.5625</v>
      </c>
      <c r="J274" s="16">
        <f>IFERROR(__xludf.DUMMYFUNCTION("""COMPUTED_VALUE"""),43563.60416666667)</f>
        <v>43563.60417</v>
      </c>
      <c r="K274" t="str">
        <f>IFERROR(__xludf.DUMMYFUNCTION("""COMPUTED_VALUE"""),"Canoe(s)")</f>
        <v>Canoe(s)</v>
      </c>
      <c r="L274">
        <f>IFERROR(__xludf.DUMMYFUNCTION("""COMPUTED_VALUE"""),2.0)</f>
        <v>2</v>
      </c>
      <c r="M274" t="str">
        <f>IFERROR(__xludf.DUMMYFUNCTION("""COMPUTED_VALUE"""),"Ford F250 2017 (Moby Dix) - DEP0021578")</f>
        <v>Ford F250 2017 (Moby Dix) - DEP0021578</v>
      </c>
      <c r="N274" t="str">
        <f>IFERROR(__xludf.DUMMYFUNCTION("""COMPUTED_VALUE"""),"Pam Marcum, (480) 332-5414, Shannon Dunnigan, (803) 727-5734, Silas Tanner, (904) 483-8423")</f>
        <v>Pam Marcum, (480) 332-5414, Shannon Dunnigan, (803) 727-5734, Silas Tanner, (904) 483-8423</v>
      </c>
      <c r="P274" t="str">
        <f>IFERROR(__xludf.DUMMYFUNCTION("""COMPUTED_VALUE"""),"S. Tanner")</f>
        <v>S. Tanner</v>
      </c>
      <c r="Q274" t="str">
        <f>IFERROR(__xludf.DUMMYFUNCTION("""COMPUTED_VALUE"""),"Good")</f>
        <v>Good</v>
      </c>
      <c r="R274" t="str">
        <f>IFERROR(__xludf.DUMMYFUNCTION("""COMPUTED_VALUE"""),"Good")</f>
        <v>Good</v>
      </c>
      <c r="S274" t="str">
        <f>IFERROR(__xludf.DUMMYFUNCTION("""COMPUTED_VALUE"""),"Good")</f>
        <v>Good</v>
      </c>
      <c r="T274" t="str">
        <f>IFERROR(__xludf.DUMMYFUNCTION("""COMPUTED_VALUE"""),"Good")</f>
        <v>Good</v>
      </c>
      <c r="U274" t="str">
        <f>IFERROR(__xludf.DUMMYFUNCTION("""COMPUTED_VALUE"""),"Good")</f>
        <v>Good</v>
      </c>
      <c r="V274" t="str">
        <f>IFERROR(__xludf.DUMMYFUNCTION("""COMPUTED_VALUE"""),"Good")</f>
        <v>Good</v>
      </c>
      <c r="W274" t="str">
        <f>IFERROR(__xludf.DUMMYFUNCTION("""COMPUTED_VALUE"""),"Good")</f>
        <v>Good</v>
      </c>
      <c r="X274" t="str">
        <f>IFERROR(__xludf.DUMMYFUNCTION("""COMPUTED_VALUE"""),"Good")</f>
        <v>Good</v>
      </c>
      <c r="Y274" t="str">
        <f>IFERROR(__xludf.DUMMYFUNCTION("""COMPUTED_VALUE"""),"Good")</f>
        <v>Good</v>
      </c>
      <c r="Z274" t="str">
        <f>IFERROR(__xludf.DUMMYFUNCTION("""COMPUTED_VALUE"""),"Good")</f>
        <v>Good</v>
      </c>
      <c r="AA274" t="str">
        <f>IFERROR(__xludf.DUMMYFUNCTION("""COMPUTED_VALUE"""),"Good")</f>
        <v>Good</v>
      </c>
      <c r="AB274" t="str">
        <f>IFERROR(__xludf.DUMMYFUNCTION("""COMPUTED_VALUE"""),"Good")</f>
        <v>Good</v>
      </c>
      <c r="AC274" t="str">
        <f>IFERROR(__xludf.DUMMYFUNCTION("""COMPUTED_VALUE"""),"Good")</f>
        <v>Good</v>
      </c>
      <c r="AE274" s="11"/>
      <c r="AF274" t="s">
        <v>218</v>
      </c>
      <c r="AG274" s="17" t="s">
        <v>60</v>
      </c>
      <c r="AH274" s="12">
        <v>1214.0</v>
      </c>
      <c r="AI274" s="12" t="s">
        <v>772</v>
      </c>
      <c r="AJ274" s="19" t="s">
        <v>773</v>
      </c>
      <c r="AK274" s="20" t="str">
        <f>HYPERLINK("https://docs.google.com/document/d/1zpiiQnRk_ny2eghst2yO43NK7mtn9wSbSuVWKqfFa1w/edit?usp=drivesdk","Silas Tanner - 4/8/2019 8:30 AM")</f>
        <v>Silas Tanner - 4/8/2019 8:30 AM</v>
      </c>
      <c r="AL274" s="12" t="s">
        <v>774</v>
      </c>
    </row>
    <row r="275">
      <c r="A275" s="10">
        <f>IFERROR(__xludf.DUMMYFUNCTION("""COMPUTED_VALUE"""),43563.67906284722)</f>
        <v>43563.67906</v>
      </c>
      <c r="B275" s="11" t="str">
        <f>IFERROR(__xludf.DUMMYFUNCTION("""COMPUTED_VALUE"""),"Pamela Marcum")</f>
        <v>Pamela Marcum</v>
      </c>
      <c r="C275" t="str">
        <f>IFERROR(__xludf.DUMMYFUNCTION("""COMPUTED_VALUE"""),"Pamela.Marcum@dep.state.fl.us")</f>
        <v>Pamela.Marcum@dep.state.fl.us</v>
      </c>
      <c r="D275" t="str">
        <f>IFERROR(__xludf.DUMMYFUNCTION("""COMPUTED_VALUE"""),"Research/Nikki")</f>
        <v>Research/Nikki</v>
      </c>
      <c r="E275" t="str">
        <f>IFERROR(__xludf.DUMMYFUNCTION("""COMPUTED_VALUE"""),"Aunt Kate's")</f>
        <v>Aunt Kate's</v>
      </c>
      <c r="F275" s="13">
        <f>IFERROR(__xludf.DUMMYFUNCTION("""COMPUTED_VALUE"""),0.7291666666678793)</f>
        <v>0.7291666667</v>
      </c>
      <c r="G275" s="14">
        <f>IFERROR(__xludf.DUMMYFUNCTION("""COMPUTED_VALUE"""),43563.0)</f>
        <v>43563</v>
      </c>
      <c r="H275" t="str">
        <f>IFERROR(__xludf.DUMMYFUNCTION("""COMPUTED_VALUE"""),"Tolomato &amp; Guana Rivers")</f>
        <v>Tolomato &amp; Guana Rivers</v>
      </c>
      <c r="I275" s="15">
        <f>IFERROR(__xludf.DUMMYFUNCTION("""COMPUTED_VALUE"""),0.8541666666678793)</f>
        <v>0.8541666667</v>
      </c>
      <c r="J275" s="16">
        <f>IFERROR(__xludf.DUMMYFUNCTION("""COMPUTED_VALUE"""),43563.86458333333)</f>
        <v>43563.86458</v>
      </c>
      <c r="K275" t="str">
        <f>IFERROR(__xludf.DUMMYFUNCTION("""COMPUTED_VALUE"""),"20ft Sea Ark FL5351SJ UNF 2015")</f>
        <v>20ft Sea Ark FL5351SJ UNF 2015</v>
      </c>
      <c r="M275" t="str">
        <f>IFERROR(__xludf.DUMMYFUNCTION("""COMPUTED_VALUE"""),"Ford F250 2017 (Moby Dix) - DEP0021578")</f>
        <v>Ford F250 2017 (Moby Dix) - DEP0021578</v>
      </c>
      <c r="N275" t="str">
        <f>IFERROR(__xludf.DUMMYFUNCTION("""COMPUTED_VALUE"""),"Pam Marcum, (480) 332-5414")</f>
        <v>Pam Marcum, (480) 332-5414</v>
      </c>
      <c r="O275" t="str">
        <f>IFERROR(__xludf.DUMMYFUNCTION("""COMPUTED_VALUE"""),"Nicole Peckham, Adrienne Breef-Pilz")</f>
        <v>Nicole Peckham, Adrienne Breef-Pilz</v>
      </c>
      <c r="P275" t="str">
        <f>IFERROR(__xludf.DUMMYFUNCTION("""COMPUTED_VALUE"""),"Pam")</f>
        <v>Pam</v>
      </c>
      <c r="Q275" t="str">
        <f>IFERROR(__xludf.DUMMYFUNCTION("""COMPUTED_VALUE"""),"Good")</f>
        <v>Good</v>
      </c>
      <c r="R275" t="str">
        <f>IFERROR(__xludf.DUMMYFUNCTION("""COMPUTED_VALUE"""),"Good")</f>
        <v>Good</v>
      </c>
      <c r="S275" t="str">
        <f>IFERROR(__xludf.DUMMYFUNCTION("""COMPUTED_VALUE"""),"Good")</f>
        <v>Good</v>
      </c>
      <c r="T275" t="str">
        <f>IFERROR(__xludf.DUMMYFUNCTION("""COMPUTED_VALUE"""),"Good")</f>
        <v>Good</v>
      </c>
      <c r="U275" t="str">
        <f>IFERROR(__xludf.DUMMYFUNCTION("""COMPUTED_VALUE"""),"Good")</f>
        <v>Good</v>
      </c>
      <c r="V275" t="str">
        <f>IFERROR(__xludf.DUMMYFUNCTION("""COMPUTED_VALUE"""),"Good")</f>
        <v>Good</v>
      </c>
      <c r="W275" t="str">
        <f>IFERROR(__xludf.DUMMYFUNCTION("""COMPUTED_VALUE"""),"Good")</f>
        <v>Good</v>
      </c>
      <c r="X275" t="str">
        <f>IFERROR(__xludf.DUMMYFUNCTION("""COMPUTED_VALUE"""),"Good")</f>
        <v>Good</v>
      </c>
      <c r="Y275" t="str">
        <f>IFERROR(__xludf.DUMMYFUNCTION("""COMPUTED_VALUE"""),"Good")</f>
        <v>Good</v>
      </c>
      <c r="Z275" t="str">
        <f>IFERROR(__xludf.DUMMYFUNCTION("""COMPUTED_VALUE"""),"Good")</f>
        <v>Good</v>
      </c>
      <c r="AA275" t="str">
        <f>IFERROR(__xludf.DUMMYFUNCTION("""COMPUTED_VALUE"""),"Good")</f>
        <v>Good</v>
      </c>
      <c r="AB275" t="str">
        <f>IFERROR(__xludf.DUMMYFUNCTION("""COMPUTED_VALUE"""),"Good")</f>
        <v>Good</v>
      </c>
      <c r="AC275" t="str">
        <f>IFERROR(__xludf.DUMMYFUNCTION("""COMPUTED_VALUE"""),"Good")</f>
        <v>Good</v>
      </c>
      <c r="AE275" s="11"/>
      <c r="AF275" t="s">
        <v>218</v>
      </c>
      <c r="AG275" s="17" t="s">
        <v>775</v>
      </c>
      <c r="AH275" s="12" t="s">
        <v>282</v>
      </c>
      <c r="AI275" s="12" t="s">
        <v>776</v>
      </c>
      <c r="AJ275" s="19" t="s">
        <v>777</v>
      </c>
      <c r="AK275" s="20" t="str">
        <f>HYPERLINK("https://docs.google.com/document/d/1AfS58goBppKK1dhcQ15scXNHmkmINsEIlKN629Yv3FA/edit?usp=drivesdk","Pamela Marcum - 4/8/2019 5:30 PM")</f>
        <v>Pamela Marcum - 4/8/2019 5:30 PM</v>
      </c>
      <c r="AL275" s="12" t="s">
        <v>778</v>
      </c>
    </row>
    <row r="276">
      <c r="A276" s="10">
        <f>IFERROR(__xludf.DUMMYFUNCTION("""COMPUTED_VALUE"""),43564.36415953704)</f>
        <v>43564.36416</v>
      </c>
      <c r="B276" s="11" t="str">
        <f>IFERROR(__xludf.DUMMYFUNCTION("""COMPUTED_VALUE"""),"james tomazinis")</f>
        <v>james tomazinis</v>
      </c>
      <c r="C276" t="str">
        <f>IFERROR(__xludf.DUMMYFUNCTION("""COMPUTED_VALUE"""),"james.tomazinis@floridadep.gov")</f>
        <v>james.tomazinis@floridadep.gov</v>
      </c>
      <c r="D276" t="str">
        <f>IFERROR(__xludf.DUMMYFUNCTION("""COMPUTED_VALUE"""),"Stewardship (Aquatic)")</f>
        <v>Stewardship (Aquatic)</v>
      </c>
      <c r="E276" t="str">
        <f>IFERROR(__xludf.DUMMYFUNCTION("""COMPUTED_VALUE"""),"Palm Valley")</f>
        <v>Palm Valley</v>
      </c>
      <c r="F276" s="13">
        <f>IFERROR(__xludf.DUMMYFUNCTION("""COMPUTED_VALUE"""),0.38888888889050577)</f>
        <v>0.3888888889</v>
      </c>
      <c r="G276" s="14">
        <f>IFERROR(__xludf.DUMMYFUNCTION("""COMPUTED_VALUE"""),43564.0)</f>
        <v>43564</v>
      </c>
      <c r="H276" t="str">
        <f>IFERROR(__xludf.DUMMYFUNCTION("""COMPUTED_VALUE"""),"Tolomato Nekton sites")</f>
        <v>Tolomato Nekton sites</v>
      </c>
      <c r="I276" s="15">
        <f>IFERROR(__xludf.DUMMYFUNCTION("""COMPUTED_VALUE"""),0.6666666666678793)</f>
        <v>0.6666666667</v>
      </c>
      <c r="J276" s="16"/>
      <c r="K276" t="str">
        <f>IFERROR(__xludf.DUMMYFUNCTION("""COMPUTED_VALUE"""),"23ft Skiff (Bertha) FL7972LJ DEP07613")</f>
        <v>23ft Skiff (Bertha) FL7972LJ DEP07613</v>
      </c>
      <c r="M276" t="str">
        <f>IFERROR(__xludf.DUMMYFUNCTION("""COMPUTED_VALUE"""),"Ford F150 2015 (White) - DEP21448")</f>
        <v>Ford F150 2015 (White) - DEP21448</v>
      </c>
      <c r="N276" t="str">
        <f>IFERROR(__xludf.DUMMYFUNCTION("""COMPUTED_VALUE"""),"Jimmy Tomazinis, (904) 547-0094")</f>
        <v>Jimmy Tomazinis, (904) 547-0094</v>
      </c>
      <c r="O276" t="str">
        <f>IFERROR(__xludf.DUMMYFUNCTION("""COMPUTED_VALUE"""),"Suzi, Dickson, Jeff Finnan, Chris Kurtz, Brittany Trawick")</f>
        <v>Suzi, Dickson, Jeff Finnan, Chris Kurtz, Brittany Trawick</v>
      </c>
      <c r="P276" t="str">
        <f>IFERROR(__xludf.DUMMYFUNCTION("""COMPUTED_VALUE"""),"Jimmy")</f>
        <v>Jimmy</v>
      </c>
      <c r="Q276" t="str">
        <f>IFERROR(__xludf.DUMMYFUNCTION("""COMPUTED_VALUE"""),"Good")</f>
        <v>Good</v>
      </c>
      <c r="R276" t="str">
        <f>IFERROR(__xludf.DUMMYFUNCTION("""COMPUTED_VALUE"""),"Good")</f>
        <v>Good</v>
      </c>
      <c r="S276" t="str">
        <f>IFERROR(__xludf.DUMMYFUNCTION("""COMPUTED_VALUE"""),"Good")</f>
        <v>Good</v>
      </c>
      <c r="T276" t="str">
        <f>IFERROR(__xludf.DUMMYFUNCTION("""COMPUTED_VALUE"""),"Good")</f>
        <v>Good</v>
      </c>
      <c r="U276" t="str">
        <f>IFERROR(__xludf.DUMMYFUNCTION("""COMPUTED_VALUE"""),"Good")</f>
        <v>Good</v>
      </c>
      <c r="V276" t="str">
        <f>IFERROR(__xludf.DUMMYFUNCTION("""COMPUTED_VALUE"""),"Good")</f>
        <v>Good</v>
      </c>
      <c r="W276" t="str">
        <f>IFERROR(__xludf.DUMMYFUNCTION("""COMPUTED_VALUE"""),"Good")</f>
        <v>Good</v>
      </c>
      <c r="X276" t="str">
        <f>IFERROR(__xludf.DUMMYFUNCTION("""COMPUTED_VALUE"""),"Good")</f>
        <v>Good</v>
      </c>
      <c r="Y276" t="str">
        <f>IFERROR(__xludf.DUMMYFUNCTION("""COMPUTED_VALUE"""),"Good")</f>
        <v>Good</v>
      </c>
      <c r="Z276" t="str">
        <f>IFERROR(__xludf.DUMMYFUNCTION("""COMPUTED_VALUE"""),"Good")</f>
        <v>Good</v>
      </c>
      <c r="AA276" t="str">
        <f>IFERROR(__xludf.DUMMYFUNCTION("""COMPUTED_VALUE"""),"Good")</f>
        <v>Good</v>
      </c>
      <c r="AB276" t="str">
        <f>IFERROR(__xludf.DUMMYFUNCTION("""COMPUTED_VALUE"""),"Good")</f>
        <v>Good</v>
      </c>
      <c r="AC276" t="str">
        <f>IFERROR(__xludf.DUMMYFUNCTION("""COMPUTED_VALUE"""),"Good")</f>
        <v>Good</v>
      </c>
      <c r="AE276" s="11"/>
      <c r="AF276" t="s">
        <v>32</v>
      </c>
      <c r="AG276" s="17" t="s">
        <v>43</v>
      </c>
      <c r="AH276" s="12">
        <v>1225.0</v>
      </c>
      <c r="AI276" s="12" t="s">
        <v>779</v>
      </c>
      <c r="AJ276" s="19" t="s">
        <v>780</v>
      </c>
      <c r="AK276" s="20" t="str">
        <f>HYPERLINK("https://docs.google.com/document/d/1I5BcUrGICWQ1wd-pOkEzau0SJ4sOIRHp-C2jzuUxtbg/edit?usp=drivesdk","james tomazinis - 4/9/2019 9:20 AM")</f>
        <v>james tomazinis - 4/9/2019 9:20 AM</v>
      </c>
      <c r="AL276" s="12" t="s">
        <v>781</v>
      </c>
    </row>
    <row r="277">
      <c r="A277" s="10">
        <f>IFERROR(__xludf.DUMMYFUNCTION("""COMPUTED_VALUE"""),43564.668178182874)</f>
        <v>43564.66818</v>
      </c>
      <c r="B277" s="11" t="str">
        <f>IFERROR(__xludf.DUMMYFUNCTION("""COMPUTED_VALUE"""),"Jimmy")</f>
        <v>Jimmy</v>
      </c>
      <c r="C277" t="str">
        <f>IFERROR(__xludf.DUMMYFUNCTION("""COMPUTED_VALUE"""),"james.tomazinis@floridadep.gov")</f>
        <v>james.tomazinis@floridadep.gov</v>
      </c>
      <c r="D277" t="str">
        <f>IFERROR(__xludf.DUMMYFUNCTION("""COMPUTED_VALUE"""),"Stewardship (Aquatic)")</f>
        <v>Stewardship (Aquatic)</v>
      </c>
      <c r="E277" t="str">
        <f>IFERROR(__xludf.DUMMYFUNCTION("""COMPUTED_VALUE"""),"Vilano")</f>
        <v>Vilano</v>
      </c>
      <c r="F277" s="13">
        <f>IFERROR(__xludf.DUMMYFUNCTION("""COMPUTED_VALUE"""),0.38888888889050577)</f>
        <v>0.3888888889</v>
      </c>
      <c r="G277" s="14">
        <f>IFERROR(__xludf.DUMMYFUNCTION("""COMPUTED_VALUE"""),43565.0)</f>
        <v>43565</v>
      </c>
      <c r="H277" t="str">
        <f>IFERROR(__xludf.DUMMYFUNCTION("""COMPUTED_VALUE"""),"Tolomato and matanzas Nekton sites")</f>
        <v>Tolomato and matanzas Nekton sites</v>
      </c>
      <c r="I277" s="15">
        <f>IFERROR(__xludf.DUMMYFUNCTION("""COMPUTED_VALUE"""),0.6666666666678793)</f>
        <v>0.6666666667</v>
      </c>
      <c r="J277" s="16"/>
      <c r="K277" t="str">
        <f>IFERROR(__xludf.DUMMYFUNCTION("""COMPUTED_VALUE"""),"23ft Skiff (Bertha) FL7972LJ DEP07613")</f>
        <v>23ft Skiff (Bertha) FL7972LJ DEP07613</v>
      </c>
      <c r="M277" t="str">
        <f>IFERROR(__xludf.DUMMYFUNCTION("""COMPUTED_VALUE"""),"Ford F150 2015 (White) - DEP21448")</f>
        <v>Ford F150 2015 (White) - DEP21448</v>
      </c>
      <c r="N277" t="str">
        <f>IFERROR(__xludf.DUMMYFUNCTION("""COMPUTED_VALUE"""),"Jimmy Tomazinis, (904) 547-0094")</f>
        <v>Jimmy Tomazinis, (904) 547-0094</v>
      </c>
      <c r="O277" t="str">
        <f>IFERROR(__xludf.DUMMYFUNCTION("""COMPUTED_VALUE"""),"Suzi, Jeff Finnan, Dickson, Amy Brownfield, Flagler student")</f>
        <v>Suzi, Jeff Finnan, Dickson, Amy Brownfield, Flagler student</v>
      </c>
      <c r="P277" t="str">
        <f>IFERROR(__xludf.DUMMYFUNCTION("""COMPUTED_VALUE"""),"Jimmy")</f>
        <v>Jimmy</v>
      </c>
      <c r="Q277" t="str">
        <f>IFERROR(__xludf.DUMMYFUNCTION("""COMPUTED_VALUE"""),"Good")</f>
        <v>Good</v>
      </c>
      <c r="R277" t="str">
        <f>IFERROR(__xludf.DUMMYFUNCTION("""COMPUTED_VALUE"""),"Good")</f>
        <v>Good</v>
      </c>
      <c r="S277" t="str">
        <f>IFERROR(__xludf.DUMMYFUNCTION("""COMPUTED_VALUE"""),"Good")</f>
        <v>Good</v>
      </c>
      <c r="T277" t="str">
        <f>IFERROR(__xludf.DUMMYFUNCTION("""COMPUTED_VALUE"""),"Good")</f>
        <v>Good</v>
      </c>
      <c r="U277" t="str">
        <f>IFERROR(__xludf.DUMMYFUNCTION("""COMPUTED_VALUE"""),"Good")</f>
        <v>Good</v>
      </c>
      <c r="V277" t="str">
        <f>IFERROR(__xludf.DUMMYFUNCTION("""COMPUTED_VALUE"""),"Good")</f>
        <v>Good</v>
      </c>
      <c r="W277" t="str">
        <f>IFERROR(__xludf.DUMMYFUNCTION("""COMPUTED_VALUE"""),"Good")</f>
        <v>Good</v>
      </c>
      <c r="X277" t="str">
        <f>IFERROR(__xludf.DUMMYFUNCTION("""COMPUTED_VALUE"""),"Good")</f>
        <v>Good</v>
      </c>
      <c r="Y277" t="str">
        <f>IFERROR(__xludf.DUMMYFUNCTION("""COMPUTED_VALUE"""),"Good")</f>
        <v>Good</v>
      </c>
      <c r="Z277" t="str">
        <f>IFERROR(__xludf.DUMMYFUNCTION("""COMPUTED_VALUE"""),"Good")</f>
        <v>Good</v>
      </c>
      <c r="AA277" t="str">
        <f>IFERROR(__xludf.DUMMYFUNCTION("""COMPUTED_VALUE"""),"Good")</f>
        <v>Good</v>
      </c>
      <c r="AB277" t="str">
        <f>IFERROR(__xludf.DUMMYFUNCTION("""COMPUTED_VALUE"""),"Good")</f>
        <v>Good</v>
      </c>
      <c r="AC277" t="str">
        <f>IFERROR(__xludf.DUMMYFUNCTION("""COMPUTED_VALUE"""),"Good")</f>
        <v>Good</v>
      </c>
      <c r="AE277" s="11"/>
      <c r="AF277" t="s">
        <v>32</v>
      </c>
      <c r="AG277" s="17" t="s">
        <v>18</v>
      </c>
      <c r="AH277" s="12">
        <v>1635.0</v>
      </c>
      <c r="AI277" s="12" t="s">
        <v>782</v>
      </c>
      <c r="AJ277" s="19" t="s">
        <v>783</v>
      </c>
      <c r="AK277" s="20" t="str">
        <f>HYPERLINK("https://docs.google.com/document/d/1Sn9bVL2GIklcZRZgPcVrs4YIzFCqYYDAXCMJVl9B1R0/edit?usp=drivesdk","Jimmy - 4/10/2019 9:20 AM")</f>
        <v>Jimmy - 4/10/2019 9:20 AM</v>
      </c>
      <c r="AL277" s="12" t="s">
        <v>784</v>
      </c>
    </row>
    <row r="278">
      <c r="A278" s="10">
        <f>IFERROR(__xludf.DUMMYFUNCTION("""COMPUTED_VALUE"""),43565.30659571759)</f>
        <v>43565.3066</v>
      </c>
      <c r="B278" s="11" t="str">
        <f>IFERROR(__xludf.DUMMYFUNCTION("""COMPUTED_VALUE"""),"Silas Tanner")</f>
        <v>Silas Tanner</v>
      </c>
      <c r="C278" t="str">
        <f>IFERROR(__xludf.DUMMYFUNCTION("""COMPUTED_VALUE"""),"silas.tanner@floridadep.gov")</f>
        <v>silas.tanner@floridadep.gov</v>
      </c>
      <c r="D278" t="str">
        <f>IFERROR(__xludf.DUMMYFUNCTION("""COMPUTED_VALUE"""),"Research/Nikki")</f>
        <v>Research/Nikki</v>
      </c>
      <c r="E278" t="str">
        <f>IFERROR(__xludf.DUMMYFUNCTION("""COMPUTED_VALUE"""),"Bing's")</f>
        <v>Bing's</v>
      </c>
      <c r="F278" s="13">
        <f>IFERROR(__xludf.DUMMYFUNCTION("""COMPUTED_VALUE"""),0.3541666666678793)</f>
        <v>0.3541666667</v>
      </c>
      <c r="G278" s="14">
        <f>IFERROR(__xludf.DUMMYFUNCTION("""COMPUTED_VALUE"""),43565.0)</f>
        <v>43565</v>
      </c>
      <c r="H278" t="str">
        <f>IFERROR(__xludf.DUMMYFUNCTION("""COMPUTED_VALUE"""),"Washington Oaks SWMP platforms")</f>
        <v>Washington Oaks SWMP platforms</v>
      </c>
      <c r="I278" s="15">
        <f>IFERROR(__xludf.DUMMYFUNCTION("""COMPUTED_VALUE"""),0.5625)</f>
        <v>0.5625</v>
      </c>
      <c r="J278" s="16">
        <f>IFERROR(__xludf.DUMMYFUNCTION("""COMPUTED_VALUE"""),43565.625)</f>
        <v>43565.625</v>
      </c>
      <c r="K278" t="str">
        <f>IFERROR(__xludf.DUMMYFUNCTION("""COMPUTED_VALUE"""),"20ft Sea Ark FL5351SJ UNF 2015")</f>
        <v>20ft Sea Ark FL5351SJ UNF 2015</v>
      </c>
      <c r="M278" t="str">
        <f>IFERROR(__xludf.DUMMYFUNCTION("""COMPUTED_VALUE"""),"Ford F250 2017 (Moby Dix) - DEP0021578")</f>
        <v>Ford F250 2017 (Moby Dix) - DEP0021578</v>
      </c>
      <c r="N278" t="str">
        <f>IFERROR(__xludf.DUMMYFUNCTION("""COMPUTED_VALUE"""),"Shannon Dunnigan, (803) 727-5734, Silas Tanner, (904) 483-8423")</f>
        <v>Shannon Dunnigan, (803) 727-5734, Silas Tanner, (904) 483-8423</v>
      </c>
      <c r="P278" t="str">
        <f>IFERROR(__xludf.DUMMYFUNCTION("""COMPUTED_VALUE"""),"S. Dunnigan")</f>
        <v>S. Dunnigan</v>
      </c>
      <c r="Q278" t="str">
        <f>IFERROR(__xludf.DUMMYFUNCTION("""COMPUTED_VALUE"""),"Good")</f>
        <v>Good</v>
      </c>
      <c r="R278" t="str">
        <f>IFERROR(__xludf.DUMMYFUNCTION("""COMPUTED_VALUE"""),"Good")</f>
        <v>Good</v>
      </c>
      <c r="S278" t="str">
        <f>IFERROR(__xludf.DUMMYFUNCTION("""COMPUTED_VALUE"""),"Good")</f>
        <v>Good</v>
      </c>
      <c r="T278" t="str">
        <f>IFERROR(__xludf.DUMMYFUNCTION("""COMPUTED_VALUE"""),"Good")</f>
        <v>Good</v>
      </c>
      <c r="U278" t="str">
        <f>IFERROR(__xludf.DUMMYFUNCTION("""COMPUTED_VALUE"""),"Good")</f>
        <v>Good</v>
      </c>
      <c r="V278" t="str">
        <f>IFERROR(__xludf.DUMMYFUNCTION("""COMPUTED_VALUE"""),"Good")</f>
        <v>Good</v>
      </c>
      <c r="W278" t="str">
        <f>IFERROR(__xludf.DUMMYFUNCTION("""COMPUTED_VALUE"""),"Good")</f>
        <v>Good</v>
      </c>
      <c r="X278" t="str">
        <f>IFERROR(__xludf.DUMMYFUNCTION("""COMPUTED_VALUE"""),"Good")</f>
        <v>Good</v>
      </c>
      <c r="Y278" t="str">
        <f>IFERROR(__xludf.DUMMYFUNCTION("""COMPUTED_VALUE"""),"Good")</f>
        <v>Good</v>
      </c>
      <c r="Z278" t="str">
        <f>IFERROR(__xludf.DUMMYFUNCTION("""COMPUTED_VALUE"""),"Good")</f>
        <v>Good</v>
      </c>
      <c r="AA278" t="str">
        <f>IFERROR(__xludf.DUMMYFUNCTION("""COMPUTED_VALUE"""),"Good")</f>
        <v>Good</v>
      </c>
      <c r="AB278" t="str">
        <f>IFERROR(__xludf.DUMMYFUNCTION("""COMPUTED_VALUE"""),"Good")</f>
        <v>Good</v>
      </c>
      <c r="AC278" t="str">
        <f>IFERROR(__xludf.DUMMYFUNCTION("""COMPUTED_VALUE"""),"Good")</f>
        <v>Good</v>
      </c>
      <c r="AE278" s="11"/>
      <c r="AF278" t="s">
        <v>218</v>
      </c>
      <c r="AG278" s="17" t="s">
        <v>18</v>
      </c>
      <c r="AH278" s="12">
        <v>1320.0</v>
      </c>
      <c r="AI278" s="12" t="s">
        <v>785</v>
      </c>
      <c r="AJ278" s="19" t="s">
        <v>786</v>
      </c>
      <c r="AK278" s="20" t="str">
        <f>HYPERLINK("https://docs.google.com/document/d/1hzl70eQJdCH-lpArjQbSGfHA1SGjOSraKKhyqg58B68/edit?usp=drivesdk","Silas Tanner - 4/10/2019 8:30 AM")</f>
        <v>Silas Tanner - 4/10/2019 8:30 AM</v>
      </c>
      <c r="AL278" s="12" t="s">
        <v>787</v>
      </c>
    </row>
    <row r="279">
      <c r="A279" s="10">
        <f>IFERROR(__xludf.DUMMYFUNCTION("""COMPUTED_VALUE"""),43565.72106533565)</f>
        <v>43565.72107</v>
      </c>
      <c r="B279" s="11" t="str">
        <f>IFERROR(__xludf.DUMMYFUNCTION("""COMPUTED_VALUE"""),"Jimmy")</f>
        <v>Jimmy</v>
      </c>
      <c r="C279" t="str">
        <f>IFERROR(__xludf.DUMMYFUNCTION("""COMPUTED_VALUE"""),"james.tomazinis@floridadep.gov")</f>
        <v>james.tomazinis@floridadep.gov</v>
      </c>
      <c r="D279" t="str">
        <f>IFERROR(__xludf.DUMMYFUNCTION("""COMPUTED_VALUE"""),"Stewardship (Aquatic)")</f>
        <v>Stewardship (Aquatic)</v>
      </c>
      <c r="E279" t="str">
        <f>IFERROR(__xludf.DUMMYFUNCTION("""COMPUTED_VALUE"""),"Bings")</f>
        <v>Bings</v>
      </c>
      <c r="F279" s="13">
        <f>IFERROR(__xludf.DUMMYFUNCTION("""COMPUTED_VALUE"""),0.4166666666678793)</f>
        <v>0.4166666667</v>
      </c>
      <c r="G279" s="14">
        <f>IFERROR(__xludf.DUMMYFUNCTION("""COMPUTED_VALUE"""),43566.0)</f>
        <v>43566</v>
      </c>
      <c r="H279" t="str">
        <f>IFERROR(__xludf.DUMMYFUNCTION("""COMPUTED_VALUE"""),"Matanzas Nekton sites")</f>
        <v>Matanzas Nekton sites</v>
      </c>
      <c r="I279" s="15">
        <f>IFERROR(__xludf.DUMMYFUNCTION("""COMPUTED_VALUE"""),0.625)</f>
        <v>0.625</v>
      </c>
      <c r="J279" s="16"/>
      <c r="K279" t="str">
        <f>IFERROR(__xludf.DUMMYFUNCTION("""COMPUTED_VALUE"""),"23ft Skiff (Bertha) FL7972LJ DEP07613")</f>
        <v>23ft Skiff (Bertha) FL7972LJ DEP07613</v>
      </c>
      <c r="M279" t="str">
        <f>IFERROR(__xludf.DUMMYFUNCTION("""COMPUTED_VALUE"""),"Ford F150 2015 (White) - DEP21448")</f>
        <v>Ford F150 2015 (White) - DEP21448</v>
      </c>
      <c r="N279" t="str">
        <f>IFERROR(__xludf.DUMMYFUNCTION("""COMPUTED_VALUE"""),"Jimmy Tomazinis, (904) 547-0094")</f>
        <v>Jimmy Tomazinis, (904) 547-0094</v>
      </c>
      <c r="O279" t="str">
        <f>IFERROR(__xludf.DUMMYFUNCTION("""COMPUTED_VALUE"""),"Amy Brownfield, Dickson")</f>
        <v>Amy Brownfield, Dickson</v>
      </c>
      <c r="P279" t="str">
        <f>IFERROR(__xludf.DUMMYFUNCTION("""COMPUTED_VALUE"""),"Jimmy")</f>
        <v>Jimmy</v>
      </c>
      <c r="Q279" t="str">
        <f>IFERROR(__xludf.DUMMYFUNCTION("""COMPUTED_VALUE"""),"Good")</f>
        <v>Good</v>
      </c>
      <c r="R279" t="str">
        <f>IFERROR(__xludf.DUMMYFUNCTION("""COMPUTED_VALUE"""),"Good")</f>
        <v>Good</v>
      </c>
      <c r="S279" t="str">
        <f>IFERROR(__xludf.DUMMYFUNCTION("""COMPUTED_VALUE"""),"Good")</f>
        <v>Good</v>
      </c>
      <c r="T279" t="str">
        <f>IFERROR(__xludf.DUMMYFUNCTION("""COMPUTED_VALUE"""),"Good")</f>
        <v>Good</v>
      </c>
      <c r="U279" t="str">
        <f>IFERROR(__xludf.DUMMYFUNCTION("""COMPUTED_VALUE"""),"Good")</f>
        <v>Good</v>
      </c>
      <c r="V279" t="str">
        <f>IFERROR(__xludf.DUMMYFUNCTION("""COMPUTED_VALUE"""),"Good")</f>
        <v>Good</v>
      </c>
      <c r="W279" t="str">
        <f>IFERROR(__xludf.DUMMYFUNCTION("""COMPUTED_VALUE"""),"Good")</f>
        <v>Good</v>
      </c>
      <c r="X279" t="str">
        <f>IFERROR(__xludf.DUMMYFUNCTION("""COMPUTED_VALUE"""),"Good")</f>
        <v>Good</v>
      </c>
      <c r="Y279" t="str">
        <f>IFERROR(__xludf.DUMMYFUNCTION("""COMPUTED_VALUE"""),"Good")</f>
        <v>Good</v>
      </c>
      <c r="Z279" t="str">
        <f>IFERROR(__xludf.DUMMYFUNCTION("""COMPUTED_VALUE"""),"Good")</f>
        <v>Good</v>
      </c>
      <c r="AA279" t="str">
        <f>IFERROR(__xludf.DUMMYFUNCTION("""COMPUTED_VALUE"""),"Good")</f>
        <v>Good</v>
      </c>
      <c r="AB279" t="str">
        <f>IFERROR(__xludf.DUMMYFUNCTION("""COMPUTED_VALUE"""),"Good")</f>
        <v>Good</v>
      </c>
      <c r="AC279" t="str">
        <f>IFERROR(__xludf.DUMMYFUNCTION("""COMPUTED_VALUE"""),"Good")</f>
        <v>Good</v>
      </c>
      <c r="AE279" s="11"/>
      <c r="AF279" t="s">
        <v>32</v>
      </c>
      <c r="AG279" s="17" t="s">
        <v>18</v>
      </c>
      <c r="AH279" s="12">
        <v>1433.0</v>
      </c>
      <c r="AI279" s="12" t="s">
        <v>788</v>
      </c>
      <c r="AJ279" s="19" t="s">
        <v>789</v>
      </c>
      <c r="AK279" s="20" t="str">
        <f>HYPERLINK("https://docs.google.com/document/d/1uCFtG0-wU4D5kQQg_2QZmZQcdgRoCiQDn3rZkEBvv04/edit?usp=drivesdk","Jimmy - 4/11/2019 10:00 AM")</f>
        <v>Jimmy - 4/11/2019 10:00 AM</v>
      </c>
      <c r="AL279" s="12" t="s">
        <v>790</v>
      </c>
    </row>
    <row r="280">
      <c r="A280" s="10">
        <f>IFERROR(__xludf.DUMMYFUNCTION("""COMPUTED_VALUE"""),43565.72990515047)</f>
        <v>43565.72991</v>
      </c>
      <c r="B280" s="11" t="str">
        <f>IFERROR(__xludf.DUMMYFUNCTION("""COMPUTED_VALUE"""),"Pamela Marcum")</f>
        <v>Pamela Marcum</v>
      </c>
      <c r="C280" t="str">
        <f>IFERROR(__xludf.DUMMYFUNCTION("""COMPUTED_VALUE"""),"Pamela.Marcum@Dep.state.fl.us")</f>
        <v>Pamela.Marcum@Dep.state.fl.us</v>
      </c>
      <c r="D280" t="str">
        <f>IFERROR(__xludf.DUMMYFUNCTION("""COMPUTED_VALUE"""),"Research/Nikki")</f>
        <v>Research/Nikki</v>
      </c>
      <c r="E280" t="str">
        <f>IFERROR(__xludf.DUMMYFUNCTION("""COMPUTED_VALUE"""),"Aunt Kate's")</f>
        <v>Aunt Kate's</v>
      </c>
      <c r="F280" s="13">
        <f>IFERROR(__xludf.DUMMYFUNCTION("""COMPUTED_VALUE"""),0.75)</f>
        <v>0.75</v>
      </c>
      <c r="G280" s="14">
        <f>IFERROR(__xludf.DUMMYFUNCTION("""COMPUTED_VALUE"""),43565.0)</f>
        <v>43565</v>
      </c>
      <c r="H280" t="str">
        <f>IFERROR(__xludf.DUMMYFUNCTION("""COMPUTED_VALUE"""),"Tolomato River - Airport to Pine Island")</f>
        <v>Tolomato River - Airport to Pine Island</v>
      </c>
      <c r="I280" s="15">
        <f>IFERROR(__xludf.DUMMYFUNCTION("""COMPUTED_VALUE"""),0.875)</f>
        <v>0.875</v>
      </c>
      <c r="J280" s="16">
        <f>IFERROR(__xludf.DUMMYFUNCTION("""COMPUTED_VALUE"""),43565.89583333333)</f>
        <v>43565.89583</v>
      </c>
      <c r="K280" t="str">
        <f>IFERROR(__xludf.DUMMYFUNCTION("""COMPUTED_VALUE"""),"F 20ft Sea Ark (Easy 200) FL8534PY DEP21451")</f>
        <v>F 20ft Sea Ark (Easy 200) FL8534PY DEP21451</v>
      </c>
      <c r="M280" t="str">
        <f>IFERROR(__xludf.DUMMYFUNCTION("""COMPUTED_VALUE"""),"Ford F150 2008 - DEP18041 (SWMP Thing)")</f>
        <v>Ford F150 2008 - DEP18041 (SWMP Thing)</v>
      </c>
      <c r="N280" t="str">
        <f>IFERROR(__xludf.DUMMYFUNCTION("""COMPUTED_VALUE"""),"Pam Marcum, (480) 332-5414")</f>
        <v>Pam Marcum, (480) 332-5414</v>
      </c>
      <c r="O280" t="str">
        <f>IFERROR(__xludf.DUMMYFUNCTION("""COMPUTED_VALUE"""),"Nicole Peckham, Adrienned Breef-Pilz")</f>
        <v>Nicole Peckham, Adrienned Breef-Pilz</v>
      </c>
      <c r="P280" t="str">
        <f>IFERROR(__xludf.DUMMYFUNCTION("""COMPUTED_VALUE"""),"Pam")</f>
        <v>Pam</v>
      </c>
      <c r="Q280" t="str">
        <f>IFERROR(__xludf.DUMMYFUNCTION("""COMPUTED_VALUE"""),"Good")</f>
        <v>Good</v>
      </c>
      <c r="R280" t="str">
        <f>IFERROR(__xludf.DUMMYFUNCTION("""COMPUTED_VALUE"""),"Good")</f>
        <v>Good</v>
      </c>
      <c r="S280" t="str">
        <f>IFERROR(__xludf.DUMMYFUNCTION("""COMPUTED_VALUE"""),"Good")</f>
        <v>Good</v>
      </c>
      <c r="T280" t="str">
        <f>IFERROR(__xludf.DUMMYFUNCTION("""COMPUTED_VALUE"""),"Good")</f>
        <v>Good</v>
      </c>
      <c r="U280" t="str">
        <f>IFERROR(__xludf.DUMMYFUNCTION("""COMPUTED_VALUE"""),"Good")</f>
        <v>Good</v>
      </c>
      <c r="V280" t="str">
        <f>IFERROR(__xludf.DUMMYFUNCTION("""COMPUTED_VALUE"""),"Good")</f>
        <v>Good</v>
      </c>
      <c r="W280" t="str">
        <f>IFERROR(__xludf.DUMMYFUNCTION("""COMPUTED_VALUE"""),"Good")</f>
        <v>Good</v>
      </c>
      <c r="X280" t="str">
        <f>IFERROR(__xludf.DUMMYFUNCTION("""COMPUTED_VALUE"""),"Good")</f>
        <v>Good</v>
      </c>
      <c r="Y280" t="str">
        <f>IFERROR(__xludf.DUMMYFUNCTION("""COMPUTED_VALUE"""),"Good")</f>
        <v>Good</v>
      </c>
      <c r="Z280" t="str">
        <f>IFERROR(__xludf.DUMMYFUNCTION("""COMPUTED_VALUE"""),"Good")</f>
        <v>Good</v>
      </c>
      <c r="AA280" t="str">
        <f>IFERROR(__xludf.DUMMYFUNCTION("""COMPUTED_VALUE"""),"Good")</f>
        <v>Good</v>
      </c>
      <c r="AB280" t="str">
        <f>IFERROR(__xludf.DUMMYFUNCTION("""COMPUTED_VALUE"""),"Good")</f>
        <v>Good</v>
      </c>
      <c r="AC280" t="str">
        <f>IFERROR(__xludf.DUMMYFUNCTION("""COMPUTED_VALUE"""),"Good")</f>
        <v>Good</v>
      </c>
      <c r="AE280" s="11"/>
      <c r="AF280" t="s">
        <v>218</v>
      </c>
      <c r="AG280" s="17" t="s">
        <v>43</v>
      </c>
      <c r="AH280" s="12">
        <v>2000.0</v>
      </c>
      <c r="AI280" s="12" t="s">
        <v>791</v>
      </c>
      <c r="AJ280" s="19" t="s">
        <v>792</v>
      </c>
      <c r="AK280" s="20" t="str">
        <f>HYPERLINK("https://docs.google.com/document/d/1vdwGK0Z5I5-j4ULO9LCgVjXiYeUTqd_O3ikT0-SRIwA/edit?usp=drivesdk","Pamela Marcum - 4/10/2019 6:00 PM")</f>
        <v>Pamela Marcum - 4/10/2019 6:00 PM</v>
      </c>
      <c r="AL280" s="12" t="s">
        <v>793</v>
      </c>
    </row>
    <row r="281">
      <c r="A281" s="10">
        <f>IFERROR(__xludf.DUMMYFUNCTION("""COMPUTED_VALUE"""),43566.30049013889)</f>
        <v>43566.30049</v>
      </c>
      <c r="B281" s="11" t="str">
        <f>IFERROR(__xludf.DUMMYFUNCTION("""COMPUTED_VALUE"""),"S. Tanner")</f>
        <v>S. Tanner</v>
      </c>
      <c r="C281" t="str">
        <f>IFERROR(__xludf.DUMMYFUNCTION("""COMPUTED_VALUE"""),"silas.tanner@floridadep.gov")</f>
        <v>silas.tanner@floridadep.gov</v>
      </c>
      <c r="D281" t="str">
        <f>IFERROR(__xludf.DUMMYFUNCTION("""COMPUTED_VALUE"""),"Research/Nikki")</f>
        <v>Research/Nikki</v>
      </c>
      <c r="E281" t="str">
        <f>IFERROR(__xludf.DUMMYFUNCTION("""COMPUTED_VALUE"""),"Palm Valley Ramp")</f>
        <v>Palm Valley Ramp</v>
      </c>
      <c r="F281" s="13">
        <f>IFERROR(__xludf.DUMMYFUNCTION("""COMPUTED_VALUE"""),0.3333333333321207)</f>
        <v>0.3333333333</v>
      </c>
      <c r="G281" s="14">
        <f>IFERROR(__xludf.DUMMYFUNCTION("""COMPUTED_VALUE"""),43566.0)</f>
        <v>43566</v>
      </c>
      <c r="H281" t="str">
        <f>IFERROR(__xludf.DUMMYFUNCTION("""COMPUTED_VALUE"""),"ICW Pine Island SWMP platforms")</f>
        <v>ICW Pine Island SWMP platforms</v>
      </c>
      <c r="I281" s="15">
        <f>IFERROR(__xludf.DUMMYFUNCTION("""COMPUTED_VALUE"""),0.6041666666678793)</f>
        <v>0.6041666667</v>
      </c>
      <c r="J281" s="16">
        <f>IFERROR(__xludf.DUMMYFUNCTION("""COMPUTED_VALUE"""),43566.618055555555)</f>
        <v>43566.61806</v>
      </c>
      <c r="K281" t="str">
        <f>IFERROR(__xludf.DUMMYFUNCTION("""COMPUTED_VALUE"""),"20ft Sea Ark FL5351SJ UNF 2015")</f>
        <v>20ft Sea Ark FL5351SJ UNF 2015</v>
      </c>
      <c r="M281" t="str">
        <f>IFERROR(__xludf.DUMMYFUNCTION("""COMPUTED_VALUE"""),"Ford F250 2017 (Moby Dix) - DEP0021578")</f>
        <v>Ford F250 2017 (Moby Dix) - DEP0021578</v>
      </c>
      <c r="N281" t="str">
        <f>IFERROR(__xludf.DUMMYFUNCTION("""COMPUTED_VALUE"""),"Shannon Dunnigan, (803) 727-5734, Silas Tanner, (904) 483-8423")</f>
        <v>Shannon Dunnigan, (803) 727-5734, Silas Tanner, (904) 483-8423</v>
      </c>
      <c r="O281" t="str">
        <f>IFERROR(__xludf.DUMMYFUNCTION("""COMPUTED_VALUE"""),"Gabby Canas, Matt Sturchio")</f>
        <v>Gabby Canas, Matt Sturchio</v>
      </c>
      <c r="P281" t="str">
        <f>IFERROR(__xludf.DUMMYFUNCTION("""COMPUTED_VALUE"""),"S. Dunnigan")</f>
        <v>S. Dunnigan</v>
      </c>
      <c r="Q281" t="str">
        <f>IFERROR(__xludf.DUMMYFUNCTION("""COMPUTED_VALUE"""),"Good")</f>
        <v>Good</v>
      </c>
      <c r="R281" t="str">
        <f>IFERROR(__xludf.DUMMYFUNCTION("""COMPUTED_VALUE"""),"Good")</f>
        <v>Good</v>
      </c>
      <c r="S281" t="str">
        <f>IFERROR(__xludf.DUMMYFUNCTION("""COMPUTED_VALUE"""),"Good")</f>
        <v>Good</v>
      </c>
      <c r="T281" t="str">
        <f>IFERROR(__xludf.DUMMYFUNCTION("""COMPUTED_VALUE"""),"Good")</f>
        <v>Good</v>
      </c>
      <c r="U281" t="str">
        <f>IFERROR(__xludf.DUMMYFUNCTION("""COMPUTED_VALUE"""),"Good")</f>
        <v>Good</v>
      </c>
      <c r="V281" t="str">
        <f>IFERROR(__xludf.DUMMYFUNCTION("""COMPUTED_VALUE"""),"Good")</f>
        <v>Good</v>
      </c>
      <c r="W281" t="str">
        <f>IFERROR(__xludf.DUMMYFUNCTION("""COMPUTED_VALUE"""),"Good")</f>
        <v>Good</v>
      </c>
      <c r="X281" t="str">
        <f>IFERROR(__xludf.DUMMYFUNCTION("""COMPUTED_VALUE"""),"Good")</f>
        <v>Good</v>
      </c>
      <c r="Y281" t="str">
        <f>IFERROR(__xludf.DUMMYFUNCTION("""COMPUTED_VALUE"""),"Good")</f>
        <v>Good</v>
      </c>
      <c r="Z281" t="str">
        <f>IFERROR(__xludf.DUMMYFUNCTION("""COMPUTED_VALUE"""),"Good")</f>
        <v>Good</v>
      </c>
      <c r="AA281" t="str">
        <f>IFERROR(__xludf.DUMMYFUNCTION("""COMPUTED_VALUE"""),"Good")</f>
        <v>Good</v>
      </c>
      <c r="AB281" t="str">
        <f>IFERROR(__xludf.DUMMYFUNCTION("""COMPUTED_VALUE"""),"Good")</f>
        <v>Good</v>
      </c>
      <c r="AC281" t="str">
        <f>IFERROR(__xludf.DUMMYFUNCTION("""COMPUTED_VALUE"""),"Good")</f>
        <v>Good</v>
      </c>
      <c r="AE281" s="11"/>
      <c r="AF281" t="s">
        <v>218</v>
      </c>
      <c r="AG281" s="17" t="s">
        <v>60</v>
      </c>
      <c r="AH281" s="12">
        <v>1300.0</v>
      </c>
      <c r="AI281" s="12" t="s">
        <v>794</v>
      </c>
      <c r="AJ281" s="19" t="s">
        <v>795</v>
      </c>
      <c r="AK281" s="20" t="str">
        <f>HYPERLINK("https://docs.google.com/document/d/1ukzotZXuW2ove_jHqRm504KzOsplPkmvul8G0QbKoMY/edit?usp=drivesdk","S. Tanner - 4/11/2019 8:00 AM")</f>
        <v>S. Tanner - 4/11/2019 8:00 AM</v>
      </c>
      <c r="AL281" s="12" t="s">
        <v>796</v>
      </c>
    </row>
    <row r="282">
      <c r="A282" s="10">
        <f>IFERROR(__xludf.DUMMYFUNCTION("""COMPUTED_VALUE"""),43566.31581847223)</f>
        <v>43566.31582</v>
      </c>
      <c r="B282" s="11" t="str">
        <f>IFERROR(__xludf.DUMMYFUNCTION("""COMPUTED_VALUE"""),"Pamela Marcum")</f>
        <v>Pamela Marcum</v>
      </c>
      <c r="C282" t="str">
        <f>IFERROR(__xludf.DUMMYFUNCTION("""COMPUTED_VALUE"""),"Pamela.Marcum@dep.state.fl.us")</f>
        <v>Pamela.Marcum@dep.state.fl.us</v>
      </c>
      <c r="D282" t="str">
        <f>IFERROR(__xludf.DUMMYFUNCTION("""COMPUTED_VALUE"""),"Research/Nikki")</f>
        <v>Research/Nikki</v>
      </c>
      <c r="E282" t="str">
        <f>IFERROR(__xludf.DUMMYFUNCTION("""COMPUTED_VALUE"""),"Aunt Kate's")</f>
        <v>Aunt Kate's</v>
      </c>
      <c r="F282" s="13">
        <f>IFERROR(__xludf.DUMMYFUNCTION("""COMPUTED_VALUE"""),0.3333333333321207)</f>
        <v>0.3333333333</v>
      </c>
      <c r="G282" s="14">
        <f>IFERROR(__xludf.DUMMYFUNCTION("""COMPUTED_VALUE"""),43566.0)</f>
        <v>43566</v>
      </c>
      <c r="H282" t="str">
        <f>IFERROR(__xludf.DUMMYFUNCTION("""COMPUTED_VALUE"""),"Guana River")</f>
        <v>Guana River</v>
      </c>
      <c r="I282" s="15">
        <f>IFERROR(__xludf.DUMMYFUNCTION("""COMPUTED_VALUE"""),0.3958333333321207)</f>
        <v>0.3958333333</v>
      </c>
      <c r="J282" s="16">
        <f>IFERROR(__xludf.DUMMYFUNCTION("""COMPUTED_VALUE"""),43566.41666666667)</f>
        <v>43566.41667</v>
      </c>
      <c r="K282" t="str">
        <f>IFERROR(__xludf.DUMMYFUNCTION("""COMPUTED_VALUE"""),"F 20ft Sea Ark (Easy 200) FL8534PY DEP21451")</f>
        <v>F 20ft Sea Ark (Easy 200) FL8534PY DEP21451</v>
      </c>
      <c r="M282" t="str">
        <f>IFERROR(__xludf.DUMMYFUNCTION("""COMPUTED_VALUE"""),"Ford F150 2008 - DEP18041 (SWMP Thing)")</f>
        <v>Ford F150 2008 - DEP18041 (SWMP Thing)</v>
      </c>
      <c r="N282" t="str">
        <f>IFERROR(__xludf.DUMMYFUNCTION("""COMPUTED_VALUE"""),"Pam Marcum, (480) 332-5414")</f>
        <v>Pam Marcum, (480) 332-5414</v>
      </c>
      <c r="O282" t="str">
        <f>IFERROR(__xludf.DUMMYFUNCTION("""COMPUTED_VALUE"""),"Nicole Peckham, Adrienne Breef-Pilz")</f>
        <v>Nicole Peckham, Adrienne Breef-Pilz</v>
      </c>
      <c r="P282" t="str">
        <f>IFERROR(__xludf.DUMMYFUNCTION("""COMPUTED_VALUE"""),"Pam")</f>
        <v>Pam</v>
      </c>
      <c r="Q282" t="str">
        <f>IFERROR(__xludf.DUMMYFUNCTION("""COMPUTED_VALUE"""),"Good")</f>
        <v>Good</v>
      </c>
      <c r="R282" t="str">
        <f>IFERROR(__xludf.DUMMYFUNCTION("""COMPUTED_VALUE"""),"Good")</f>
        <v>Good</v>
      </c>
      <c r="S282" t="str">
        <f>IFERROR(__xludf.DUMMYFUNCTION("""COMPUTED_VALUE"""),"Good")</f>
        <v>Good</v>
      </c>
      <c r="T282" t="str">
        <f>IFERROR(__xludf.DUMMYFUNCTION("""COMPUTED_VALUE"""),"Good")</f>
        <v>Good</v>
      </c>
      <c r="U282" t="str">
        <f>IFERROR(__xludf.DUMMYFUNCTION("""COMPUTED_VALUE"""),"Good")</f>
        <v>Good</v>
      </c>
      <c r="V282" t="str">
        <f>IFERROR(__xludf.DUMMYFUNCTION("""COMPUTED_VALUE"""),"Good")</f>
        <v>Good</v>
      </c>
      <c r="W282" t="str">
        <f>IFERROR(__xludf.DUMMYFUNCTION("""COMPUTED_VALUE"""),"Good")</f>
        <v>Good</v>
      </c>
      <c r="X282" t="str">
        <f>IFERROR(__xludf.DUMMYFUNCTION("""COMPUTED_VALUE"""),"Good")</f>
        <v>Good</v>
      </c>
      <c r="Y282" t="str">
        <f>IFERROR(__xludf.DUMMYFUNCTION("""COMPUTED_VALUE"""),"Good")</f>
        <v>Good</v>
      </c>
      <c r="Z282" t="str">
        <f>IFERROR(__xludf.DUMMYFUNCTION("""COMPUTED_VALUE"""),"Good")</f>
        <v>Good</v>
      </c>
      <c r="AA282" t="str">
        <f>IFERROR(__xludf.DUMMYFUNCTION("""COMPUTED_VALUE"""),"Good")</f>
        <v>Good</v>
      </c>
      <c r="AB282" t="str">
        <f>IFERROR(__xludf.DUMMYFUNCTION("""COMPUTED_VALUE"""),"Good")</f>
        <v>Good</v>
      </c>
      <c r="AC282" t="str">
        <f>IFERROR(__xludf.DUMMYFUNCTION("""COMPUTED_VALUE"""),"Good")</f>
        <v>Good</v>
      </c>
      <c r="AE282" s="11"/>
      <c r="AF282" t="s">
        <v>218</v>
      </c>
      <c r="AG282" s="17" t="s">
        <v>60</v>
      </c>
      <c r="AH282" s="12">
        <v>935.0</v>
      </c>
      <c r="AI282" s="12" t="s">
        <v>797</v>
      </c>
      <c r="AJ282" s="19" t="s">
        <v>798</v>
      </c>
      <c r="AK282" s="20" t="str">
        <f>HYPERLINK("https://docs.google.com/document/d/1oHYrfxnlmihGFpWtZ-1v641ONBZilcpq2UIDfKsPFDs/edit?usp=drivesdk","Pamela Marcum - 4/11/2019 8:00 AM")</f>
        <v>Pamela Marcum - 4/11/2019 8:00 AM</v>
      </c>
      <c r="AL282" s="12" t="s">
        <v>799</v>
      </c>
    </row>
    <row r="283">
      <c r="A283" s="10">
        <f>IFERROR(__xludf.DUMMYFUNCTION("""COMPUTED_VALUE"""),43567.28321722222)</f>
        <v>43567.28322</v>
      </c>
      <c r="B283" s="11" t="str">
        <f>IFERROR(__xludf.DUMMYFUNCTION("""COMPUTED_VALUE"""),"Silas Tanner")</f>
        <v>Silas Tanner</v>
      </c>
      <c r="C283" t="str">
        <f>IFERROR(__xludf.DUMMYFUNCTION("""COMPUTED_VALUE"""),"silas.tanner@floridadep.gov")</f>
        <v>silas.tanner@floridadep.gov</v>
      </c>
      <c r="D283" t="str">
        <f>IFERROR(__xludf.DUMMYFUNCTION("""COMPUTED_VALUE"""),"Research/Nikki")</f>
        <v>Research/Nikki</v>
      </c>
      <c r="E283" t="str">
        <f>IFERROR(__xludf.DUMMYFUNCTION("""COMPUTED_VALUE"""),"Douglas Crane SJC ramp")</f>
        <v>Douglas Crane SJC ramp</v>
      </c>
      <c r="F283" s="13">
        <f>IFERROR(__xludf.DUMMYFUNCTION("""COMPUTED_VALUE"""),0.3125)</f>
        <v>0.3125</v>
      </c>
      <c r="G283" s="14">
        <f>IFERROR(__xludf.DUMMYFUNCTION("""COMPUTED_VALUE"""),43567.0)</f>
        <v>43567</v>
      </c>
      <c r="H283" t="str">
        <f>IFERROR(__xludf.DUMMYFUNCTION("""COMPUTED_VALUE"""),"ICW ""Jason's Creek"" SWMP platforms (site 22)")</f>
        <v>ICW "Jason's Creek" SWMP platforms (site 22)</v>
      </c>
      <c r="I283" s="15">
        <f>IFERROR(__xludf.DUMMYFUNCTION("""COMPUTED_VALUE"""),0.6041666666678793)</f>
        <v>0.6041666667</v>
      </c>
      <c r="J283" s="16">
        <f>IFERROR(__xludf.DUMMYFUNCTION("""COMPUTED_VALUE"""),43567.625)</f>
        <v>43567.625</v>
      </c>
      <c r="K283" t="str">
        <f>IFERROR(__xludf.DUMMYFUNCTION("""COMPUTED_VALUE"""),"20ft Sea Ark FL5351SJ UNF 2015")</f>
        <v>20ft Sea Ark FL5351SJ UNF 2015</v>
      </c>
      <c r="M283" t="str">
        <f>IFERROR(__xludf.DUMMYFUNCTION("""COMPUTED_VALUE"""),"Ford F250 2017 (Moby Dix) - DEP0021578")</f>
        <v>Ford F250 2017 (Moby Dix) - DEP0021578</v>
      </c>
      <c r="N283" t="str">
        <f>IFERROR(__xludf.DUMMYFUNCTION("""COMPUTED_VALUE"""),"Shannon Dunnigan, (803) 727-5734, Silas Tanner, (904) 483-8423")</f>
        <v>Shannon Dunnigan, (803) 727-5734, Silas Tanner, (904) 483-8423</v>
      </c>
      <c r="O283" t="str">
        <f>IFERROR(__xludf.DUMMYFUNCTION("""COMPUTED_VALUE"""),"Jessica Lee, Remo Mondazi")</f>
        <v>Jessica Lee, Remo Mondazi</v>
      </c>
      <c r="P283" t="str">
        <f>IFERROR(__xludf.DUMMYFUNCTION("""COMPUTED_VALUE"""),"S. Dunnigan")</f>
        <v>S. Dunnigan</v>
      </c>
      <c r="Q283" t="str">
        <f>IFERROR(__xludf.DUMMYFUNCTION("""COMPUTED_VALUE"""),"Good")</f>
        <v>Good</v>
      </c>
      <c r="R283" t="str">
        <f>IFERROR(__xludf.DUMMYFUNCTION("""COMPUTED_VALUE"""),"Good")</f>
        <v>Good</v>
      </c>
      <c r="S283" t="str">
        <f>IFERROR(__xludf.DUMMYFUNCTION("""COMPUTED_VALUE"""),"Good")</f>
        <v>Good</v>
      </c>
      <c r="T283" t="str">
        <f>IFERROR(__xludf.DUMMYFUNCTION("""COMPUTED_VALUE"""),"Good")</f>
        <v>Good</v>
      </c>
      <c r="U283" t="str">
        <f>IFERROR(__xludf.DUMMYFUNCTION("""COMPUTED_VALUE"""),"Good")</f>
        <v>Good</v>
      </c>
      <c r="V283" t="str">
        <f>IFERROR(__xludf.DUMMYFUNCTION("""COMPUTED_VALUE"""),"Good")</f>
        <v>Good</v>
      </c>
      <c r="W283" t="str">
        <f>IFERROR(__xludf.DUMMYFUNCTION("""COMPUTED_VALUE"""),"Good")</f>
        <v>Good</v>
      </c>
      <c r="X283" t="str">
        <f>IFERROR(__xludf.DUMMYFUNCTION("""COMPUTED_VALUE"""),"Good")</f>
        <v>Good</v>
      </c>
      <c r="Y283" t="str">
        <f>IFERROR(__xludf.DUMMYFUNCTION("""COMPUTED_VALUE"""),"Good")</f>
        <v>Good</v>
      </c>
      <c r="Z283" t="str">
        <f>IFERROR(__xludf.DUMMYFUNCTION("""COMPUTED_VALUE"""),"Good")</f>
        <v>Good</v>
      </c>
      <c r="AA283" t="str">
        <f>IFERROR(__xludf.DUMMYFUNCTION("""COMPUTED_VALUE"""),"Good")</f>
        <v>Good</v>
      </c>
      <c r="AB283" t="str">
        <f>IFERROR(__xludf.DUMMYFUNCTION("""COMPUTED_VALUE"""),"Good")</f>
        <v>Good</v>
      </c>
      <c r="AC283" t="str">
        <f>IFERROR(__xludf.DUMMYFUNCTION("""COMPUTED_VALUE"""),"Good")</f>
        <v>Good</v>
      </c>
      <c r="AE283" s="11"/>
      <c r="AF283" t="s">
        <v>218</v>
      </c>
      <c r="AG283" s="17" t="s">
        <v>128</v>
      </c>
      <c r="AH283" s="12">
        <v>1104.0</v>
      </c>
      <c r="AI283" s="12" t="s">
        <v>800</v>
      </c>
      <c r="AJ283" s="19" t="s">
        <v>801</v>
      </c>
      <c r="AK283" s="20" t="str">
        <f>HYPERLINK("https://docs.google.com/document/d/1j4CjBxVsEV7eiXaAaDkQ54i3LKlo5QbAlHvFo8FQYLI/edit?usp=drivesdk","Silas Tanner - 4/12/2019 7:30 AM")</f>
        <v>Silas Tanner - 4/12/2019 7:30 AM</v>
      </c>
      <c r="AL283" s="12" t="s">
        <v>802</v>
      </c>
    </row>
    <row r="284">
      <c r="A284" s="10">
        <f>IFERROR(__xludf.DUMMYFUNCTION("""COMPUTED_VALUE"""),43570.333977685186)</f>
        <v>43570.33398</v>
      </c>
      <c r="B284" s="11" t="str">
        <f>IFERROR(__xludf.DUMMYFUNCTION("""COMPUTED_VALUE"""),"S. Tanner")</f>
        <v>S. Tanner</v>
      </c>
      <c r="C284" t="str">
        <f>IFERROR(__xludf.DUMMYFUNCTION("""COMPUTED_VALUE"""),"silas.tanner@floridadep.gov")</f>
        <v>silas.tanner@floridadep.gov</v>
      </c>
      <c r="D284" t="str">
        <f>IFERROR(__xludf.DUMMYFUNCTION("""COMPUTED_VALUE"""),"Research/Pam")</f>
        <v>Research/Pam</v>
      </c>
      <c r="E284" t="str">
        <f>IFERROR(__xludf.DUMMYFUNCTION("""COMPUTED_VALUE"""),"Usina County Ramp")</f>
        <v>Usina County Ramp</v>
      </c>
      <c r="F284" s="13">
        <f>IFERROR(__xludf.DUMMYFUNCTION("""COMPUTED_VALUE"""),0.3541666666678793)</f>
        <v>0.3541666667</v>
      </c>
      <c r="G284" s="14">
        <f>IFERROR(__xludf.DUMMYFUNCTION("""COMPUTED_VALUE"""),43570.0)</f>
        <v>43570</v>
      </c>
      <c r="H284" t="str">
        <f>IFERROR(__xludf.DUMMYFUNCTION("""COMPUTED_VALUE"""),"ICW - North River: Hat Island SWMP platforms")</f>
        <v>ICW - North River: Hat Island SWMP platforms</v>
      </c>
      <c r="I284" s="15">
        <f>IFERROR(__xludf.DUMMYFUNCTION("""COMPUTED_VALUE"""),0.5625)</f>
        <v>0.5625</v>
      </c>
      <c r="J284" s="16">
        <f>IFERROR(__xludf.DUMMYFUNCTION("""COMPUTED_VALUE"""),43570.58333333333)</f>
        <v>43570.58333</v>
      </c>
      <c r="K284" t="str">
        <f>IFERROR(__xludf.DUMMYFUNCTION("""COMPUTED_VALUE"""),"20ft Sea Ark FL5351SJ UNF 2015")</f>
        <v>20ft Sea Ark FL5351SJ UNF 2015</v>
      </c>
      <c r="M284" t="str">
        <f>IFERROR(__xludf.DUMMYFUNCTION("""COMPUTED_VALUE"""),"Ford F250 2017 (Moby Dix) - DEP0021578")</f>
        <v>Ford F250 2017 (Moby Dix) - DEP0021578</v>
      </c>
      <c r="N284" t="str">
        <f>IFERROR(__xludf.DUMMYFUNCTION("""COMPUTED_VALUE"""),"Shannon Dunnigan, (803) 727-5734, Silas Tanner, (904) 483-8423")</f>
        <v>Shannon Dunnigan, (803) 727-5734, Silas Tanner, (904) 483-8423</v>
      </c>
      <c r="O284" t="str">
        <f>IFERROR(__xludf.DUMMYFUNCTION("""COMPUTED_VALUE"""),"Jeff Finnan")</f>
        <v>Jeff Finnan</v>
      </c>
      <c r="P284" t="str">
        <f>IFERROR(__xludf.DUMMYFUNCTION("""COMPUTED_VALUE"""),"S. Dunnigan")</f>
        <v>S. Dunnigan</v>
      </c>
      <c r="Q284" t="str">
        <f>IFERROR(__xludf.DUMMYFUNCTION("""COMPUTED_VALUE"""),"Good")</f>
        <v>Good</v>
      </c>
      <c r="R284" t="str">
        <f>IFERROR(__xludf.DUMMYFUNCTION("""COMPUTED_VALUE"""),"Good")</f>
        <v>Good</v>
      </c>
      <c r="S284" t="str">
        <f>IFERROR(__xludf.DUMMYFUNCTION("""COMPUTED_VALUE"""),"Good")</f>
        <v>Good</v>
      </c>
      <c r="T284" t="str">
        <f>IFERROR(__xludf.DUMMYFUNCTION("""COMPUTED_VALUE"""),"Good")</f>
        <v>Good</v>
      </c>
      <c r="U284" t="str">
        <f>IFERROR(__xludf.DUMMYFUNCTION("""COMPUTED_VALUE"""),"Good")</f>
        <v>Good</v>
      </c>
      <c r="V284" t="str">
        <f>IFERROR(__xludf.DUMMYFUNCTION("""COMPUTED_VALUE"""),"Good")</f>
        <v>Good</v>
      </c>
      <c r="W284" t="str">
        <f>IFERROR(__xludf.DUMMYFUNCTION("""COMPUTED_VALUE"""),"Good")</f>
        <v>Good</v>
      </c>
      <c r="X284" t="str">
        <f>IFERROR(__xludf.DUMMYFUNCTION("""COMPUTED_VALUE"""),"Good")</f>
        <v>Good</v>
      </c>
      <c r="Y284" t="str">
        <f>IFERROR(__xludf.DUMMYFUNCTION("""COMPUTED_VALUE"""),"Good")</f>
        <v>Good</v>
      </c>
      <c r="Z284" t="str">
        <f>IFERROR(__xludf.DUMMYFUNCTION("""COMPUTED_VALUE"""),"Good")</f>
        <v>Good</v>
      </c>
      <c r="AA284" t="str">
        <f>IFERROR(__xludf.DUMMYFUNCTION("""COMPUTED_VALUE"""),"Good")</f>
        <v>Good</v>
      </c>
      <c r="AB284" t="str">
        <f>IFERROR(__xludf.DUMMYFUNCTION("""COMPUTED_VALUE"""),"Good")</f>
        <v>Good</v>
      </c>
      <c r="AC284" t="str">
        <f>IFERROR(__xludf.DUMMYFUNCTION("""COMPUTED_VALUE"""),"Good")</f>
        <v>Good</v>
      </c>
      <c r="AE284" s="11"/>
      <c r="AF284" t="s">
        <v>262</v>
      </c>
      <c r="AG284" s="17" t="s">
        <v>18</v>
      </c>
      <c r="AH284" s="12">
        <v>1430.0</v>
      </c>
      <c r="AI284" s="12" t="s">
        <v>803</v>
      </c>
      <c r="AJ284" s="19" t="s">
        <v>804</v>
      </c>
      <c r="AK284" s="20" t="str">
        <f>HYPERLINK("https://docs.google.com/document/d/1TyLRb51S5K0bKOXgD50rIy_6EfG9cLwNzFQtV53qkSg/edit?usp=drivesdk","S. Tanner - 4/15/2019 8:30 AM")</f>
        <v>S. Tanner - 4/15/2019 8:30 AM</v>
      </c>
      <c r="AL284" s="12" t="s">
        <v>805</v>
      </c>
    </row>
    <row r="285">
      <c r="A285" s="10">
        <f>IFERROR(__xludf.DUMMYFUNCTION("""COMPUTED_VALUE"""),43572.60655274305)</f>
        <v>43572.60655</v>
      </c>
      <c r="B285" s="11" t="str">
        <f>IFERROR(__xludf.DUMMYFUNCTION("""COMPUTED_VALUE"""),"Silas Tanner")</f>
        <v>Silas Tanner</v>
      </c>
      <c r="C285" t="str">
        <f>IFERROR(__xludf.DUMMYFUNCTION("""COMPUTED_VALUE"""),"silas.tanner@floridadep.gov")</f>
        <v>silas.tanner@floridadep.gov</v>
      </c>
      <c r="D285" t="str">
        <f>IFERROR(__xludf.DUMMYFUNCTION("""COMPUTED_VALUE"""),"Research/Nikki")</f>
        <v>Research/Nikki</v>
      </c>
      <c r="E285" t="str">
        <f>IFERROR(__xludf.DUMMYFUNCTION("""COMPUTED_VALUE"""),"Vilano Landing")</f>
        <v>Vilano Landing</v>
      </c>
      <c r="F285" s="13">
        <f>IFERROR(__xludf.DUMMYFUNCTION("""COMPUTED_VALUE"""),0.34375)</f>
        <v>0.34375</v>
      </c>
      <c r="G285" s="14">
        <f>IFERROR(__xludf.DUMMYFUNCTION("""COMPUTED_VALUE"""),43573.0)</f>
        <v>43573</v>
      </c>
      <c r="H285" t="str">
        <f>IFERROR(__xludf.DUMMYFUNCTION("""COMPUTED_VALUE"""),"ICW - SWMP sites")</f>
        <v>ICW - SWMP sites</v>
      </c>
      <c r="I285" s="15">
        <f>IFERROR(__xludf.DUMMYFUNCTION("""COMPUTED_VALUE"""),0.5520833333321207)</f>
        <v>0.5520833333</v>
      </c>
      <c r="J285" s="16">
        <f>IFERROR(__xludf.DUMMYFUNCTION("""COMPUTED_VALUE"""),43573.5625)</f>
        <v>43573.5625</v>
      </c>
      <c r="K285" t="str">
        <f>IFERROR(__xludf.DUMMYFUNCTION("""COMPUTED_VALUE"""),"20ft Sea Ark FL5351SJ UNF 2015")</f>
        <v>20ft Sea Ark FL5351SJ UNF 2015</v>
      </c>
      <c r="M285" t="str">
        <f>IFERROR(__xludf.DUMMYFUNCTION("""COMPUTED_VALUE"""),"Ford F150 2015 (White) - DEP21448")</f>
        <v>Ford F150 2015 (White) - DEP21448</v>
      </c>
      <c r="N285" t="str">
        <f>IFERROR(__xludf.DUMMYFUNCTION("""COMPUTED_VALUE"""),"Silas Tanner, (904) 483-8423")</f>
        <v>Silas Tanner, (904) 483-8423</v>
      </c>
      <c r="O285" t="str">
        <f>IFERROR(__xludf.DUMMYFUNCTION("""COMPUTED_VALUE"""),"Jeff Finnan")</f>
        <v>Jeff Finnan</v>
      </c>
      <c r="P285" t="str">
        <f>IFERROR(__xludf.DUMMYFUNCTION("""COMPUTED_VALUE"""),"Tanner")</f>
        <v>Tanner</v>
      </c>
      <c r="Q285" t="str">
        <f>IFERROR(__xludf.DUMMYFUNCTION("""COMPUTED_VALUE"""),"Good")</f>
        <v>Good</v>
      </c>
      <c r="R285" t="str">
        <f>IFERROR(__xludf.DUMMYFUNCTION("""COMPUTED_VALUE"""),"Good")</f>
        <v>Good</v>
      </c>
      <c r="S285" t="str">
        <f>IFERROR(__xludf.DUMMYFUNCTION("""COMPUTED_VALUE"""),"Good")</f>
        <v>Good</v>
      </c>
      <c r="T285" t="str">
        <f>IFERROR(__xludf.DUMMYFUNCTION("""COMPUTED_VALUE"""),"Good")</f>
        <v>Good</v>
      </c>
      <c r="U285" t="str">
        <f>IFERROR(__xludf.DUMMYFUNCTION("""COMPUTED_VALUE"""),"Good")</f>
        <v>Good</v>
      </c>
      <c r="V285" t="str">
        <f>IFERROR(__xludf.DUMMYFUNCTION("""COMPUTED_VALUE"""),"Good")</f>
        <v>Good</v>
      </c>
      <c r="W285" t="str">
        <f>IFERROR(__xludf.DUMMYFUNCTION("""COMPUTED_VALUE"""),"Good")</f>
        <v>Good</v>
      </c>
      <c r="X285" t="str">
        <f>IFERROR(__xludf.DUMMYFUNCTION("""COMPUTED_VALUE"""),"Good")</f>
        <v>Good</v>
      </c>
      <c r="Y285" t="str">
        <f>IFERROR(__xludf.DUMMYFUNCTION("""COMPUTED_VALUE"""),"Good")</f>
        <v>Good</v>
      </c>
      <c r="Z285" t="str">
        <f>IFERROR(__xludf.DUMMYFUNCTION("""COMPUTED_VALUE"""),"Good")</f>
        <v>Good</v>
      </c>
      <c r="AA285" t="str">
        <f>IFERROR(__xludf.DUMMYFUNCTION("""COMPUTED_VALUE"""),"Good")</f>
        <v>Good</v>
      </c>
      <c r="AB285" t="str">
        <f>IFERROR(__xludf.DUMMYFUNCTION("""COMPUTED_VALUE"""),"Good")</f>
        <v>Good</v>
      </c>
      <c r="AC285" t="str">
        <f>IFERROR(__xludf.DUMMYFUNCTION("""COMPUTED_VALUE"""),"Good")</f>
        <v>Good</v>
      </c>
      <c r="AE285" s="11"/>
      <c r="AF285" t="s">
        <v>218</v>
      </c>
      <c r="AG285" s="17" t="s">
        <v>60</v>
      </c>
      <c r="AH285" s="12">
        <v>1255.0</v>
      </c>
      <c r="AI285" s="12" t="s">
        <v>806</v>
      </c>
      <c r="AJ285" s="19" t="s">
        <v>807</v>
      </c>
      <c r="AK285" s="20" t="str">
        <f>HYPERLINK("https://docs.google.com/document/d/1Jwwqnazwww9YKvWyHVkc7djKCR6FkjdvBevqEEgTxgc/edit?usp=drivesdk","Silas Tanner - 4/18/2019 8:15 AM")</f>
        <v>Silas Tanner - 4/18/2019 8:15 AM</v>
      </c>
      <c r="AL285" s="12" t="s">
        <v>808</v>
      </c>
    </row>
    <row r="286">
      <c r="A286" s="10">
        <f>IFERROR(__xludf.DUMMYFUNCTION("""COMPUTED_VALUE"""),43581.549160925926)</f>
        <v>43581.54916</v>
      </c>
      <c r="B286" s="11" t="str">
        <f>IFERROR(__xludf.DUMMYFUNCTION("""COMPUTED_VALUE"""),"Pamela Marcum")</f>
        <v>Pamela Marcum</v>
      </c>
      <c r="C286" t="str">
        <f>IFERROR(__xludf.DUMMYFUNCTION("""COMPUTED_VALUE"""),"Pamela.Marcum@dep.state.fl.us")</f>
        <v>Pamela.Marcum@dep.state.fl.us</v>
      </c>
      <c r="D286" t="str">
        <f>IFERROR(__xludf.DUMMYFUNCTION("""COMPUTED_VALUE"""),"Research/Nikki")</f>
        <v>Research/Nikki</v>
      </c>
      <c r="E286" t="str">
        <f>IFERROR(__xludf.DUMMYFUNCTION("""COMPUTED_VALUE"""),"Shore Dr")</f>
        <v>Shore Dr</v>
      </c>
      <c r="F286" s="13">
        <f>IFERROR(__xludf.DUMMYFUNCTION("""COMPUTED_VALUE"""),0.5833333333321207)</f>
        <v>0.5833333333</v>
      </c>
      <c r="G286" s="14">
        <f>IFERROR(__xludf.DUMMYFUNCTION("""COMPUTED_VALUE"""),43581.0)</f>
        <v>43581</v>
      </c>
      <c r="H286" t="str">
        <f>IFERROR(__xludf.DUMMYFUNCTION("""COMPUTED_VALUE"""),"Gabbys Creek - WETFEET site")</f>
        <v>Gabbys Creek - WETFEET site</v>
      </c>
      <c r="I286" s="15">
        <f>IFERROR(__xludf.DUMMYFUNCTION("""COMPUTED_VALUE"""),0.7291666666678793)</f>
        <v>0.7291666667</v>
      </c>
      <c r="J286" s="16">
        <f>IFERROR(__xludf.DUMMYFUNCTION("""COMPUTED_VALUE"""),43581.75)</f>
        <v>43581.75</v>
      </c>
      <c r="K286" t="str">
        <f>IFERROR(__xludf.DUMMYFUNCTION("""COMPUTED_VALUE"""),"20ft Sea Ark FL5351SJ UNF 2015")</f>
        <v>20ft Sea Ark FL5351SJ UNF 2015</v>
      </c>
      <c r="M286" t="str">
        <f>IFERROR(__xludf.DUMMYFUNCTION("""COMPUTED_VALUE"""),"Ford F150 2008 - DEP18041 (SWMP Thing)")</f>
        <v>Ford F150 2008 - DEP18041 (SWMP Thing)</v>
      </c>
      <c r="N286" t="str">
        <f>IFERROR(__xludf.DUMMYFUNCTION("""COMPUTED_VALUE"""),"Pam Marcum, (480) 332-5414")</f>
        <v>Pam Marcum, (480) 332-5414</v>
      </c>
      <c r="O286" t="str">
        <f>IFERROR(__xludf.DUMMYFUNCTION("""COMPUTED_VALUE"""),"Gabriela Canas, (904) 891-9743")</f>
        <v>Gabriela Canas, (904) 891-9743</v>
      </c>
      <c r="P286" t="str">
        <f>IFERROR(__xludf.DUMMYFUNCTION("""COMPUTED_VALUE"""),"Pam")</f>
        <v>Pam</v>
      </c>
      <c r="Q286" t="str">
        <f>IFERROR(__xludf.DUMMYFUNCTION("""COMPUTED_VALUE"""),"Good")</f>
        <v>Good</v>
      </c>
      <c r="R286" t="str">
        <f>IFERROR(__xludf.DUMMYFUNCTION("""COMPUTED_VALUE"""),"Good")</f>
        <v>Good</v>
      </c>
      <c r="S286" t="str">
        <f>IFERROR(__xludf.DUMMYFUNCTION("""COMPUTED_VALUE"""),"Good")</f>
        <v>Good</v>
      </c>
      <c r="T286" t="str">
        <f>IFERROR(__xludf.DUMMYFUNCTION("""COMPUTED_VALUE"""),"Good")</f>
        <v>Good</v>
      </c>
      <c r="U286" t="str">
        <f>IFERROR(__xludf.DUMMYFUNCTION("""COMPUTED_VALUE"""),"Good")</f>
        <v>Good</v>
      </c>
      <c r="V286" t="str">
        <f>IFERROR(__xludf.DUMMYFUNCTION("""COMPUTED_VALUE"""),"Good")</f>
        <v>Good</v>
      </c>
      <c r="W286" t="str">
        <f>IFERROR(__xludf.DUMMYFUNCTION("""COMPUTED_VALUE"""),"Good")</f>
        <v>Good</v>
      </c>
      <c r="X286" t="str">
        <f>IFERROR(__xludf.DUMMYFUNCTION("""COMPUTED_VALUE"""),"Good")</f>
        <v>Good</v>
      </c>
      <c r="Y286" t="str">
        <f>IFERROR(__xludf.DUMMYFUNCTION("""COMPUTED_VALUE"""),"Good")</f>
        <v>Good</v>
      </c>
      <c r="Z286" t="str">
        <f>IFERROR(__xludf.DUMMYFUNCTION("""COMPUTED_VALUE"""),"Good")</f>
        <v>Good</v>
      </c>
      <c r="AA286" t="str">
        <f>IFERROR(__xludf.DUMMYFUNCTION("""COMPUTED_VALUE"""),"Good")</f>
        <v>Good</v>
      </c>
      <c r="AB286" t="str">
        <f>IFERROR(__xludf.DUMMYFUNCTION("""COMPUTED_VALUE"""),"Good")</f>
        <v>Good</v>
      </c>
      <c r="AC286" t="str">
        <f>IFERROR(__xludf.DUMMYFUNCTION("""COMPUTED_VALUE"""),"Good")</f>
        <v>Good</v>
      </c>
      <c r="AE286" s="11"/>
      <c r="AF286" t="s">
        <v>218</v>
      </c>
      <c r="AG286" s="17" t="s">
        <v>43</v>
      </c>
      <c r="AH286" s="12">
        <v>1615.0</v>
      </c>
      <c r="AI286" s="12" t="s">
        <v>809</v>
      </c>
      <c r="AJ286" s="19" t="s">
        <v>810</v>
      </c>
      <c r="AK286" s="20" t="str">
        <f>HYPERLINK("https://docs.google.com/document/d/1u7s5sF6N4c08VUpD9QaNfb9XH2JWFuYc9n9uv0nmrXs/edit?usp=drivesdk","Pamela Marcum - 4/26/2019 2:00 PM")</f>
        <v>Pamela Marcum - 4/26/2019 2:00 PM</v>
      </c>
      <c r="AL286" s="12" t="s">
        <v>811</v>
      </c>
    </row>
    <row r="287">
      <c r="A287" s="10">
        <f>IFERROR(__xludf.DUMMYFUNCTION("""COMPUTED_VALUE"""),43585.37313579861)</f>
        <v>43585.37314</v>
      </c>
      <c r="B287" s="11" t="str">
        <f>IFERROR(__xludf.DUMMYFUNCTION("""COMPUTED_VALUE"""),"Silas Tanner")</f>
        <v>Silas Tanner</v>
      </c>
      <c r="D287" t="str">
        <f>IFERROR(__xludf.DUMMYFUNCTION("""COMPUTED_VALUE"""),"Research/Nikki")</f>
        <v>Research/Nikki</v>
      </c>
      <c r="E287" t="str">
        <f>IFERROR(__xludf.DUMMYFUNCTION("""COMPUTED_VALUE"""),"Vilano Landing")</f>
        <v>Vilano Landing</v>
      </c>
      <c r="F287" s="13">
        <f>IFERROR(__xludf.DUMMYFUNCTION("""COMPUTED_VALUE"""),0.3020833333321207)</f>
        <v>0.3020833333</v>
      </c>
      <c r="G287" s="14">
        <f>IFERROR(__xludf.DUMMYFUNCTION("""COMPUTED_VALUE"""),43586.0)</f>
        <v>43586</v>
      </c>
      <c r="H287" t="str">
        <f>IFERROR(__xludf.DUMMYFUNCTION("""COMPUTED_VALUE"""),"ICW SWMP sites")</f>
        <v>ICW SWMP sites</v>
      </c>
      <c r="I287" s="15">
        <f>IFERROR(__xludf.DUMMYFUNCTION("""COMPUTED_VALUE"""),0.5104166666678793)</f>
        <v>0.5104166667</v>
      </c>
      <c r="J287" s="16">
        <f>IFERROR(__xludf.DUMMYFUNCTION("""COMPUTED_VALUE"""),43586.52083333333)</f>
        <v>43586.52083</v>
      </c>
      <c r="K287" t="str">
        <f>IFERROR(__xludf.DUMMYFUNCTION("""COMPUTED_VALUE"""),"F 20ft Sea Ark (Easy 200) FL8534PY DEP21451")</f>
        <v>F 20ft Sea Ark (Easy 200) FL8534PY DEP21451</v>
      </c>
      <c r="M287" t="str">
        <f>IFERROR(__xludf.DUMMYFUNCTION("""COMPUTED_VALUE"""),"Ford F250 2017 (Moby Dix) - DEP0021578")</f>
        <v>Ford F250 2017 (Moby Dix) - DEP0021578</v>
      </c>
      <c r="N287" t="str">
        <f>IFERROR(__xludf.DUMMYFUNCTION("""COMPUTED_VALUE"""),"Silas Tanner, (904) 483-8423, Jimmy Tomazinis, (904) 547-0094")</f>
        <v>Silas Tanner, (904) 483-8423, Jimmy Tomazinis, (904) 547-0094</v>
      </c>
      <c r="O287" t="str">
        <f>IFERROR(__xludf.DUMMYFUNCTION("""COMPUTED_VALUE"""),"Bella Kitzis")</f>
        <v>Bella Kitzis</v>
      </c>
      <c r="P287" t="str">
        <f>IFERROR(__xludf.DUMMYFUNCTION("""COMPUTED_VALUE"""),"J. Tomazinis")</f>
        <v>J. Tomazinis</v>
      </c>
      <c r="Q287" t="str">
        <f>IFERROR(__xludf.DUMMYFUNCTION("""COMPUTED_VALUE"""),"Good")</f>
        <v>Good</v>
      </c>
      <c r="R287" t="str">
        <f>IFERROR(__xludf.DUMMYFUNCTION("""COMPUTED_VALUE"""),"Good")</f>
        <v>Good</v>
      </c>
      <c r="S287" t="str">
        <f>IFERROR(__xludf.DUMMYFUNCTION("""COMPUTED_VALUE"""),"Good")</f>
        <v>Good</v>
      </c>
      <c r="T287" t="str">
        <f>IFERROR(__xludf.DUMMYFUNCTION("""COMPUTED_VALUE"""),"Good")</f>
        <v>Good</v>
      </c>
      <c r="U287" t="str">
        <f>IFERROR(__xludf.DUMMYFUNCTION("""COMPUTED_VALUE"""),"Good")</f>
        <v>Good</v>
      </c>
      <c r="V287" t="str">
        <f>IFERROR(__xludf.DUMMYFUNCTION("""COMPUTED_VALUE"""),"Good")</f>
        <v>Good</v>
      </c>
      <c r="W287" t="str">
        <f>IFERROR(__xludf.DUMMYFUNCTION("""COMPUTED_VALUE"""),"Good")</f>
        <v>Good</v>
      </c>
      <c r="X287" t="str">
        <f>IFERROR(__xludf.DUMMYFUNCTION("""COMPUTED_VALUE"""),"Good")</f>
        <v>Good</v>
      </c>
      <c r="Y287" t="str">
        <f>IFERROR(__xludf.DUMMYFUNCTION("""COMPUTED_VALUE"""),"Good")</f>
        <v>Good</v>
      </c>
      <c r="Z287" t="str">
        <f>IFERROR(__xludf.DUMMYFUNCTION("""COMPUTED_VALUE"""),"Good")</f>
        <v>Good</v>
      </c>
      <c r="AA287" t="str">
        <f>IFERROR(__xludf.DUMMYFUNCTION("""COMPUTED_VALUE"""),"Good")</f>
        <v>Good</v>
      </c>
      <c r="AB287" t="str">
        <f>IFERROR(__xludf.DUMMYFUNCTION("""COMPUTED_VALUE"""),"Good")</f>
        <v>Good</v>
      </c>
      <c r="AC287" t="str">
        <f>IFERROR(__xludf.DUMMYFUNCTION("""COMPUTED_VALUE"""),"Good")</f>
        <v>Good</v>
      </c>
      <c r="AE287" s="11"/>
      <c r="AF287" t="s">
        <v>218</v>
      </c>
      <c r="AG287" s="17" t="s">
        <v>18</v>
      </c>
      <c r="AH287" s="12">
        <v>1135.0</v>
      </c>
      <c r="AI287" s="12" t="s">
        <v>812</v>
      </c>
      <c r="AJ287" s="19" t="s">
        <v>813</v>
      </c>
      <c r="AK287" s="20" t="str">
        <f>HYPERLINK("https://docs.google.com/document/d/1yVYWUcznor89rZKLN7JNHkOJi-hKAXwvKPawozANPrs/edit?usp=drivesdk","Silas Tanner - 5/1/2019 7:15 AM")</f>
        <v>Silas Tanner - 5/1/2019 7:15 AM</v>
      </c>
      <c r="AL287" s="12" t="s">
        <v>814</v>
      </c>
    </row>
    <row r="288">
      <c r="A288" s="10">
        <f>IFERROR(__xludf.DUMMYFUNCTION("""COMPUTED_VALUE"""),43586.36768940972)</f>
        <v>43586.36769</v>
      </c>
      <c r="B288" s="11" t="str">
        <f>IFERROR(__xludf.DUMMYFUNCTION("""COMPUTED_VALUE"""),"Pamela Marcum")</f>
        <v>Pamela Marcum</v>
      </c>
      <c r="C288" t="str">
        <f>IFERROR(__xludf.DUMMYFUNCTION("""COMPUTED_VALUE"""),"Pamela.Marcum@dep.state.fl.us")</f>
        <v>Pamela.Marcum@dep.state.fl.us</v>
      </c>
      <c r="D288" t="str">
        <f>IFERROR(__xludf.DUMMYFUNCTION("""COMPUTED_VALUE"""),"Research/Nikki")</f>
        <v>Research/Nikki</v>
      </c>
      <c r="E288" t="str">
        <f>IFERROR(__xludf.DUMMYFUNCTION("""COMPUTED_VALUE"""),"Vilano")</f>
        <v>Vilano</v>
      </c>
      <c r="F288" s="13">
        <f>IFERROR(__xludf.DUMMYFUNCTION("""COMPUTED_VALUE"""),0.4583333333321207)</f>
        <v>0.4583333333</v>
      </c>
      <c r="G288" s="14">
        <f>IFERROR(__xludf.DUMMYFUNCTION("""COMPUTED_VALUE"""),43586.0)</f>
        <v>43586</v>
      </c>
      <c r="H288" t="str">
        <f>IFERROR(__xludf.DUMMYFUNCTION("""COMPUTED_VALUE"""),"Salt Run, St Augustine, Matanzas River Spat Trees")</f>
        <v>Salt Run, St Augustine, Matanzas River Spat Trees</v>
      </c>
      <c r="I288" s="15">
        <f>IFERROR(__xludf.DUMMYFUNCTION("""COMPUTED_VALUE"""),0.6875)</f>
        <v>0.6875</v>
      </c>
      <c r="J288" s="16">
        <f>IFERROR(__xludf.DUMMYFUNCTION("""COMPUTED_VALUE"""),43586.70833333333)</f>
        <v>43586.70833</v>
      </c>
      <c r="K288" t="str">
        <f>IFERROR(__xludf.DUMMYFUNCTION("""COMPUTED_VALUE"""),"20ft Sea Ark FL5351SJ UNF 2015")</f>
        <v>20ft Sea Ark FL5351SJ UNF 2015</v>
      </c>
      <c r="M288" t="str">
        <f>IFERROR(__xludf.DUMMYFUNCTION("""COMPUTED_VALUE"""),"Ford F150 2008 - DEP18041 (SWMP Thing)")</f>
        <v>Ford F150 2008 - DEP18041 (SWMP Thing)</v>
      </c>
      <c r="N288" t="str">
        <f>IFERROR(__xludf.DUMMYFUNCTION("""COMPUTED_VALUE"""),"Pam Marcum, (480) 332-5414")</f>
        <v>Pam Marcum, (480) 332-5414</v>
      </c>
      <c r="O288" t="str">
        <f>IFERROR(__xludf.DUMMYFUNCTION("""COMPUTED_VALUE"""),"Terri Calleson")</f>
        <v>Terri Calleson</v>
      </c>
      <c r="P288" t="str">
        <f>IFERROR(__xludf.DUMMYFUNCTION("""COMPUTED_VALUE"""),"Pam")</f>
        <v>Pam</v>
      </c>
      <c r="Q288" t="str">
        <f>IFERROR(__xludf.DUMMYFUNCTION("""COMPUTED_VALUE"""),"Good")</f>
        <v>Good</v>
      </c>
      <c r="R288" t="str">
        <f>IFERROR(__xludf.DUMMYFUNCTION("""COMPUTED_VALUE"""),"Good")</f>
        <v>Good</v>
      </c>
      <c r="S288" t="str">
        <f>IFERROR(__xludf.DUMMYFUNCTION("""COMPUTED_VALUE"""),"Good")</f>
        <v>Good</v>
      </c>
      <c r="T288" t="str">
        <f>IFERROR(__xludf.DUMMYFUNCTION("""COMPUTED_VALUE"""),"Good")</f>
        <v>Good</v>
      </c>
      <c r="U288" t="str">
        <f>IFERROR(__xludf.DUMMYFUNCTION("""COMPUTED_VALUE"""),"Good")</f>
        <v>Good</v>
      </c>
      <c r="V288" t="str">
        <f>IFERROR(__xludf.DUMMYFUNCTION("""COMPUTED_VALUE"""),"Good")</f>
        <v>Good</v>
      </c>
      <c r="W288" t="str">
        <f>IFERROR(__xludf.DUMMYFUNCTION("""COMPUTED_VALUE"""),"Good")</f>
        <v>Good</v>
      </c>
      <c r="X288" t="str">
        <f>IFERROR(__xludf.DUMMYFUNCTION("""COMPUTED_VALUE"""),"Good")</f>
        <v>Good</v>
      </c>
      <c r="Y288" t="str">
        <f>IFERROR(__xludf.DUMMYFUNCTION("""COMPUTED_VALUE"""),"Good")</f>
        <v>Good</v>
      </c>
      <c r="Z288" t="str">
        <f>IFERROR(__xludf.DUMMYFUNCTION("""COMPUTED_VALUE"""),"Good")</f>
        <v>Good</v>
      </c>
      <c r="AA288" t="str">
        <f>IFERROR(__xludf.DUMMYFUNCTION("""COMPUTED_VALUE"""),"Good")</f>
        <v>Good</v>
      </c>
      <c r="AB288" t="str">
        <f>IFERROR(__xludf.DUMMYFUNCTION("""COMPUTED_VALUE"""),"Good")</f>
        <v>Good</v>
      </c>
      <c r="AC288" t="str">
        <f>IFERROR(__xludf.DUMMYFUNCTION("""COMPUTED_VALUE"""),"Good")</f>
        <v>Good</v>
      </c>
      <c r="AE288" s="11"/>
      <c r="AF288" t="s">
        <v>218</v>
      </c>
      <c r="AG288" s="17" t="s">
        <v>43</v>
      </c>
      <c r="AH288" s="12">
        <v>1645.0</v>
      </c>
      <c r="AI288" s="12" t="s">
        <v>815</v>
      </c>
      <c r="AJ288" s="19" t="s">
        <v>816</v>
      </c>
      <c r="AK288" s="20" t="str">
        <f>HYPERLINK("https://docs.google.com/document/d/1eXlcmMIv9zUf7k-HL1ZFahKVKf9u1qFeaJAyflX6R20/edit?usp=drivesdk","Pamela Marcum - 5/1/2019 11:00 AM")</f>
        <v>Pamela Marcum - 5/1/2019 11:00 AM</v>
      </c>
      <c r="AL288" s="12" t="s">
        <v>817</v>
      </c>
    </row>
    <row r="289">
      <c r="A289" s="10">
        <f>IFERROR(__xludf.DUMMYFUNCTION("""COMPUTED_VALUE"""),43586.67928586806)</f>
        <v>43586.67929</v>
      </c>
      <c r="B289" s="11" t="str">
        <f>IFERROR(__xludf.DUMMYFUNCTION("""COMPUTED_VALUE"""),"James Tomazinis")</f>
        <v>James Tomazinis</v>
      </c>
      <c r="C289" t="str">
        <f>IFERROR(__xludf.DUMMYFUNCTION("""COMPUTED_VALUE"""),"james.tomazinis@floridadep.gov")</f>
        <v>james.tomazinis@floridadep.gov</v>
      </c>
      <c r="D289" t="str">
        <f>IFERROR(__xludf.DUMMYFUNCTION("""COMPUTED_VALUE"""),"Stewardship (Aquatic)")</f>
        <v>Stewardship (Aquatic)</v>
      </c>
      <c r="E289" t="str">
        <f>IFERROR(__xludf.DUMMYFUNCTION("""COMPUTED_VALUE"""),"Guana Dam")</f>
        <v>Guana Dam</v>
      </c>
      <c r="F289" s="13">
        <f>IFERROR(__xludf.DUMMYFUNCTION("""COMPUTED_VALUE"""),0.3541666666678793)</f>
        <v>0.3541666667</v>
      </c>
      <c r="G289" s="14">
        <f>IFERROR(__xludf.DUMMYFUNCTION("""COMPUTED_VALUE"""),43587.0)</f>
        <v>43587</v>
      </c>
      <c r="H289" t="str">
        <f>IFERROR(__xludf.DUMMYFUNCTION("""COMPUTED_VALUE"""),"Guana River WQ sites")</f>
        <v>Guana River WQ sites</v>
      </c>
      <c r="I289" s="15">
        <f>IFERROR(__xludf.DUMMYFUNCTION("""COMPUTED_VALUE"""),0.4375)</f>
        <v>0.4375</v>
      </c>
      <c r="J289" s="16"/>
      <c r="K289" t="str">
        <f>IFERROR(__xludf.DUMMYFUNCTION("""COMPUTED_VALUE"""),"Jon Boat FL0484NP DEP06819")</f>
        <v>Jon Boat FL0484NP DEP06819</v>
      </c>
      <c r="M289" t="str">
        <f>IFERROR(__xludf.DUMMYFUNCTION("""COMPUTED_VALUE"""),"Ford F150 2015 (White) - DEP21448")</f>
        <v>Ford F150 2015 (White) - DEP21448</v>
      </c>
      <c r="N289" t="str">
        <f>IFERROR(__xludf.DUMMYFUNCTION("""COMPUTED_VALUE"""),"Jimmy Tomazinis, (904) 547-0094")</f>
        <v>Jimmy Tomazinis, (904) 547-0094</v>
      </c>
      <c r="O289" t="str">
        <f>IFERROR(__xludf.DUMMYFUNCTION("""COMPUTED_VALUE"""),"Jessica Lee")</f>
        <v>Jessica Lee</v>
      </c>
      <c r="P289" t="str">
        <f>IFERROR(__xludf.DUMMYFUNCTION("""COMPUTED_VALUE"""),"Jimmy")</f>
        <v>Jimmy</v>
      </c>
      <c r="Q289" t="str">
        <f>IFERROR(__xludf.DUMMYFUNCTION("""COMPUTED_VALUE"""),"Good")</f>
        <v>Good</v>
      </c>
      <c r="R289" t="str">
        <f>IFERROR(__xludf.DUMMYFUNCTION("""COMPUTED_VALUE"""),"Good")</f>
        <v>Good</v>
      </c>
      <c r="S289" t="str">
        <f>IFERROR(__xludf.DUMMYFUNCTION("""COMPUTED_VALUE"""),"Good")</f>
        <v>Good</v>
      </c>
      <c r="T289" t="str">
        <f>IFERROR(__xludf.DUMMYFUNCTION("""COMPUTED_VALUE"""),"Good")</f>
        <v>Good</v>
      </c>
      <c r="U289" t="str">
        <f>IFERROR(__xludf.DUMMYFUNCTION("""COMPUTED_VALUE"""),"Good")</f>
        <v>Good</v>
      </c>
      <c r="V289" t="str">
        <f>IFERROR(__xludf.DUMMYFUNCTION("""COMPUTED_VALUE"""),"Good")</f>
        <v>Good</v>
      </c>
      <c r="W289" t="str">
        <f>IFERROR(__xludf.DUMMYFUNCTION("""COMPUTED_VALUE"""),"Good")</f>
        <v>Good</v>
      </c>
      <c r="X289" t="str">
        <f>IFERROR(__xludf.DUMMYFUNCTION("""COMPUTED_VALUE"""),"Good")</f>
        <v>Good</v>
      </c>
      <c r="Y289" t="str">
        <f>IFERROR(__xludf.DUMMYFUNCTION("""COMPUTED_VALUE"""),"Good")</f>
        <v>Good</v>
      </c>
      <c r="Z289" t="str">
        <f>IFERROR(__xludf.DUMMYFUNCTION("""COMPUTED_VALUE"""),"Good")</f>
        <v>Good</v>
      </c>
      <c r="AA289" t="str">
        <f>IFERROR(__xludf.DUMMYFUNCTION("""COMPUTED_VALUE"""),"Good")</f>
        <v>Good</v>
      </c>
      <c r="AB289" t="str">
        <f>IFERROR(__xludf.DUMMYFUNCTION("""COMPUTED_VALUE"""),"Good")</f>
        <v>Good</v>
      </c>
      <c r="AC289" t="str">
        <f>IFERROR(__xludf.DUMMYFUNCTION("""COMPUTED_VALUE"""),"Good")</f>
        <v>Good</v>
      </c>
      <c r="AE289" s="11"/>
      <c r="AF289" t="s">
        <v>32</v>
      </c>
      <c r="AG289" s="17" t="s">
        <v>18</v>
      </c>
      <c r="AH289" s="12">
        <v>1030.0</v>
      </c>
      <c r="AI289" s="12" t="s">
        <v>818</v>
      </c>
      <c r="AJ289" s="19" t="s">
        <v>819</v>
      </c>
      <c r="AK289" s="20" t="str">
        <f>HYPERLINK("https://docs.google.com/document/d/1Si4U5YmHvfX7oP5-r6Jt3hFsP-8Kn9NMVMWY0BZp7kU/edit?usp=drivesdk","James Tomazinis - 5/2/2019 8:30 AM")</f>
        <v>James Tomazinis - 5/2/2019 8:30 AM</v>
      </c>
      <c r="AL289" s="12" t="s">
        <v>820</v>
      </c>
    </row>
    <row r="290">
      <c r="A290" s="10">
        <f>IFERROR(__xludf.DUMMYFUNCTION("""COMPUTED_VALUE"""),43587.39818188658)</f>
        <v>43587.39818</v>
      </c>
      <c r="B290" s="11" t="str">
        <f>IFERROR(__xludf.DUMMYFUNCTION("""COMPUTED_VALUE"""),"Pamela Marcum")</f>
        <v>Pamela Marcum</v>
      </c>
      <c r="C290" t="str">
        <f>IFERROR(__xludf.DUMMYFUNCTION("""COMPUTED_VALUE"""),"Pamela.Marcum@dep.state.fl.us")</f>
        <v>Pamela.Marcum@dep.state.fl.us</v>
      </c>
      <c r="D290" t="str">
        <f>IFERROR(__xludf.DUMMYFUNCTION("""COMPUTED_VALUE"""),"Research/Nikki")</f>
        <v>Research/Nikki</v>
      </c>
      <c r="E290" t="str">
        <f>IFERROR(__xludf.DUMMYFUNCTION("""COMPUTED_VALUE"""),"Aunt Kate's")</f>
        <v>Aunt Kate's</v>
      </c>
      <c r="F290" s="13">
        <f>IFERROR(__xludf.DUMMYFUNCTION("""COMPUTED_VALUE"""),0.4791666666678793)</f>
        <v>0.4791666667</v>
      </c>
      <c r="G290" s="14">
        <f>IFERROR(__xludf.DUMMYFUNCTION("""COMPUTED_VALUE"""),43587.0)</f>
        <v>43587</v>
      </c>
      <c r="H290" t="str">
        <f>IFERROR(__xludf.DUMMYFUNCTION("""COMPUTED_VALUE"""),"Guana/Tolomato Rivers")</f>
        <v>Guana/Tolomato Rivers</v>
      </c>
      <c r="I290" s="15">
        <f>IFERROR(__xludf.DUMMYFUNCTION("""COMPUTED_VALUE"""),0.6666666666678793)</f>
        <v>0.6666666667</v>
      </c>
      <c r="J290" s="16">
        <f>IFERROR(__xludf.DUMMYFUNCTION("""COMPUTED_VALUE"""),43587.6875)</f>
        <v>43587.6875</v>
      </c>
      <c r="K290" t="str">
        <f>IFERROR(__xludf.DUMMYFUNCTION("""COMPUTED_VALUE"""),"20ft Sea Ark FL5351SJ UNF 2015")</f>
        <v>20ft Sea Ark FL5351SJ UNF 2015</v>
      </c>
      <c r="M290" t="str">
        <f>IFERROR(__xludf.DUMMYFUNCTION("""COMPUTED_VALUE"""),"Ford F150 2008 - DEP18041 (SWMP Thing)")</f>
        <v>Ford F150 2008 - DEP18041 (SWMP Thing)</v>
      </c>
      <c r="N290" t="str">
        <f>IFERROR(__xludf.DUMMYFUNCTION("""COMPUTED_VALUE"""),"Pam Marcum, (480) 332-5414")</f>
        <v>Pam Marcum, (480) 332-5414</v>
      </c>
      <c r="O290" t="str">
        <f>IFERROR(__xludf.DUMMYFUNCTION("""COMPUTED_VALUE"""),"Nicole Peckham, Adrienne Breef-Pilz")</f>
        <v>Nicole Peckham, Adrienne Breef-Pilz</v>
      </c>
      <c r="P290" t="str">
        <f>IFERROR(__xludf.DUMMYFUNCTION("""COMPUTED_VALUE"""),"Pam")</f>
        <v>Pam</v>
      </c>
      <c r="Q290" t="str">
        <f>IFERROR(__xludf.DUMMYFUNCTION("""COMPUTED_VALUE"""),"Good")</f>
        <v>Good</v>
      </c>
      <c r="R290" t="str">
        <f>IFERROR(__xludf.DUMMYFUNCTION("""COMPUTED_VALUE"""),"Good")</f>
        <v>Good</v>
      </c>
      <c r="S290" t="str">
        <f>IFERROR(__xludf.DUMMYFUNCTION("""COMPUTED_VALUE"""),"Good")</f>
        <v>Good</v>
      </c>
      <c r="T290" t="str">
        <f>IFERROR(__xludf.DUMMYFUNCTION("""COMPUTED_VALUE"""),"Good")</f>
        <v>Good</v>
      </c>
      <c r="U290" t="str">
        <f>IFERROR(__xludf.DUMMYFUNCTION("""COMPUTED_VALUE"""),"Good")</f>
        <v>Good</v>
      </c>
      <c r="V290" t="str">
        <f>IFERROR(__xludf.DUMMYFUNCTION("""COMPUTED_VALUE"""),"Good")</f>
        <v>Good</v>
      </c>
      <c r="W290" t="str">
        <f>IFERROR(__xludf.DUMMYFUNCTION("""COMPUTED_VALUE"""),"Good")</f>
        <v>Good</v>
      </c>
      <c r="X290" t="str">
        <f>IFERROR(__xludf.DUMMYFUNCTION("""COMPUTED_VALUE"""),"Good")</f>
        <v>Good</v>
      </c>
      <c r="Y290" t="str">
        <f>IFERROR(__xludf.DUMMYFUNCTION("""COMPUTED_VALUE"""),"Good")</f>
        <v>Good</v>
      </c>
      <c r="Z290" t="str">
        <f>IFERROR(__xludf.DUMMYFUNCTION("""COMPUTED_VALUE"""),"Good")</f>
        <v>Good</v>
      </c>
      <c r="AA290" t="str">
        <f>IFERROR(__xludf.DUMMYFUNCTION("""COMPUTED_VALUE"""),"Good")</f>
        <v>Good</v>
      </c>
      <c r="AB290" t="str">
        <f>IFERROR(__xludf.DUMMYFUNCTION("""COMPUTED_VALUE"""),"Good")</f>
        <v>Good</v>
      </c>
      <c r="AC290" t="str">
        <f>IFERROR(__xludf.DUMMYFUNCTION("""COMPUTED_VALUE"""),"Good")</f>
        <v>Good</v>
      </c>
      <c r="AE290" s="11"/>
      <c r="AF290" t="s">
        <v>218</v>
      </c>
      <c r="AG290" s="17" t="s">
        <v>18</v>
      </c>
      <c r="AH290" s="12">
        <v>1515.0</v>
      </c>
      <c r="AI290" s="12" t="s">
        <v>821</v>
      </c>
      <c r="AJ290" s="19" t="s">
        <v>822</v>
      </c>
      <c r="AK290" s="20" t="str">
        <f>HYPERLINK("https://docs.google.com/document/d/1Q9ML7tL-eCbAh36Z_OcvQHcpvugY7Asf2P4_F6COnTE/edit?usp=drivesdk","Pamela Marcum - 5/2/2019 11:30 AM")</f>
        <v>Pamela Marcum - 5/2/2019 11:30 AM</v>
      </c>
      <c r="AL290" s="12" t="s">
        <v>823</v>
      </c>
    </row>
    <row r="291">
      <c r="A291" s="10">
        <f>IFERROR(__xludf.DUMMYFUNCTION("""COMPUTED_VALUE"""),43591.59816425927)</f>
        <v>43591.59816</v>
      </c>
      <c r="B291" s="11" t="str">
        <f>IFERROR(__xludf.DUMMYFUNCTION("""COMPUTED_VALUE"""),"Pamela Marcum")</f>
        <v>Pamela Marcum</v>
      </c>
      <c r="C291" t="str">
        <f>IFERROR(__xludf.DUMMYFUNCTION("""COMPUTED_VALUE"""),"Pamela.Marcum@dep.state.fl.us")</f>
        <v>Pamela.Marcum@dep.state.fl.us</v>
      </c>
      <c r="D291" t="str">
        <f>IFERROR(__xludf.DUMMYFUNCTION("""COMPUTED_VALUE"""),"Research/Nikki")</f>
        <v>Research/Nikki</v>
      </c>
      <c r="E291" t="str">
        <f>IFERROR(__xludf.DUMMYFUNCTION("""COMPUTED_VALUE"""),"Aunt Kates")</f>
        <v>Aunt Kates</v>
      </c>
      <c r="F291" s="13">
        <f>IFERROR(__xludf.DUMMYFUNCTION("""COMPUTED_VALUE"""),0.6145833333321207)</f>
        <v>0.6145833333</v>
      </c>
      <c r="G291" s="14">
        <f>IFERROR(__xludf.DUMMYFUNCTION("""COMPUTED_VALUE"""),43591.0)</f>
        <v>43591</v>
      </c>
      <c r="H291" t="str">
        <f>IFERROR(__xludf.DUMMYFUNCTION("""COMPUTED_VALUE"""),"Tolomato River")</f>
        <v>Tolomato River</v>
      </c>
      <c r="I291" s="15">
        <f>IFERROR(__xludf.DUMMYFUNCTION("""COMPUTED_VALUE"""),0.8125)</f>
        <v>0.8125</v>
      </c>
      <c r="J291" s="16">
        <f>IFERROR(__xludf.DUMMYFUNCTION("""COMPUTED_VALUE"""),43591.83333333333)</f>
        <v>43591.83333</v>
      </c>
      <c r="K291" t="str">
        <f>IFERROR(__xludf.DUMMYFUNCTION("""COMPUTED_VALUE"""),"20ft Sea Ark FL5351SJ UNF 2015")</f>
        <v>20ft Sea Ark FL5351SJ UNF 2015</v>
      </c>
      <c r="M291" t="str">
        <f>IFERROR(__xludf.DUMMYFUNCTION("""COMPUTED_VALUE"""),"Ford F150 2015 (White) - DEP21448")</f>
        <v>Ford F150 2015 (White) - DEP21448</v>
      </c>
      <c r="N291" t="str">
        <f>IFERROR(__xludf.DUMMYFUNCTION("""COMPUTED_VALUE"""),"Pam Marcum, (480) 332-5414")</f>
        <v>Pam Marcum, (480) 332-5414</v>
      </c>
      <c r="O291" t="str">
        <f>IFERROR(__xludf.DUMMYFUNCTION("""COMPUTED_VALUE"""),"Adrienne Breef-Pilz, Nicole Peckham")</f>
        <v>Adrienne Breef-Pilz, Nicole Peckham</v>
      </c>
      <c r="P291" t="str">
        <f>IFERROR(__xludf.DUMMYFUNCTION("""COMPUTED_VALUE"""),"Pam")</f>
        <v>Pam</v>
      </c>
      <c r="Q291" t="str">
        <f>IFERROR(__xludf.DUMMYFUNCTION("""COMPUTED_VALUE"""),"Good")</f>
        <v>Good</v>
      </c>
      <c r="R291" t="str">
        <f>IFERROR(__xludf.DUMMYFUNCTION("""COMPUTED_VALUE"""),"Good")</f>
        <v>Good</v>
      </c>
      <c r="S291" t="str">
        <f>IFERROR(__xludf.DUMMYFUNCTION("""COMPUTED_VALUE"""),"Good")</f>
        <v>Good</v>
      </c>
      <c r="T291" t="str">
        <f>IFERROR(__xludf.DUMMYFUNCTION("""COMPUTED_VALUE"""),"Good")</f>
        <v>Good</v>
      </c>
      <c r="U291" t="str">
        <f>IFERROR(__xludf.DUMMYFUNCTION("""COMPUTED_VALUE"""),"Good")</f>
        <v>Good</v>
      </c>
      <c r="V291" t="str">
        <f>IFERROR(__xludf.DUMMYFUNCTION("""COMPUTED_VALUE"""),"Good")</f>
        <v>Good</v>
      </c>
      <c r="W291" t="str">
        <f>IFERROR(__xludf.DUMMYFUNCTION("""COMPUTED_VALUE"""),"Good")</f>
        <v>Good</v>
      </c>
      <c r="X291" t="str">
        <f>IFERROR(__xludf.DUMMYFUNCTION("""COMPUTED_VALUE"""),"Good")</f>
        <v>Good</v>
      </c>
      <c r="Y291" t="str">
        <f>IFERROR(__xludf.DUMMYFUNCTION("""COMPUTED_VALUE"""),"Good")</f>
        <v>Good</v>
      </c>
      <c r="Z291" t="str">
        <f>IFERROR(__xludf.DUMMYFUNCTION("""COMPUTED_VALUE"""),"Good")</f>
        <v>Good</v>
      </c>
      <c r="AA291" t="str">
        <f>IFERROR(__xludf.DUMMYFUNCTION("""COMPUTED_VALUE"""),"Good")</f>
        <v>Good</v>
      </c>
      <c r="AB291" t="str">
        <f>IFERROR(__xludf.DUMMYFUNCTION("""COMPUTED_VALUE"""),"Good")</f>
        <v>Good</v>
      </c>
      <c r="AC291" t="str">
        <f>IFERROR(__xludf.DUMMYFUNCTION("""COMPUTED_VALUE"""),"Good")</f>
        <v>Good</v>
      </c>
      <c r="AE291" s="11"/>
      <c r="AF291" t="s">
        <v>218</v>
      </c>
      <c r="AG291" s="17" t="s">
        <v>43</v>
      </c>
      <c r="AH291" s="12">
        <v>1933.0</v>
      </c>
      <c r="AI291" s="12" t="s">
        <v>824</v>
      </c>
      <c r="AJ291" s="19" t="s">
        <v>825</v>
      </c>
      <c r="AK291" s="20" t="str">
        <f>HYPERLINK("https://docs.google.com/document/d/1T405mthEps_AdPOWw3Iy-nbrUnZ7A60jSwUoncMXVKg/edit?usp=drivesdk","Pamela Marcum - 5/6/2019 2:45 PM")</f>
        <v>Pamela Marcum - 5/6/2019 2:45 PM</v>
      </c>
      <c r="AL291" s="12" t="s">
        <v>826</v>
      </c>
    </row>
    <row r="292">
      <c r="A292" s="10">
        <f>IFERROR(__xludf.DUMMYFUNCTION("""COMPUTED_VALUE"""),43592.26221043982)</f>
        <v>43592.26221</v>
      </c>
      <c r="B292" s="11" t="str">
        <f>IFERROR(__xludf.DUMMYFUNCTION("""COMPUTED_VALUE"""),"Pamela Marcum")</f>
        <v>Pamela Marcum</v>
      </c>
      <c r="C292" t="str">
        <f>IFERROR(__xludf.DUMMYFUNCTION("""COMPUTED_VALUE"""),"Pamela.Marcum@dep.state.fl.us")</f>
        <v>Pamela.Marcum@dep.state.fl.us</v>
      </c>
      <c r="D292" t="str">
        <f>IFERROR(__xludf.DUMMYFUNCTION("""COMPUTED_VALUE"""),"Research/Nikki")</f>
        <v>Research/Nikki</v>
      </c>
      <c r="E292" t="str">
        <f>IFERROR(__xludf.DUMMYFUNCTION("""COMPUTED_VALUE"""),"Aunt Kate's ")</f>
        <v>Aunt Kate's </v>
      </c>
      <c r="F292" s="13">
        <f>IFERROR(__xludf.DUMMYFUNCTION("""COMPUTED_VALUE"""),0.28125)</f>
        <v>0.28125</v>
      </c>
      <c r="G292" s="14">
        <f>IFERROR(__xludf.DUMMYFUNCTION("""COMPUTED_VALUE"""),43592.0)</f>
        <v>43592</v>
      </c>
      <c r="H292" t="str">
        <f>IFERROR(__xludf.DUMMYFUNCTION("""COMPUTED_VALUE"""),"Pine Island")</f>
        <v>Pine Island</v>
      </c>
      <c r="I292" s="15">
        <f>IFERROR(__xludf.DUMMYFUNCTION("""COMPUTED_VALUE"""),0.375)</f>
        <v>0.375</v>
      </c>
      <c r="J292" s="16">
        <f>IFERROR(__xludf.DUMMYFUNCTION("""COMPUTED_VALUE"""),43592.39583333333)</f>
        <v>43592.39583</v>
      </c>
      <c r="K292" t="str">
        <f>IFERROR(__xludf.DUMMYFUNCTION("""COMPUTED_VALUE"""),"20ft Sea Ark FL5351SJ UNF 2015")</f>
        <v>20ft Sea Ark FL5351SJ UNF 2015</v>
      </c>
      <c r="M292" t="str">
        <f>IFERROR(__xludf.DUMMYFUNCTION("""COMPUTED_VALUE"""),"Ford F150 2015 (White) - DEP21448")</f>
        <v>Ford F150 2015 (White) - DEP21448</v>
      </c>
      <c r="N292" t="str">
        <f>IFERROR(__xludf.DUMMYFUNCTION("""COMPUTED_VALUE"""),"Pam Marcum, (480) 332-5414")</f>
        <v>Pam Marcum, (480) 332-5414</v>
      </c>
      <c r="O292" t="str">
        <f>IFERROR(__xludf.DUMMYFUNCTION("""COMPUTED_VALUE"""),"Nicole Peckham, Adrienne Breef-Pilz")</f>
        <v>Nicole Peckham, Adrienne Breef-Pilz</v>
      </c>
      <c r="P292" t="str">
        <f>IFERROR(__xludf.DUMMYFUNCTION("""COMPUTED_VALUE"""),"Pam")</f>
        <v>Pam</v>
      </c>
      <c r="Q292" t="str">
        <f>IFERROR(__xludf.DUMMYFUNCTION("""COMPUTED_VALUE"""),"Good")</f>
        <v>Good</v>
      </c>
      <c r="R292" t="str">
        <f>IFERROR(__xludf.DUMMYFUNCTION("""COMPUTED_VALUE"""),"Good")</f>
        <v>Good</v>
      </c>
      <c r="S292" t="str">
        <f>IFERROR(__xludf.DUMMYFUNCTION("""COMPUTED_VALUE"""),"Good")</f>
        <v>Good</v>
      </c>
      <c r="T292" t="str">
        <f>IFERROR(__xludf.DUMMYFUNCTION("""COMPUTED_VALUE"""),"Good")</f>
        <v>Good</v>
      </c>
      <c r="U292" t="str">
        <f>IFERROR(__xludf.DUMMYFUNCTION("""COMPUTED_VALUE"""),"Good")</f>
        <v>Good</v>
      </c>
      <c r="V292" t="str">
        <f>IFERROR(__xludf.DUMMYFUNCTION("""COMPUTED_VALUE"""),"Good")</f>
        <v>Good</v>
      </c>
      <c r="W292" t="str">
        <f>IFERROR(__xludf.DUMMYFUNCTION("""COMPUTED_VALUE"""),"Good")</f>
        <v>Good</v>
      </c>
      <c r="X292" t="str">
        <f>IFERROR(__xludf.DUMMYFUNCTION("""COMPUTED_VALUE"""),"Good")</f>
        <v>Good</v>
      </c>
      <c r="Y292" t="str">
        <f>IFERROR(__xludf.DUMMYFUNCTION("""COMPUTED_VALUE"""),"Good")</f>
        <v>Good</v>
      </c>
      <c r="Z292" t="str">
        <f>IFERROR(__xludf.DUMMYFUNCTION("""COMPUTED_VALUE"""),"Good")</f>
        <v>Good</v>
      </c>
      <c r="AA292" t="str">
        <f>IFERROR(__xludf.DUMMYFUNCTION("""COMPUTED_VALUE"""),"Good")</f>
        <v>Good</v>
      </c>
      <c r="AB292" t="str">
        <f>IFERROR(__xludf.DUMMYFUNCTION("""COMPUTED_VALUE"""),"Good")</f>
        <v>Good</v>
      </c>
      <c r="AC292" t="str">
        <f>IFERROR(__xludf.DUMMYFUNCTION("""COMPUTED_VALUE"""),"Good")</f>
        <v>Good</v>
      </c>
      <c r="AE292" s="11"/>
      <c r="AF292" t="s">
        <v>218</v>
      </c>
      <c r="AG292" s="17" t="s">
        <v>18</v>
      </c>
      <c r="AH292" s="12">
        <v>815.0</v>
      </c>
      <c r="AI292" s="12" t="s">
        <v>827</v>
      </c>
      <c r="AJ292" s="19" t="s">
        <v>828</v>
      </c>
      <c r="AK292" s="20" t="str">
        <f>HYPERLINK("https://docs.google.com/document/d/1g4e1jL6_o4Bnaqlw071EP28KdZfsft1fTcxM7y5K3hY/edit?usp=drivesdk","Pamela Marcum - 5/7/2019 6:45 AM")</f>
        <v>Pamela Marcum - 5/7/2019 6:45 AM</v>
      </c>
      <c r="AL292" s="12" t="s">
        <v>829</v>
      </c>
    </row>
    <row r="293">
      <c r="A293" s="10">
        <f>IFERROR(__xludf.DUMMYFUNCTION("""COMPUTED_VALUE"""),43592.33089668981)</f>
        <v>43592.3309</v>
      </c>
      <c r="B293" s="11" t="str">
        <f>IFERROR(__xludf.DUMMYFUNCTION("""COMPUTED_VALUE"""),"Silas Tanner")</f>
        <v>Silas Tanner</v>
      </c>
      <c r="C293" t="str">
        <f>IFERROR(__xludf.DUMMYFUNCTION("""COMPUTED_VALUE"""),"silas.tanner@floridadep.gov")</f>
        <v>silas.tanner@floridadep.gov</v>
      </c>
      <c r="D293" t="str">
        <f>IFERROR(__xludf.DUMMYFUNCTION("""COMPUTED_VALUE"""),"Research/Nikki")</f>
        <v>Research/Nikki</v>
      </c>
      <c r="E293" t="str">
        <f>IFERROR(__xludf.DUMMYFUNCTION("""COMPUTED_VALUE"""),"GTM Guana River launch")</f>
        <v>GTM Guana River launch</v>
      </c>
      <c r="F293" s="13">
        <f>IFERROR(__xludf.DUMMYFUNCTION("""COMPUTED_VALUE"""),0.3958333333321207)</f>
        <v>0.3958333333</v>
      </c>
      <c r="G293" s="14">
        <f>IFERROR(__xludf.DUMMYFUNCTION("""COMPUTED_VALUE"""),43592.0)</f>
        <v>43592</v>
      </c>
      <c r="H293" t="str">
        <f>IFERROR(__xludf.DUMMYFUNCTION("""COMPUTED_VALUE"""),"Guana River")</f>
        <v>Guana River</v>
      </c>
      <c r="I293" s="15">
        <f>IFERROR(__xludf.DUMMYFUNCTION("""COMPUTED_VALUE"""),0.5625)</f>
        <v>0.5625</v>
      </c>
      <c r="J293" s="16">
        <f>IFERROR(__xludf.DUMMYFUNCTION("""COMPUTED_VALUE"""),43592.56597222222)</f>
        <v>43592.56597</v>
      </c>
      <c r="K293" t="str">
        <f>IFERROR(__xludf.DUMMYFUNCTION("""COMPUTED_VALUE"""),"Jon Boat FL0484NP DEP06819")</f>
        <v>Jon Boat FL0484NP DEP06819</v>
      </c>
      <c r="M293" t="str">
        <f>IFERROR(__xludf.DUMMYFUNCTION("""COMPUTED_VALUE"""),"Ford F250 2017 (Moby Dix) - DEP0021578")</f>
        <v>Ford F250 2017 (Moby Dix) - DEP0021578</v>
      </c>
      <c r="N293" t="str">
        <f>IFERROR(__xludf.DUMMYFUNCTION("""COMPUTED_VALUE"""),"Silas Tanner, (904) 483-8423")</f>
        <v>Silas Tanner, (904) 483-8423</v>
      </c>
      <c r="O293" t="str">
        <f>IFERROR(__xludf.DUMMYFUNCTION("""COMPUTED_VALUE"""),"Jessica Lee")</f>
        <v>Jessica Lee</v>
      </c>
      <c r="P293" t="str">
        <f>IFERROR(__xludf.DUMMYFUNCTION("""COMPUTED_VALUE"""),"S. Tanner")</f>
        <v>S. Tanner</v>
      </c>
      <c r="Q293" t="str">
        <f>IFERROR(__xludf.DUMMYFUNCTION("""COMPUTED_VALUE"""),"Good")</f>
        <v>Good</v>
      </c>
      <c r="R293" t="str">
        <f>IFERROR(__xludf.DUMMYFUNCTION("""COMPUTED_VALUE"""),"Good")</f>
        <v>Good</v>
      </c>
      <c r="S293" t="str">
        <f>IFERROR(__xludf.DUMMYFUNCTION("""COMPUTED_VALUE"""),"Good")</f>
        <v>Good</v>
      </c>
      <c r="T293" t="str">
        <f>IFERROR(__xludf.DUMMYFUNCTION("""COMPUTED_VALUE"""),"Good")</f>
        <v>Good</v>
      </c>
      <c r="U293" t="str">
        <f>IFERROR(__xludf.DUMMYFUNCTION("""COMPUTED_VALUE"""),"Good")</f>
        <v>Good</v>
      </c>
      <c r="V293" t="str">
        <f>IFERROR(__xludf.DUMMYFUNCTION("""COMPUTED_VALUE"""),"Good")</f>
        <v>Good</v>
      </c>
      <c r="W293" t="str">
        <f>IFERROR(__xludf.DUMMYFUNCTION("""COMPUTED_VALUE"""),"Good")</f>
        <v>Good</v>
      </c>
      <c r="X293" t="str">
        <f>IFERROR(__xludf.DUMMYFUNCTION("""COMPUTED_VALUE"""),"Good")</f>
        <v>Good</v>
      </c>
      <c r="Y293" t="str">
        <f>IFERROR(__xludf.DUMMYFUNCTION("""COMPUTED_VALUE"""),"Good")</f>
        <v>Good</v>
      </c>
      <c r="Z293" t="str">
        <f>IFERROR(__xludf.DUMMYFUNCTION("""COMPUTED_VALUE"""),"Good")</f>
        <v>Good</v>
      </c>
      <c r="AA293" t="str">
        <f>IFERROR(__xludf.DUMMYFUNCTION("""COMPUTED_VALUE"""),"Good")</f>
        <v>Good</v>
      </c>
      <c r="AB293" t="str">
        <f>IFERROR(__xludf.DUMMYFUNCTION("""COMPUTED_VALUE"""),"Good")</f>
        <v>Good</v>
      </c>
      <c r="AC293" t="str">
        <f>IFERROR(__xludf.DUMMYFUNCTION("""COMPUTED_VALUE"""),"Good")</f>
        <v>Good</v>
      </c>
      <c r="AE293" s="11"/>
      <c r="AF293" t="s">
        <v>218</v>
      </c>
      <c r="AG293" s="17" t="s">
        <v>18</v>
      </c>
      <c r="AH293" s="12">
        <v>1315.0</v>
      </c>
      <c r="AI293" s="12" t="s">
        <v>830</v>
      </c>
      <c r="AJ293" s="19" t="s">
        <v>831</v>
      </c>
      <c r="AK293" s="20" t="str">
        <f>HYPERLINK("https://docs.google.com/document/d/1vkQaUeNfFpD_o02fHgg_xTiGVFe9jSGR2yTxiIOVFIE/edit?usp=drivesdk","Silas Tanner - 5/7/2019 9:30 AM")</f>
        <v>Silas Tanner - 5/7/2019 9:30 AM</v>
      </c>
      <c r="AL293" s="12" t="s">
        <v>832</v>
      </c>
    </row>
    <row r="294">
      <c r="A294" s="10">
        <f>IFERROR(__xludf.DUMMYFUNCTION("""COMPUTED_VALUE"""),43592.61112174769)</f>
        <v>43592.61112</v>
      </c>
      <c r="B294" s="11" t="str">
        <f>IFERROR(__xludf.DUMMYFUNCTION("""COMPUTED_VALUE"""),"Pamela Marcum")</f>
        <v>Pamela Marcum</v>
      </c>
      <c r="C294" t="str">
        <f>IFERROR(__xludf.DUMMYFUNCTION("""COMPUTED_VALUE"""),"Pamela.Marcum@dep.state.fl.us")</f>
        <v>Pamela.Marcum@dep.state.fl.us</v>
      </c>
      <c r="D294" t="str">
        <f>IFERROR(__xludf.DUMMYFUNCTION("""COMPUTED_VALUE"""),"Research/Nikki")</f>
        <v>Research/Nikki</v>
      </c>
      <c r="E294" t="str">
        <f>IFERROR(__xludf.DUMMYFUNCTION("""COMPUTED_VALUE"""),"Aunt Kate's")</f>
        <v>Aunt Kate's</v>
      </c>
      <c r="F294" s="13">
        <f>IFERROR(__xludf.DUMMYFUNCTION("""COMPUTED_VALUE"""),0.6354166666678793)</f>
        <v>0.6354166667</v>
      </c>
      <c r="G294" s="14">
        <f>IFERROR(__xludf.DUMMYFUNCTION("""COMPUTED_VALUE"""),43592.0)</f>
        <v>43592</v>
      </c>
      <c r="H294" t="str">
        <f>IFERROR(__xludf.DUMMYFUNCTION("""COMPUTED_VALUE"""),"Guana River")</f>
        <v>Guana River</v>
      </c>
      <c r="I294" s="15">
        <f>IFERROR(__xludf.DUMMYFUNCTION("""COMPUTED_VALUE"""),0.7916666666678793)</f>
        <v>0.7916666667</v>
      </c>
      <c r="J294" s="16">
        <f>IFERROR(__xludf.DUMMYFUNCTION("""COMPUTED_VALUE"""),43592.8125)</f>
        <v>43592.8125</v>
      </c>
      <c r="K294" t="str">
        <f>IFERROR(__xludf.DUMMYFUNCTION("""COMPUTED_VALUE"""),"20ft Sea Ark FL5351SJ UNF 2015")</f>
        <v>20ft Sea Ark FL5351SJ UNF 2015</v>
      </c>
      <c r="M294" t="str">
        <f>IFERROR(__xludf.DUMMYFUNCTION("""COMPUTED_VALUE"""),"Ford F150 2015 (White) - DEP21448")</f>
        <v>Ford F150 2015 (White) - DEP21448</v>
      </c>
      <c r="N294" t="str">
        <f>IFERROR(__xludf.DUMMYFUNCTION("""COMPUTED_VALUE"""),"Pam Marcum, (480) 332-5414")</f>
        <v>Pam Marcum, (480) 332-5414</v>
      </c>
      <c r="O294" t="str">
        <f>IFERROR(__xludf.DUMMYFUNCTION("""COMPUTED_VALUE"""),"Nicole Peckham, Adrienne Breef-Pilz")</f>
        <v>Nicole Peckham, Adrienne Breef-Pilz</v>
      </c>
      <c r="P294" t="str">
        <f>IFERROR(__xludf.DUMMYFUNCTION("""COMPUTED_VALUE"""),"Pam")</f>
        <v>Pam</v>
      </c>
      <c r="Q294" t="str">
        <f>IFERROR(__xludf.DUMMYFUNCTION("""COMPUTED_VALUE"""),"Good")</f>
        <v>Good</v>
      </c>
      <c r="R294" t="str">
        <f>IFERROR(__xludf.DUMMYFUNCTION("""COMPUTED_VALUE"""),"Good")</f>
        <v>Good</v>
      </c>
      <c r="S294" t="str">
        <f>IFERROR(__xludf.DUMMYFUNCTION("""COMPUTED_VALUE"""),"Good")</f>
        <v>Good</v>
      </c>
      <c r="T294" t="str">
        <f>IFERROR(__xludf.DUMMYFUNCTION("""COMPUTED_VALUE"""),"Good")</f>
        <v>Good</v>
      </c>
      <c r="U294" t="str">
        <f>IFERROR(__xludf.DUMMYFUNCTION("""COMPUTED_VALUE"""),"Good")</f>
        <v>Good</v>
      </c>
      <c r="V294" t="str">
        <f>IFERROR(__xludf.DUMMYFUNCTION("""COMPUTED_VALUE"""),"Good")</f>
        <v>Good</v>
      </c>
      <c r="W294" t="str">
        <f>IFERROR(__xludf.DUMMYFUNCTION("""COMPUTED_VALUE"""),"Good")</f>
        <v>Good</v>
      </c>
      <c r="X294" t="str">
        <f>IFERROR(__xludf.DUMMYFUNCTION("""COMPUTED_VALUE"""),"Good")</f>
        <v>Good</v>
      </c>
      <c r="Y294" t="str">
        <f>IFERROR(__xludf.DUMMYFUNCTION("""COMPUTED_VALUE"""),"Good")</f>
        <v>Good</v>
      </c>
      <c r="Z294" t="str">
        <f>IFERROR(__xludf.DUMMYFUNCTION("""COMPUTED_VALUE"""),"Good")</f>
        <v>Good</v>
      </c>
      <c r="AA294" t="str">
        <f>IFERROR(__xludf.DUMMYFUNCTION("""COMPUTED_VALUE"""),"Good")</f>
        <v>Good</v>
      </c>
      <c r="AB294" t="str">
        <f>IFERROR(__xludf.DUMMYFUNCTION("""COMPUTED_VALUE"""),"Good")</f>
        <v>Good</v>
      </c>
      <c r="AC294" t="str">
        <f>IFERROR(__xludf.DUMMYFUNCTION("""COMPUTED_VALUE"""),"Good")</f>
        <v>Good</v>
      </c>
      <c r="AE294" s="11"/>
      <c r="AF294" t="s">
        <v>218</v>
      </c>
      <c r="AG294" s="17" t="s">
        <v>43</v>
      </c>
      <c r="AH294" s="12">
        <v>1825.0</v>
      </c>
      <c r="AI294" s="12" t="s">
        <v>833</v>
      </c>
      <c r="AJ294" s="19" t="s">
        <v>834</v>
      </c>
      <c r="AK294" s="20" t="str">
        <f>HYPERLINK("https://docs.google.com/document/d/1gYNhicIovTf1c9Zf3C3aODQwJQQizjlNU7MM4uM7Cq8/edit?usp=drivesdk","Pamela Marcum - 5/7/2019 3:15 PM")</f>
        <v>Pamela Marcum - 5/7/2019 3:15 PM</v>
      </c>
      <c r="AL294" s="12" t="s">
        <v>835</v>
      </c>
    </row>
    <row r="295">
      <c r="A295" s="10">
        <f>IFERROR(__xludf.DUMMYFUNCTION("""COMPUTED_VALUE"""),43593.25513798611)</f>
        <v>43593.25514</v>
      </c>
      <c r="B295" s="11" t="str">
        <f>IFERROR(__xludf.DUMMYFUNCTION("""COMPUTED_VALUE"""),"Pamela Marcum")</f>
        <v>Pamela Marcum</v>
      </c>
      <c r="C295" t="str">
        <f>IFERROR(__xludf.DUMMYFUNCTION("""COMPUTED_VALUE"""),"Pamela.Marcum@dep.state.fl.us")</f>
        <v>Pamela.Marcum@dep.state.fl.us</v>
      </c>
      <c r="D295" t="str">
        <f>IFERROR(__xludf.DUMMYFUNCTION("""COMPUTED_VALUE"""),"Research/Nikki")</f>
        <v>Research/Nikki</v>
      </c>
      <c r="E295" t="str">
        <f>IFERROR(__xludf.DUMMYFUNCTION("""COMPUTED_VALUE"""),"Aunt Kate's")</f>
        <v>Aunt Kate's</v>
      </c>
      <c r="F295" s="13">
        <f>IFERROR(__xludf.DUMMYFUNCTION("""COMPUTED_VALUE"""),0.2708333333321207)</f>
        <v>0.2708333333</v>
      </c>
      <c r="G295" s="14">
        <f>IFERROR(__xludf.DUMMYFUNCTION("""COMPUTED_VALUE"""),43593.0)</f>
        <v>43593</v>
      </c>
      <c r="H295" t="str">
        <f>IFERROR(__xludf.DUMMYFUNCTION("""COMPUTED_VALUE"""),"Guana &amp; Tolomato Rivers")</f>
        <v>Guana &amp; Tolomato Rivers</v>
      </c>
      <c r="I295" s="15">
        <f>IFERROR(__xludf.DUMMYFUNCTION("""COMPUTED_VALUE"""),0.4375)</f>
        <v>0.4375</v>
      </c>
      <c r="J295" s="16">
        <f>IFERROR(__xludf.DUMMYFUNCTION("""COMPUTED_VALUE"""),43593.45833333333)</f>
        <v>43593.45833</v>
      </c>
      <c r="K295" t="str">
        <f>IFERROR(__xludf.DUMMYFUNCTION("""COMPUTED_VALUE"""),"20ft Sea Ark FL5351SJ UNF 2015")</f>
        <v>20ft Sea Ark FL5351SJ UNF 2015</v>
      </c>
      <c r="M295" t="str">
        <f>IFERROR(__xludf.DUMMYFUNCTION("""COMPUTED_VALUE"""),"Ford F150 2015 (White) - DEP21448")</f>
        <v>Ford F150 2015 (White) - DEP21448</v>
      </c>
      <c r="N295" t="str">
        <f>IFERROR(__xludf.DUMMYFUNCTION("""COMPUTED_VALUE"""),"Pam Marcum, (480) 332-5414")</f>
        <v>Pam Marcum, (480) 332-5414</v>
      </c>
      <c r="O295" t="str">
        <f>IFERROR(__xludf.DUMMYFUNCTION("""COMPUTED_VALUE"""),"Nicole Peckham, Adrienne Breef-Pilz, David Kimbro")</f>
        <v>Nicole Peckham, Adrienne Breef-Pilz, David Kimbro</v>
      </c>
      <c r="P295" t="str">
        <f>IFERROR(__xludf.DUMMYFUNCTION("""COMPUTED_VALUE"""),"Pam")</f>
        <v>Pam</v>
      </c>
      <c r="Q295" t="str">
        <f>IFERROR(__xludf.DUMMYFUNCTION("""COMPUTED_VALUE"""),"Good")</f>
        <v>Good</v>
      </c>
      <c r="R295" t="str">
        <f>IFERROR(__xludf.DUMMYFUNCTION("""COMPUTED_VALUE"""),"Good")</f>
        <v>Good</v>
      </c>
      <c r="S295" t="str">
        <f>IFERROR(__xludf.DUMMYFUNCTION("""COMPUTED_VALUE"""),"Good")</f>
        <v>Good</v>
      </c>
      <c r="T295" t="str">
        <f>IFERROR(__xludf.DUMMYFUNCTION("""COMPUTED_VALUE"""),"Good")</f>
        <v>Good</v>
      </c>
      <c r="U295" t="str">
        <f>IFERROR(__xludf.DUMMYFUNCTION("""COMPUTED_VALUE"""),"Good")</f>
        <v>Good</v>
      </c>
      <c r="V295" t="str">
        <f>IFERROR(__xludf.DUMMYFUNCTION("""COMPUTED_VALUE"""),"Good")</f>
        <v>Good</v>
      </c>
      <c r="W295" t="str">
        <f>IFERROR(__xludf.DUMMYFUNCTION("""COMPUTED_VALUE"""),"Good")</f>
        <v>Good</v>
      </c>
      <c r="X295" t="str">
        <f>IFERROR(__xludf.DUMMYFUNCTION("""COMPUTED_VALUE"""),"Good")</f>
        <v>Good</v>
      </c>
      <c r="Y295" t="str">
        <f>IFERROR(__xludf.DUMMYFUNCTION("""COMPUTED_VALUE"""),"Good")</f>
        <v>Good</v>
      </c>
      <c r="Z295" t="str">
        <f>IFERROR(__xludf.DUMMYFUNCTION("""COMPUTED_VALUE"""),"Good")</f>
        <v>Good</v>
      </c>
      <c r="AA295" t="str">
        <f>IFERROR(__xludf.DUMMYFUNCTION("""COMPUTED_VALUE"""),"Good")</f>
        <v>Good</v>
      </c>
      <c r="AB295" t="str">
        <f>IFERROR(__xludf.DUMMYFUNCTION("""COMPUTED_VALUE"""),"Good")</f>
        <v>Good</v>
      </c>
      <c r="AC295" t="str">
        <f>IFERROR(__xludf.DUMMYFUNCTION("""COMPUTED_VALUE"""),"Good")</f>
        <v>Good</v>
      </c>
      <c r="AE295" s="11"/>
      <c r="AF295" t="s">
        <v>218</v>
      </c>
      <c r="AG295" s="17" t="s">
        <v>18</v>
      </c>
      <c r="AH295" s="12">
        <v>930.0</v>
      </c>
      <c r="AI295" s="12" t="s">
        <v>836</v>
      </c>
      <c r="AJ295" s="19" t="s">
        <v>837</v>
      </c>
      <c r="AK295" s="20" t="str">
        <f>HYPERLINK("https://docs.google.com/document/d/1zlJ_Fo8-K64oCgIGfP5Aj5buqM1dyZx_BJk8QFySHVc/edit?usp=drivesdk","Pamela Marcum - 5/8/2019 6:30 AM")</f>
        <v>Pamela Marcum - 5/8/2019 6:30 AM</v>
      </c>
      <c r="AL295" s="12" t="s">
        <v>838</v>
      </c>
    </row>
    <row r="296">
      <c r="A296" s="10">
        <f>IFERROR(__xludf.DUMMYFUNCTION("""COMPUTED_VALUE"""),43594.26646572917)</f>
        <v>43594.26647</v>
      </c>
      <c r="B296" s="11" t="str">
        <f>IFERROR(__xludf.DUMMYFUNCTION("""COMPUTED_VALUE"""),"Pamela Marcum")</f>
        <v>Pamela Marcum</v>
      </c>
      <c r="C296" t="str">
        <f>IFERROR(__xludf.DUMMYFUNCTION("""COMPUTED_VALUE"""),"Pamela.Marcum@dep.state.fl.us")</f>
        <v>Pamela.Marcum@dep.state.fl.us</v>
      </c>
      <c r="D296" t="str">
        <f>IFERROR(__xludf.DUMMYFUNCTION("""COMPUTED_VALUE"""),"Research/Nikki")</f>
        <v>Research/Nikki</v>
      </c>
      <c r="E296" t="str">
        <f>IFERROR(__xludf.DUMMYFUNCTION("""COMPUTED_VALUE"""),"Aunt Kate's")</f>
        <v>Aunt Kate's</v>
      </c>
      <c r="F296" s="13">
        <f>IFERROR(__xludf.DUMMYFUNCTION("""COMPUTED_VALUE"""),0.28125)</f>
        <v>0.28125</v>
      </c>
      <c r="G296" s="14">
        <f>IFERROR(__xludf.DUMMYFUNCTION("""COMPUTED_VALUE"""),43594.0)</f>
        <v>43594</v>
      </c>
      <c r="H296" t="str">
        <f>IFERROR(__xludf.DUMMYFUNCTION("""COMPUTED_VALUE"""),"Pine Island/Guana River")</f>
        <v>Pine Island/Guana River</v>
      </c>
      <c r="I296" s="15">
        <f>IFERROR(__xludf.DUMMYFUNCTION("""COMPUTED_VALUE"""),0.4166666666678793)</f>
        <v>0.4166666667</v>
      </c>
      <c r="J296" s="16">
        <f>IFERROR(__xludf.DUMMYFUNCTION("""COMPUTED_VALUE"""),43594.4375)</f>
        <v>43594.4375</v>
      </c>
      <c r="K296" t="str">
        <f>IFERROR(__xludf.DUMMYFUNCTION("""COMPUTED_VALUE"""),"20ft Sea Ark FL5351SJ UNF 2015")</f>
        <v>20ft Sea Ark FL5351SJ UNF 2015</v>
      </c>
      <c r="M296" t="str">
        <f>IFERROR(__xludf.DUMMYFUNCTION("""COMPUTED_VALUE"""),"Ford F150 2015 (White) - DEP21448")</f>
        <v>Ford F150 2015 (White) - DEP21448</v>
      </c>
      <c r="N296" t="str">
        <f>IFERROR(__xludf.DUMMYFUNCTION("""COMPUTED_VALUE"""),"Pam Marcum, (480) 332-5414")</f>
        <v>Pam Marcum, (480) 332-5414</v>
      </c>
      <c r="O296" t="str">
        <f>IFERROR(__xludf.DUMMYFUNCTION("""COMPUTED_VALUE"""),"David Kimbro, Nicole Peckham, Adrienne Breef-Pilz")</f>
        <v>David Kimbro, Nicole Peckham, Adrienne Breef-Pilz</v>
      </c>
      <c r="P296" t="str">
        <f>IFERROR(__xludf.DUMMYFUNCTION("""COMPUTED_VALUE"""),"Pam")</f>
        <v>Pam</v>
      </c>
      <c r="Q296" t="str">
        <f>IFERROR(__xludf.DUMMYFUNCTION("""COMPUTED_VALUE"""),"Good")</f>
        <v>Good</v>
      </c>
      <c r="R296" t="str">
        <f>IFERROR(__xludf.DUMMYFUNCTION("""COMPUTED_VALUE"""),"Good")</f>
        <v>Good</v>
      </c>
      <c r="S296" t="str">
        <f>IFERROR(__xludf.DUMMYFUNCTION("""COMPUTED_VALUE"""),"Good")</f>
        <v>Good</v>
      </c>
      <c r="T296" t="str">
        <f>IFERROR(__xludf.DUMMYFUNCTION("""COMPUTED_VALUE"""),"Good")</f>
        <v>Good</v>
      </c>
      <c r="U296" t="str">
        <f>IFERROR(__xludf.DUMMYFUNCTION("""COMPUTED_VALUE"""),"Good")</f>
        <v>Good</v>
      </c>
      <c r="V296" t="str">
        <f>IFERROR(__xludf.DUMMYFUNCTION("""COMPUTED_VALUE"""),"Good")</f>
        <v>Good</v>
      </c>
      <c r="W296" t="str">
        <f>IFERROR(__xludf.DUMMYFUNCTION("""COMPUTED_VALUE"""),"Good")</f>
        <v>Good</v>
      </c>
      <c r="X296" t="str">
        <f>IFERROR(__xludf.DUMMYFUNCTION("""COMPUTED_VALUE"""),"Good")</f>
        <v>Good</v>
      </c>
      <c r="Y296" t="str">
        <f>IFERROR(__xludf.DUMMYFUNCTION("""COMPUTED_VALUE"""),"Good")</f>
        <v>Good</v>
      </c>
      <c r="Z296" t="str">
        <f>IFERROR(__xludf.DUMMYFUNCTION("""COMPUTED_VALUE"""),"Good")</f>
        <v>Good</v>
      </c>
      <c r="AA296" t="str">
        <f>IFERROR(__xludf.DUMMYFUNCTION("""COMPUTED_VALUE"""),"Good")</f>
        <v>Good</v>
      </c>
      <c r="AB296" t="str">
        <f>IFERROR(__xludf.DUMMYFUNCTION("""COMPUTED_VALUE"""),"Good")</f>
        <v>Good</v>
      </c>
      <c r="AC296" t="str">
        <f>IFERROR(__xludf.DUMMYFUNCTION("""COMPUTED_VALUE"""),"Good")</f>
        <v>Good</v>
      </c>
      <c r="AE296" s="11"/>
      <c r="AF296" t="s">
        <v>218</v>
      </c>
      <c r="AG296" s="17" t="s">
        <v>115</v>
      </c>
      <c r="AH296" s="12">
        <v>1000.0</v>
      </c>
      <c r="AI296" s="12" t="s">
        <v>839</v>
      </c>
      <c r="AJ296" s="19" t="s">
        <v>840</v>
      </c>
      <c r="AK296" s="20" t="str">
        <f>HYPERLINK("https://docs.google.com/document/d/190TNo4ZUiEWHJnPN5QI9eTlWaIaeW3i_-JNB6ri0AA4/edit?usp=drivesdk","Pamela Marcum - 5/9/2019 6:45 AM")</f>
        <v>Pamela Marcum - 5/9/2019 6:45 AM</v>
      </c>
      <c r="AL296" s="12" t="s">
        <v>841</v>
      </c>
    </row>
    <row r="297">
      <c r="A297" s="10">
        <f>IFERROR(__xludf.DUMMYFUNCTION("""COMPUTED_VALUE"""),43595.26505815972)</f>
        <v>43595.26506</v>
      </c>
      <c r="B297" s="11" t="str">
        <f>IFERROR(__xludf.DUMMYFUNCTION("""COMPUTED_VALUE"""),"Pamela Marcu")</f>
        <v>Pamela Marcu</v>
      </c>
      <c r="C297" t="str">
        <f>IFERROR(__xludf.DUMMYFUNCTION("""COMPUTED_VALUE"""),"Pamela.Marcum@dep.state.fl.us")</f>
        <v>Pamela.Marcum@dep.state.fl.us</v>
      </c>
      <c r="D297" t="str">
        <f>IFERROR(__xludf.DUMMYFUNCTION("""COMPUTED_VALUE"""),"Research/Nikki")</f>
        <v>Research/Nikki</v>
      </c>
      <c r="E297" t="str">
        <f>IFERROR(__xludf.DUMMYFUNCTION("""COMPUTED_VALUE"""),"Aunt Kate's")</f>
        <v>Aunt Kate's</v>
      </c>
      <c r="F297" s="13">
        <f>IFERROR(__xludf.DUMMYFUNCTION("""COMPUTED_VALUE"""),0.2708333333321207)</f>
        <v>0.2708333333</v>
      </c>
      <c r="G297" s="14">
        <f>IFERROR(__xludf.DUMMYFUNCTION("""COMPUTED_VALUE"""),43595.0)</f>
        <v>43595</v>
      </c>
      <c r="H297" t="str">
        <f>IFERROR(__xludf.DUMMYFUNCTION("""COMPUTED_VALUE"""),"Guana River")</f>
        <v>Guana River</v>
      </c>
      <c r="I297" s="15">
        <f>IFERROR(__xludf.DUMMYFUNCTION("""COMPUTED_VALUE"""),0.4583333333321207)</f>
        <v>0.4583333333</v>
      </c>
      <c r="J297" s="16">
        <f>IFERROR(__xludf.DUMMYFUNCTION("""COMPUTED_VALUE"""),43595.47916666667)</f>
        <v>43595.47917</v>
      </c>
      <c r="K297" t="str">
        <f>IFERROR(__xludf.DUMMYFUNCTION("""COMPUTED_VALUE"""),"20ft Sea Ark FL5351SJ UNF 2015")</f>
        <v>20ft Sea Ark FL5351SJ UNF 2015</v>
      </c>
      <c r="M297" t="str">
        <f>IFERROR(__xludf.DUMMYFUNCTION("""COMPUTED_VALUE"""),"Ford F150 2015 (White) - DEP21448")</f>
        <v>Ford F150 2015 (White) - DEP21448</v>
      </c>
      <c r="N297" t="str">
        <f>IFERROR(__xludf.DUMMYFUNCTION("""COMPUTED_VALUE"""),"Pam Marcum, (480) 332-5414")</f>
        <v>Pam Marcum, (480) 332-5414</v>
      </c>
      <c r="O297" t="str">
        <f>IFERROR(__xludf.DUMMYFUNCTION("""COMPUTED_VALUE"""),"Nicole Peckham, Adrienne Breef-Pilz, David Kimbro")</f>
        <v>Nicole Peckham, Adrienne Breef-Pilz, David Kimbro</v>
      </c>
      <c r="P297" t="str">
        <f>IFERROR(__xludf.DUMMYFUNCTION("""COMPUTED_VALUE"""),"Pam")</f>
        <v>Pam</v>
      </c>
      <c r="Q297" t="str">
        <f>IFERROR(__xludf.DUMMYFUNCTION("""COMPUTED_VALUE"""),"Good")</f>
        <v>Good</v>
      </c>
      <c r="R297" t="str">
        <f>IFERROR(__xludf.DUMMYFUNCTION("""COMPUTED_VALUE"""),"Good")</f>
        <v>Good</v>
      </c>
      <c r="S297" t="str">
        <f>IFERROR(__xludf.DUMMYFUNCTION("""COMPUTED_VALUE"""),"Good")</f>
        <v>Good</v>
      </c>
      <c r="T297" t="str">
        <f>IFERROR(__xludf.DUMMYFUNCTION("""COMPUTED_VALUE"""),"Good")</f>
        <v>Good</v>
      </c>
      <c r="U297" t="str">
        <f>IFERROR(__xludf.DUMMYFUNCTION("""COMPUTED_VALUE"""),"Good")</f>
        <v>Good</v>
      </c>
      <c r="V297" t="str">
        <f>IFERROR(__xludf.DUMMYFUNCTION("""COMPUTED_VALUE"""),"Good")</f>
        <v>Good</v>
      </c>
      <c r="W297" t="str">
        <f>IFERROR(__xludf.DUMMYFUNCTION("""COMPUTED_VALUE"""),"Good")</f>
        <v>Good</v>
      </c>
      <c r="X297" t="str">
        <f>IFERROR(__xludf.DUMMYFUNCTION("""COMPUTED_VALUE"""),"Good")</f>
        <v>Good</v>
      </c>
      <c r="Y297" t="str">
        <f>IFERROR(__xludf.DUMMYFUNCTION("""COMPUTED_VALUE"""),"Good")</f>
        <v>Good</v>
      </c>
      <c r="Z297" t="str">
        <f>IFERROR(__xludf.DUMMYFUNCTION("""COMPUTED_VALUE"""),"Good")</f>
        <v>Good</v>
      </c>
      <c r="AA297" t="str">
        <f>IFERROR(__xludf.DUMMYFUNCTION("""COMPUTED_VALUE"""),"Good")</f>
        <v>Good</v>
      </c>
      <c r="AB297" t="str">
        <f>IFERROR(__xludf.DUMMYFUNCTION("""COMPUTED_VALUE"""),"Good")</f>
        <v>Good</v>
      </c>
      <c r="AC297" t="str">
        <f>IFERROR(__xludf.DUMMYFUNCTION("""COMPUTED_VALUE"""),"Good")</f>
        <v>Good</v>
      </c>
      <c r="AE297" s="11"/>
      <c r="AF297" t="s">
        <v>218</v>
      </c>
      <c r="AG297" s="17" t="s">
        <v>18</v>
      </c>
      <c r="AH297" s="12">
        <v>1030.0</v>
      </c>
      <c r="AI297" s="12" t="s">
        <v>842</v>
      </c>
      <c r="AJ297" s="19" t="s">
        <v>843</v>
      </c>
      <c r="AK297" s="20" t="str">
        <f>HYPERLINK("https://docs.google.com/document/d/1_V2iYWUNuyPpcY9McAiWWBOBaQ-9nnGnLE3AXu3Ways/edit?usp=drivesdk","Pamela Marcu - 5/10/2019 6:30 AM")</f>
        <v>Pamela Marcu - 5/10/2019 6:30 AM</v>
      </c>
      <c r="AL297" s="12" t="s">
        <v>844</v>
      </c>
    </row>
    <row r="298">
      <c r="A298" s="10">
        <f>IFERROR(__xludf.DUMMYFUNCTION("""COMPUTED_VALUE"""),43599.34336379629)</f>
        <v>43599.34336</v>
      </c>
      <c r="B298" s="11" t="str">
        <f>IFERROR(__xludf.DUMMYFUNCTION("""COMPUTED_VALUE"""),"James Tomazinis")</f>
        <v>James Tomazinis</v>
      </c>
      <c r="C298" t="str">
        <f>IFERROR(__xludf.DUMMYFUNCTION("""COMPUTED_VALUE"""),"james.tomazinis@floridadep.gov")</f>
        <v>james.tomazinis@floridadep.gov</v>
      </c>
      <c r="D298" t="str">
        <f>IFERROR(__xludf.DUMMYFUNCTION("""COMPUTED_VALUE"""),"Stewardship (Aquatic)")</f>
        <v>Stewardship (Aquatic)</v>
      </c>
      <c r="E298" t="str">
        <f>IFERROR(__xludf.DUMMYFUNCTION("""COMPUTED_VALUE"""),"Vilano")</f>
        <v>Vilano</v>
      </c>
      <c r="F298" s="13">
        <f>IFERROR(__xludf.DUMMYFUNCTION("""COMPUTED_VALUE"""),0.3854166666678793)</f>
        <v>0.3854166667</v>
      </c>
      <c r="G298" s="14">
        <f>IFERROR(__xludf.DUMMYFUNCTION("""COMPUTED_VALUE"""),43599.0)</f>
        <v>43599</v>
      </c>
      <c r="H298" t="str">
        <f>IFERROR(__xludf.DUMMYFUNCTION("""COMPUTED_VALUE"""),"Tolomato Nekton Sites")</f>
        <v>Tolomato Nekton Sites</v>
      </c>
      <c r="I298" s="15">
        <f>IFERROR(__xludf.DUMMYFUNCTION("""COMPUTED_VALUE"""),0.6875)</f>
        <v>0.6875</v>
      </c>
      <c r="J298" s="16"/>
      <c r="K298" t="str">
        <f>IFERROR(__xludf.DUMMYFUNCTION("""COMPUTED_VALUE"""),"23ft Skiff (Bertha) FL7972LJ DEP07613")</f>
        <v>23ft Skiff (Bertha) FL7972LJ DEP07613</v>
      </c>
      <c r="M298" t="str">
        <f>IFERROR(__xludf.DUMMYFUNCTION("""COMPUTED_VALUE"""),"Ford F150 2015 (White) - DEP21448")</f>
        <v>Ford F150 2015 (White) - DEP21448</v>
      </c>
      <c r="N298" t="str">
        <f>IFERROR(__xludf.DUMMYFUNCTION("""COMPUTED_VALUE"""),"Jimmy Tomazinis, (904) 547-0094")</f>
        <v>Jimmy Tomazinis, (904) 547-0094</v>
      </c>
      <c r="O298" t="str">
        <f>IFERROR(__xludf.DUMMYFUNCTION("""COMPUTED_VALUE"""),"Amy Brownfield, Chris Kurtz, Ed Mahon")</f>
        <v>Amy Brownfield, Chris Kurtz, Ed Mahon</v>
      </c>
      <c r="P298" t="str">
        <f>IFERROR(__xludf.DUMMYFUNCTION("""COMPUTED_VALUE"""),"Jimmy")</f>
        <v>Jimmy</v>
      </c>
      <c r="Q298" t="str">
        <f>IFERROR(__xludf.DUMMYFUNCTION("""COMPUTED_VALUE"""),"Good")</f>
        <v>Good</v>
      </c>
      <c r="R298" t="str">
        <f>IFERROR(__xludf.DUMMYFUNCTION("""COMPUTED_VALUE"""),"Good")</f>
        <v>Good</v>
      </c>
      <c r="S298" t="str">
        <f>IFERROR(__xludf.DUMMYFUNCTION("""COMPUTED_VALUE"""),"Good")</f>
        <v>Good</v>
      </c>
      <c r="T298" t="str">
        <f>IFERROR(__xludf.DUMMYFUNCTION("""COMPUTED_VALUE"""),"Good")</f>
        <v>Good</v>
      </c>
      <c r="U298" t="str">
        <f>IFERROR(__xludf.DUMMYFUNCTION("""COMPUTED_VALUE"""),"Good")</f>
        <v>Good</v>
      </c>
      <c r="V298" t="str">
        <f>IFERROR(__xludf.DUMMYFUNCTION("""COMPUTED_VALUE"""),"Good")</f>
        <v>Good</v>
      </c>
      <c r="W298" t="str">
        <f>IFERROR(__xludf.DUMMYFUNCTION("""COMPUTED_VALUE"""),"Good")</f>
        <v>Good</v>
      </c>
      <c r="X298" t="str">
        <f>IFERROR(__xludf.DUMMYFUNCTION("""COMPUTED_VALUE"""),"Good")</f>
        <v>Good</v>
      </c>
      <c r="Y298" t="str">
        <f>IFERROR(__xludf.DUMMYFUNCTION("""COMPUTED_VALUE"""),"Good")</f>
        <v>Good</v>
      </c>
      <c r="Z298" t="str">
        <f>IFERROR(__xludf.DUMMYFUNCTION("""COMPUTED_VALUE"""),"Good")</f>
        <v>Good</v>
      </c>
      <c r="AA298" t="str">
        <f>IFERROR(__xludf.DUMMYFUNCTION("""COMPUTED_VALUE"""),"Good")</f>
        <v>Good</v>
      </c>
      <c r="AB298" t="str">
        <f>IFERROR(__xludf.DUMMYFUNCTION("""COMPUTED_VALUE"""),"Good")</f>
        <v>Good</v>
      </c>
      <c r="AC298" t="str">
        <f>IFERROR(__xludf.DUMMYFUNCTION("""COMPUTED_VALUE"""),"Good")</f>
        <v>Good</v>
      </c>
      <c r="AE298" s="11"/>
      <c r="AF298" t="s">
        <v>32</v>
      </c>
      <c r="AG298" s="17" t="s">
        <v>18</v>
      </c>
      <c r="AH298" s="12">
        <v>1640.0</v>
      </c>
      <c r="AI298" s="12" t="s">
        <v>845</v>
      </c>
      <c r="AJ298" s="19" t="s">
        <v>846</v>
      </c>
      <c r="AK298" s="20" t="str">
        <f>HYPERLINK("https://docs.google.com/document/d/1LBsjMCrOKskybnaVJZ8DrnF0haojvF7rUr38aeeaaBQ/edit?usp=drivesdk","James Tomazinis - 5/14/2019 9:15 AM")</f>
        <v>James Tomazinis - 5/14/2019 9:15 AM</v>
      </c>
      <c r="AL298" s="12" t="s">
        <v>847</v>
      </c>
    </row>
    <row r="299">
      <c r="A299" s="10">
        <f>IFERROR(__xludf.DUMMYFUNCTION("""COMPUTED_VALUE"""),43599.42866834491)</f>
        <v>43599.42867</v>
      </c>
      <c r="B299" s="11" t="str">
        <f>IFERROR(__xludf.DUMMYFUNCTION("""COMPUTED_VALUE"""),"Pamela Marcum")</f>
        <v>Pamela Marcum</v>
      </c>
      <c r="C299" t="str">
        <f>IFERROR(__xludf.DUMMYFUNCTION("""COMPUTED_VALUE"""),"pamela.marcum@dep.state.fl.us")</f>
        <v>pamela.marcum@dep.state.fl.us</v>
      </c>
      <c r="D299" t="str">
        <f>IFERROR(__xludf.DUMMYFUNCTION("""COMPUTED_VALUE"""),"Research/Nikki")</f>
        <v>Research/Nikki</v>
      </c>
      <c r="E299" t="str">
        <f>IFERROR(__xludf.DUMMYFUNCTION("""COMPUTED_VALUE"""),"Green Rd")</f>
        <v>Green Rd</v>
      </c>
      <c r="F299" s="13">
        <f>IFERROR(__xludf.DUMMYFUNCTION("""COMPUTED_VALUE"""),0.4375)</f>
        <v>0.4375</v>
      </c>
      <c r="G299" s="14">
        <f>IFERROR(__xludf.DUMMYFUNCTION("""COMPUTED_VALUE"""),43599.0)</f>
        <v>43599</v>
      </c>
      <c r="H299" t="str">
        <f>IFERROR(__xludf.DUMMYFUNCTION("""COMPUTED_VALUE"""),"Devils Elbow")</f>
        <v>Devils Elbow</v>
      </c>
      <c r="I299" s="15">
        <f>IFERROR(__xludf.DUMMYFUNCTION("""COMPUTED_VALUE"""),0.6666666666678793)</f>
        <v>0.6666666667</v>
      </c>
      <c r="J299" s="16">
        <f>IFERROR(__xludf.DUMMYFUNCTION("""COMPUTED_VALUE"""),43599.6875)</f>
        <v>43599.6875</v>
      </c>
      <c r="K299" t="str">
        <f>IFERROR(__xludf.DUMMYFUNCTION("""COMPUTED_VALUE"""),"17ft Skill FL0642GW DEP07239")</f>
        <v>17ft Skill FL0642GW DEP07239</v>
      </c>
      <c r="M299" t="str">
        <f>IFERROR(__xludf.DUMMYFUNCTION("""COMPUTED_VALUE"""),"Ford F150 2008 - DEP18041 (SWMP Thing)")</f>
        <v>Ford F150 2008 - DEP18041 (SWMP Thing)</v>
      </c>
      <c r="N299" t="str">
        <f>IFERROR(__xludf.DUMMYFUNCTION("""COMPUTED_VALUE"""),"Pam Marcum, (480) 332-5414")</f>
        <v>Pam Marcum, (480) 332-5414</v>
      </c>
      <c r="O299" t="str">
        <f>IFERROR(__xludf.DUMMYFUNCTION("""COMPUTED_VALUE"""),"Nicole Peckham, Adrienne Breef-Pilz")</f>
        <v>Nicole Peckham, Adrienne Breef-Pilz</v>
      </c>
      <c r="P299" t="str">
        <f>IFERROR(__xludf.DUMMYFUNCTION("""COMPUTED_VALUE"""),"Pam")</f>
        <v>Pam</v>
      </c>
      <c r="Q299" t="str">
        <f>IFERROR(__xludf.DUMMYFUNCTION("""COMPUTED_VALUE"""),"Good")</f>
        <v>Good</v>
      </c>
      <c r="R299" t="str">
        <f>IFERROR(__xludf.DUMMYFUNCTION("""COMPUTED_VALUE"""),"Good")</f>
        <v>Good</v>
      </c>
      <c r="S299" t="str">
        <f>IFERROR(__xludf.DUMMYFUNCTION("""COMPUTED_VALUE"""),"Good")</f>
        <v>Good</v>
      </c>
      <c r="T299" t="str">
        <f>IFERROR(__xludf.DUMMYFUNCTION("""COMPUTED_VALUE"""),"Good")</f>
        <v>Good</v>
      </c>
      <c r="U299" t="str">
        <f>IFERROR(__xludf.DUMMYFUNCTION("""COMPUTED_VALUE"""),"Good")</f>
        <v>Good</v>
      </c>
      <c r="V299" t="str">
        <f>IFERROR(__xludf.DUMMYFUNCTION("""COMPUTED_VALUE"""),"Good")</f>
        <v>Good</v>
      </c>
      <c r="W299" t="str">
        <f>IFERROR(__xludf.DUMMYFUNCTION("""COMPUTED_VALUE"""),"Good")</f>
        <v>Good</v>
      </c>
      <c r="X299" t="str">
        <f>IFERROR(__xludf.DUMMYFUNCTION("""COMPUTED_VALUE"""),"Good")</f>
        <v>Good</v>
      </c>
      <c r="Y299" t="str">
        <f>IFERROR(__xludf.DUMMYFUNCTION("""COMPUTED_VALUE"""),"Good")</f>
        <v>Good</v>
      </c>
      <c r="Z299" t="str">
        <f>IFERROR(__xludf.DUMMYFUNCTION("""COMPUTED_VALUE"""),"Good")</f>
        <v>Good</v>
      </c>
      <c r="AA299" t="str">
        <f>IFERROR(__xludf.DUMMYFUNCTION("""COMPUTED_VALUE"""),"Good")</f>
        <v>Good</v>
      </c>
      <c r="AB299" t="str">
        <f>IFERROR(__xludf.DUMMYFUNCTION("""COMPUTED_VALUE"""),"Good")</f>
        <v>Good</v>
      </c>
      <c r="AC299" t="str">
        <f>IFERROR(__xludf.DUMMYFUNCTION("""COMPUTED_VALUE"""),"Good")</f>
        <v>Good</v>
      </c>
      <c r="AE299" s="11"/>
      <c r="AF299" t="s">
        <v>218</v>
      </c>
      <c r="AG299" s="17" t="s">
        <v>18</v>
      </c>
      <c r="AH299" s="12">
        <v>1445.0</v>
      </c>
      <c r="AI299" s="12" t="s">
        <v>848</v>
      </c>
      <c r="AJ299" s="19" t="s">
        <v>849</v>
      </c>
      <c r="AK299" s="20" t="str">
        <f>HYPERLINK("https://docs.google.com/document/d/1UEl-2dca8hhWbxoBq3pZJzZcixkeZmJLnspPZQ9oT-Q/edit?usp=drivesdk","Pamela Marcum - 5/14/2019 10:30 AM")</f>
        <v>Pamela Marcum - 5/14/2019 10:30 AM</v>
      </c>
      <c r="AL299" s="12" t="s">
        <v>850</v>
      </c>
    </row>
    <row r="300">
      <c r="A300" s="10">
        <f>IFERROR(__xludf.DUMMYFUNCTION("""COMPUTED_VALUE"""),43600.35831609953)</f>
        <v>43600.35832</v>
      </c>
      <c r="B300" s="11" t="str">
        <f>IFERROR(__xludf.DUMMYFUNCTION("""COMPUTED_VALUE"""),"James Tomazinis")</f>
        <v>James Tomazinis</v>
      </c>
      <c r="C300" t="str">
        <f>IFERROR(__xludf.DUMMYFUNCTION("""COMPUTED_VALUE"""),"james.tomazinis@floridadep.gov")</f>
        <v>james.tomazinis@floridadep.gov</v>
      </c>
      <c r="D300" t="str">
        <f>IFERROR(__xludf.DUMMYFUNCTION("""COMPUTED_VALUE"""),"Stewardship (Aquatic)")</f>
        <v>Stewardship (Aquatic)</v>
      </c>
      <c r="E300" t="str">
        <f>IFERROR(__xludf.DUMMYFUNCTION("""COMPUTED_VALUE"""),"Vilano")</f>
        <v>Vilano</v>
      </c>
      <c r="F300" s="13">
        <f>IFERROR(__xludf.DUMMYFUNCTION("""COMPUTED_VALUE"""),0.3854166666678793)</f>
        <v>0.3854166667</v>
      </c>
      <c r="G300" s="14">
        <f>IFERROR(__xludf.DUMMYFUNCTION("""COMPUTED_VALUE"""),43600.0)</f>
        <v>43600</v>
      </c>
      <c r="H300" t="str">
        <f>IFERROR(__xludf.DUMMYFUNCTION("""COMPUTED_VALUE"""),"Matanzas Nekton sites")</f>
        <v>Matanzas Nekton sites</v>
      </c>
      <c r="I300" s="15">
        <f>IFERROR(__xludf.DUMMYFUNCTION("""COMPUTED_VALUE"""),0.6875)</f>
        <v>0.6875</v>
      </c>
      <c r="J300" s="16"/>
      <c r="K300" t="str">
        <f>IFERROR(__xludf.DUMMYFUNCTION("""COMPUTED_VALUE"""),"23ft Skiff (Bertha) FL7972LJ DEP07613")</f>
        <v>23ft Skiff (Bertha) FL7972LJ DEP07613</v>
      </c>
      <c r="M300" t="str">
        <f>IFERROR(__xludf.DUMMYFUNCTION("""COMPUTED_VALUE"""),"Ford F150 2015 (White) - DEP21448")</f>
        <v>Ford F150 2015 (White) - DEP21448</v>
      </c>
      <c r="N300" t="str">
        <f>IFERROR(__xludf.DUMMYFUNCTION("""COMPUTED_VALUE"""),"Jimmy Tomazinis, (904) 547-0094")</f>
        <v>Jimmy Tomazinis, (904) 547-0094</v>
      </c>
      <c r="O300" t="str">
        <f>IFERROR(__xludf.DUMMYFUNCTION("""COMPUTED_VALUE"""),"Suzi Porterfield, Amy Brownfield, Vincent Mclure")</f>
        <v>Suzi Porterfield, Amy Brownfield, Vincent Mclure</v>
      </c>
      <c r="P300" t="str">
        <f>IFERROR(__xludf.DUMMYFUNCTION("""COMPUTED_VALUE"""),"Jimmy")</f>
        <v>Jimmy</v>
      </c>
      <c r="Q300" t="str">
        <f>IFERROR(__xludf.DUMMYFUNCTION("""COMPUTED_VALUE"""),"Good")</f>
        <v>Good</v>
      </c>
      <c r="R300" t="str">
        <f>IFERROR(__xludf.DUMMYFUNCTION("""COMPUTED_VALUE"""),"Good")</f>
        <v>Good</v>
      </c>
      <c r="S300" t="str">
        <f>IFERROR(__xludf.DUMMYFUNCTION("""COMPUTED_VALUE"""),"Good")</f>
        <v>Good</v>
      </c>
      <c r="T300" t="str">
        <f>IFERROR(__xludf.DUMMYFUNCTION("""COMPUTED_VALUE"""),"Good")</f>
        <v>Good</v>
      </c>
      <c r="U300" t="str">
        <f>IFERROR(__xludf.DUMMYFUNCTION("""COMPUTED_VALUE"""),"Good")</f>
        <v>Good</v>
      </c>
      <c r="V300" t="str">
        <f>IFERROR(__xludf.DUMMYFUNCTION("""COMPUTED_VALUE"""),"Good")</f>
        <v>Good</v>
      </c>
      <c r="W300" t="str">
        <f>IFERROR(__xludf.DUMMYFUNCTION("""COMPUTED_VALUE"""),"Good")</f>
        <v>Good</v>
      </c>
      <c r="X300" t="str">
        <f>IFERROR(__xludf.DUMMYFUNCTION("""COMPUTED_VALUE"""),"Good")</f>
        <v>Good</v>
      </c>
      <c r="Y300" t="str">
        <f>IFERROR(__xludf.DUMMYFUNCTION("""COMPUTED_VALUE"""),"Good")</f>
        <v>Good</v>
      </c>
      <c r="Z300" t="str">
        <f>IFERROR(__xludf.DUMMYFUNCTION("""COMPUTED_VALUE"""),"Good")</f>
        <v>Good</v>
      </c>
      <c r="AA300" t="str">
        <f>IFERROR(__xludf.DUMMYFUNCTION("""COMPUTED_VALUE"""),"Good")</f>
        <v>Good</v>
      </c>
      <c r="AB300" t="str">
        <f>IFERROR(__xludf.DUMMYFUNCTION("""COMPUTED_VALUE"""),"Good")</f>
        <v>Good</v>
      </c>
      <c r="AC300" t="str">
        <f>IFERROR(__xludf.DUMMYFUNCTION("""COMPUTED_VALUE"""),"Good")</f>
        <v>Good</v>
      </c>
      <c r="AE300" s="11"/>
      <c r="AF300" t="s">
        <v>32</v>
      </c>
      <c r="AG300" s="17" t="s">
        <v>851</v>
      </c>
      <c r="AH300" s="12">
        <v>1600.0</v>
      </c>
      <c r="AI300" s="12" t="s">
        <v>852</v>
      </c>
      <c r="AJ300" s="19" t="s">
        <v>853</v>
      </c>
      <c r="AK300" s="20" t="str">
        <f>HYPERLINK("https://docs.google.com/document/d/1tRygHe_g-Mb2L8SiXS2htKn66bxuHvsx3mLZX6RrvRw/edit?usp=drivesdk","James Tomazinis - 5/15/2019 9:15 AM")</f>
        <v>James Tomazinis - 5/15/2019 9:15 AM</v>
      </c>
      <c r="AL300" s="12" t="s">
        <v>854</v>
      </c>
    </row>
    <row r="301">
      <c r="A301" s="10">
        <f>IFERROR(__xludf.DUMMYFUNCTION("""COMPUTED_VALUE"""),43600.49849452546)</f>
        <v>43600.49849</v>
      </c>
      <c r="B301" s="11" t="str">
        <f>IFERROR(__xludf.DUMMYFUNCTION("""COMPUTED_VALUE"""),"Silas Tanner")</f>
        <v>Silas Tanner</v>
      </c>
      <c r="C301" t="str">
        <f>IFERROR(__xludf.DUMMYFUNCTION("""COMPUTED_VALUE"""),"silas.tanner@floridadep.gov")</f>
        <v>silas.tanner@floridadep.gov</v>
      </c>
      <c r="D301" t="str">
        <f>IFERROR(__xludf.DUMMYFUNCTION("""COMPUTED_VALUE"""),"Research/Nikki")</f>
        <v>Research/Nikki</v>
      </c>
      <c r="E301" t="str">
        <f>IFERROR(__xludf.DUMMYFUNCTION("""COMPUTED_VALUE"""),"Vilano Landing")</f>
        <v>Vilano Landing</v>
      </c>
      <c r="F301" s="13">
        <f>IFERROR(__xludf.DUMMYFUNCTION("""COMPUTED_VALUE"""),0.3229166666678793)</f>
        <v>0.3229166667</v>
      </c>
      <c r="G301" s="14">
        <f>IFERROR(__xludf.DUMMYFUNCTION("""COMPUTED_VALUE"""),43601.0)</f>
        <v>43601</v>
      </c>
      <c r="H301" t="str">
        <f>IFERROR(__xludf.DUMMYFUNCTION("""COMPUTED_VALUE"""),"ICW SWMP sites")</f>
        <v>ICW SWMP sites</v>
      </c>
      <c r="I301" s="15">
        <f>IFERROR(__xludf.DUMMYFUNCTION("""COMPUTED_VALUE"""),0.53125)</f>
        <v>0.53125</v>
      </c>
      <c r="J301" s="16">
        <f>IFERROR(__xludf.DUMMYFUNCTION("""COMPUTED_VALUE"""),43601.54166666667)</f>
        <v>43601.54167</v>
      </c>
      <c r="K301" t="str">
        <f>IFERROR(__xludf.DUMMYFUNCTION("""COMPUTED_VALUE"""),"20ft Sea Ark FL5351SJ UNF 2015")</f>
        <v>20ft Sea Ark FL5351SJ UNF 2015</v>
      </c>
      <c r="M301" t="str">
        <f>IFERROR(__xludf.DUMMYFUNCTION("""COMPUTED_VALUE"""),"Ford F250 2017 (Moby Dix) - DEP0021578")</f>
        <v>Ford F250 2017 (Moby Dix) - DEP0021578</v>
      </c>
      <c r="N301" t="str">
        <f>IFERROR(__xludf.DUMMYFUNCTION("""COMPUTED_VALUE"""),"Silas Tanner, (904) 483-8423")</f>
        <v>Silas Tanner, (904) 483-8423</v>
      </c>
      <c r="O301" t="str">
        <f>IFERROR(__xludf.DUMMYFUNCTION("""COMPUTED_VALUE"""),"Charles Snavely")</f>
        <v>Charles Snavely</v>
      </c>
      <c r="P301" t="str">
        <f>IFERROR(__xludf.DUMMYFUNCTION("""COMPUTED_VALUE"""),"S. Tanner")</f>
        <v>S. Tanner</v>
      </c>
      <c r="Q301" t="str">
        <f>IFERROR(__xludf.DUMMYFUNCTION("""COMPUTED_VALUE"""),"Good")</f>
        <v>Good</v>
      </c>
      <c r="R301" t="str">
        <f>IFERROR(__xludf.DUMMYFUNCTION("""COMPUTED_VALUE"""),"Good")</f>
        <v>Good</v>
      </c>
      <c r="S301" t="str">
        <f>IFERROR(__xludf.DUMMYFUNCTION("""COMPUTED_VALUE"""),"Good")</f>
        <v>Good</v>
      </c>
      <c r="T301" t="str">
        <f>IFERROR(__xludf.DUMMYFUNCTION("""COMPUTED_VALUE"""),"Good")</f>
        <v>Good</v>
      </c>
      <c r="U301" t="str">
        <f>IFERROR(__xludf.DUMMYFUNCTION("""COMPUTED_VALUE"""),"Good")</f>
        <v>Good</v>
      </c>
      <c r="V301" t="str">
        <f>IFERROR(__xludf.DUMMYFUNCTION("""COMPUTED_VALUE"""),"Good")</f>
        <v>Good</v>
      </c>
      <c r="W301" t="str">
        <f>IFERROR(__xludf.DUMMYFUNCTION("""COMPUTED_VALUE"""),"Good")</f>
        <v>Good</v>
      </c>
      <c r="X301" t="str">
        <f>IFERROR(__xludf.DUMMYFUNCTION("""COMPUTED_VALUE"""),"Good")</f>
        <v>Good</v>
      </c>
      <c r="Y301" t="str">
        <f>IFERROR(__xludf.DUMMYFUNCTION("""COMPUTED_VALUE"""),"Good")</f>
        <v>Good</v>
      </c>
      <c r="Z301" t="str">
        <f>IFERROR(__xludf.DUMMYFUNCTION("""COMPUTED_VALUE"""),"Good")</f>
        <v>Good</v>
      </c>
      <c r="AA301" t="str">
        <f>IFERROR(__xludf.DUMMYFUNCTION("""COMPUTED_VALUE"""),"Good")</f>
        <v>Good</v>
      </c>
      <c r="AB301" t="str">
        <f>IFERROR(__xludf.DUMMYFUNCTION("""COMPUTED_VALUE"""),"Good")</f>
        <v>Good</v>
      </c>
      <c r="AC301" t="str">
        <f>IFERROR(__xludf.DUMMYFUNCTION("""COMPUTED_VALUE"""),"Good")</f>
        <v>Good</v>
      </c>
      <c r="AE301" s="11"/>
      <c r="AF301" t="s">
        <v>218</v>
      </c>
      <c r="AG301" s="17" t="s">
        <v>128</v>
      </c>
      <c r="AH301" s="12">
        <v>1135.0</v>
      </c>
      <c r="AI301" s="12" t="s">
        <v>855</v>
      </c>
      <c r="AJ301" s="19" t="s">
        <v>856</v>
      </c>
      <c r="AK301" s="20" t="str">
        <f>HYPERLINK("https://docs.google.com/document/d/1pqnHvRBe93jYVA63NlfI2hkZWWO8LEXrZ0jP21_TsIw/edit?usp=drivesdk","Silas Tanner - 5/16/2019 7:45 AM")</f>
        <v>Silas Tanner - 5/16/2019 7:45 AM</v>
      </c>
      <c r="AL301" s="12" t="s">
        <v>857</v>
      </c>
    </row>
    <row r="302">
      <c r="A302" s="10">
        <f>IFERROR(__xludf.DUMMYFUNCTION("""COMPUTED_VALUE"""),43600.72839038194)</f>
        <v>43600.72839</v>
      </c>
      <c r="B302" s="11" t="str">
        <f>IFERROR(__xludf.DUMMYFUNCTION("""COMPUTED_VALUE"""),"James Tomazinis")</f>
        <v>James Tomazinis</v>
      </c>
      <c r="C302" t="str">
        <f>IFERROR(__xludf.DUMMYFUNCTION("""COMPUTED_VALUE"""),"james.tomazinis@floridadep.gov")</f>
        <v>james.tomazinis@floridadep.gov</v>
      </c>
      <c r="D302" t="str">
        <f>IFERROR(__xludf.DUMMYFUNCTION("""COMPUTED_VALUE"""),"Stewardship (Aquatic)")</f>
        <v>Stewardship (Aquatic)</v>
      </c>
      <c r="E302" t="str">
        <f>IFERROR(__xludf.DUMMYFUNCTION("""COMPUTED_VALUE"""),"Bings")</f>
        <v>Bings</v>
      </c>
      <c r="F302" s="13">
        <f>IFERROR(__xludf.DUMMYFUNCTION("""COMPUTED_VALUE"""),0.4166666666678793)</f>
        <v>0.4166666667</v>
      </c>
      <c r="G302" s="14">
        <f>IFERROR(__xludf.DUMMYFUNCTION("""COMPUTED_VALUE"""),43601.0)</f>
        <v>43601</v>
      </c>
      <c r="H302" t="str">
        <f>IFERROR(__xludf.DUMMYFUNCTION("""COMPUTED_VALUE"""),"Netkon sites 17,18,19,20")</f>
        <v>Netkon sites 17,18,19,20</v>
      </c>
      <c r="I302" s="15">
        <f>IFERROR(__xludf.DUMMYFUNCTION("""COMPUTED_VALUE"""),0.5833333333321207)</f>
        <v>0.5833333333</v>
      </c>
      <c r="J302" s="16"/>
      <c r="K302" t="str">
        <f>IFERROR(__xludf.DUMMYFUNCTION("""COMPUTED_VALUE"""),"23ft Skiff (Bertha) FL7972LJ DEP07613")</f>
        <v>23ft Skiff (Bertha) FL7972LJ DEP07613</v>
      </c>
      <c r="M302" t="str">
        <f>IFERROR(__xludf.DUMMYFUNCTION("""COMPUTED_VALUE"""),"Ford F150 2015 (White) - DEP21448")</f>
        <v>Ford F150 2015 (White) - DEP21448</v>
      </c>
      <c r="N302" t="str">
        <f>IFERROR(__xludf.DUMMYFUNCTION("""COMPUTED_VALUE"""),"Jimmy Tomazinis, (904) 547-0094, Mike Dickson")</f>
        <v>Jimmy Tomazinis, (904) 547-0094, Mike Dickson</v>
      </c>
      <c r="O302" t="str">
        <f>IFERROR(__xludf.DUMMYFUNCTION("""COMPUTED_VALUE"""),"Chris Kurtz, Suzi Porterfield")</f>
        <v>Chris Kurtz, Suzi Porterfield</v>
      </c>
      <c r="P302" t="str">
        <f>IFERROR(__xludf.DUMMYFUNCTION("""COMPUTED_VALUE"""),"Jimmy")</f>
        <v>Jimmy</v>
      </c>
      <c r="Q302" t="str">
        <f>IFERROR(__xludf.DUMMYFUNCTION("""COMPUTED_VALUE"""),"Good")</f>
        <v>Good</v>
      </c>
      <c r="R302" t="str">
        <f>IFERROR(__xludf.DUMMYFUNCTION("""COMPUTED_VALUE"""),"Good")</f>
        <v>Good</v>
      </c>
      <c r="S302" t="str">
        <f>IFERROR(__xludf.DUMMYFUNCTION("""COMPUTED_VALUE"""),"Good")</f>
        <v>Good</v>
      </c>
      <c r="T302" t="str">
        <f>IFERROR(__xludf.DUMMYFUNCTION("""COMPUTED_VALUE"""),"Good")</f>
        <v>Good</v>
      </c>
      <c r="U302" t="str">
        <f>IFERROR(__xludf.DUMMYFUNCTION("""COMPUTED_VALUE"""),"Good")</f>
        <v>Good</v>
      </c>
      <c r="V302" t="str">
        <f>IFERROR(__xludf.DUMMYFUNCTION("""COMPUTED_VALUE"""),"Good")</f>
        <v>Good</v>
      </c>
      <c r="W302" t="str">
        <f>IFERROR(__xludf.DUMMYFUNCTION("""COMPUTED_VALUE"""),"Good")</f>
        <v>Good</v>
      </c>
      <c r="X302" t="str">
        <f>IFERROR(__xludf.DUMMYFUNCTION("""COMPUTED_VALUE"""),"Good")</f>
        <v>Good</v>
      </c>
      <c r="Y302" t="str">
        <f>IFERROR(__xludf.DUMMYFUNCTION("""COMPUTED_VALUE"""),"Good")</f>
        <v>Good</v>
      </c>
      <c r="Z302" t="str">
        <f>IFERROR(__xludf.DUMMYFUNCTION("""COMPUTED_VALUE"""),"Good")</f>
        <v>Good</v>
      </c>
      <c r="AA302" t="str">
        <f>IFERROR(__xludf.DUMMYFUNCTION("""COMPUTED_VALUE"""),"Good")</f>
        <v>Good</v>
      </c>
      <c r="AB302" t="str">
        <f>IFERROR(__xludf.DUMMYFUNCTION("""COMPUTED_VALUE"""),"Good")</f>
        <v>Good</v>
      </c>
      <c r="AC302" t="str">
        <f>IFERROR(__xludf.DUMMYFUNCTION("""COMPUTED_VALUE"""),"Good")</f>
        <v>Good</v>
      </c>
      <c r="AE302" s="11"/>
      <c r="AF302" t="s">
        <v>32</v>
      </c>
      <c r="AG302" s="17" t="s">
        <v>128</v>
      </c>
      <c r="AH302" s="12">
        <v>1430.0</v>
      </c>
      <c r="AI302" s="12" t="s">
        <v>858</v>
      </c>
      <c r="AJ302" s="19" t="s">
        <v>859</v>
      </c>
      <c r="AK302" s="20" t="str">
        <f>HYPERLINK("https://docs.google.com/document/d/1hNWRIRHrwQ2y_KjvuP6GF3lI-qpLwHP1zU8ba6Th2A8/edit?usp=drivesdk","James Tomazinis - 5/16/2019 10:00 AM")</f>
        <v>James Tomazinis - 5/16/2019 10:00 AM</v>
      </c>
      <c r="AL302" s="12" t="s">
        <v>860</v>
      </c>
    </row>
    <row r="303">
      <c r="A303" s="10">
        <f>IFERROR(__xludf.DUMMYFUNCTION("""COMPUTED_VALUE"""),43601.52554824074)</f>
        <v>43601.52555</v>
      </c>
      <c r="B303" s="11" t="str">
        <f>IFERROR(__xludf.DUMMYFUNCTION("""COMPUTED_VALUE"""),"Pamela Marcum")</f>
        <v>Pamela Marcum</v>
      </c>
      <c r="C303" t="str">
        <f>IFERROR(__xludf.DUMMYFUNCTION("""COMPUTED_VALUE"""),"Pamela.Marcum@dep.state.fl.us")</f>
        <v>Pamela.Marcum@dep.state.fl.us</v>
      </c>
      <c r="D303" t="str">
        <f>IFERROR(__xludf.DUMMYFUNCTION("""COMPUTED_VALUE"""),"Research/Nikki")</f>
        <v>Research/Nikki</v>
      </c>
      <c r="E303" t="str">
        <f>IFERROR(__xludf.DUMMYFUNCTION("""COMPUTED_VALUE"""),"Green Rd")</f>
        <v>Green Rd</v>
      </c>
      <c r="F303" s="13">
        <f>IFERROR(__xludf.DUMMYFUNCTION("""COMPUTED_VALUE"""),0.59375)</f>
        <v>0.59375</v>
      </c>
      <c r="G303" s="14">
        <f>IFERROR(__xludf.DUMMYFUNCTION("""COMPUTED_VALUE"""),43601.0)</f>
        <v>43601</v>
      </c>
      <c r="H303" t="str">
        <f>IFERROR(__xludf.DUMMYFUNCTION("""COMPUTED_VALUE"""),"Matanzas River - Butler area")</f>
        <v>Matanzas River - Butler area</v>
      </c>
      <c r="I303" s="15">
        <f>IFERROR(__xludf.DUMMYFUNCTION("""COMPUTED_VALUE"""),0.7708333333321207)</f>
        <v>0.7708333333</v>
      </c>
      <c r="J303" s="16">
        <f>IFERROR(__xludf.DUMMYFUNCTION("""COMPUTED_VALUE"""),43601.79166666667)</f>
        <v>43601.79167</v>
      </c>
      <c r="K303" t="str">
        <f>IFERROR(__xludf.DUMMYFUNCTION("""COMPUTED_VALUE"""),"17ft Skill FL0642GW DEP07239")</f>
        <v>17ft Skill FL0642GW DEP07239</v>
      </c>
      <c r="M303" t="str">
        <f>IFERROR(__xludf.DUMMYFUNCTION("""COMPUTED_VALUE"""),"Ford F150 2008 - DEP18041 (SWMP Thing)")</f>
        <v>Ford F150 2008 - DEP18041 (SWMP Thing)</v>
      </c>
      <c r="N303" t="str">
        <f>IFERROR(__xludf.DUMMYFUNCTION("""COMPUTED_VALUE"""),"Pam Marcum, (480) 332-5414")</f>
        <v>Pam Marcum, (480) 332-5414</v>
      </c>
      <c r="O303" t="str">
        <f>IFERROR(__xludf.DUMMYFUNCTION("""COMPUTED_VALUE"""),"Nicole Peckham, Adrienne Breef-Pilz")</f>
        <v>Nicole Peckham, Adrienne Breef-Pilz</v>
      </c>
      <c r="P303" t="str">
        <f>IFERROR(__xludf.DUMMYFUNCTION("""COMPUTED_VALUE"""),"Pam")</f>
        <v>Pam</v>
      </c>
      <c r="Q303" t="str">
        <f>IFERROR(__xludf.DUMMYFUNCTION("""COMPUTED_VALUE"""),"Good")</f>
        <v>Good</v>
      </c>
      <c r="R303" t="str">
        <f>IFERROR(__xludf.DUMMYFUNCTION("""COMPUTED_VALUE"""),"Good")</f>
        <v>Good</v>
      </c>
      <c r="S303" t="str">
        <f>IFERROR(__xludf.DUMMYFUNCTION("""COMPUTED_VALUE"""),"Good")</f>
        <v>Good</v>
      </c>
      <c r="T303" t="str">
        <f>IFERROR(__xludf.DUMMYFUNCTION("""COMPUTED_VALUE"""),"Good")</f>
        <v>Good</v>
      </c>
      <c r="U303" t="str">
        <f>IFERROR(__xludf.DUMMYFUNCTION("""COMPUTED_VALUE"""),"Good")</f>
        <v>Good</v>
      </c>
      <c r="V303" t="str">
        <f>IFERROR(__xludf.DUMMYFUNCTION("""COMPUTED_VALUE"""),"Good")</f>
        <v>Good</v>
      </c>
      <c r="W303" t="str">
        <f>IFERROR(__xludf.DUMMYFUNCTION("""COMPUTED_VALUE"""),"Good")</f>
        <v>Good</v>
      </c>
      <c r="X303" t="str">
        <f>IFERROR(__xludf.DUMMYFUNCTION("""COMPUTED_VALUE"""),"Good")</f>
        <v>Good</v>
      </c>
      <c r="Y303" t="str">
        <f>IFERROR(__xludf.DUMMYFUNCTION("""COMPUTED_VALUE"""),"Good")</f>
        <v>Good</v>
      </c>
      <c r="Z303" t="str">
        <f>IFERROR(__xludf.DUMMYFUNCTION("""COMPUTED_VALUE"""),"Good")</f>
        <v>Good</v>
      </c>
      <c r="AA303" t="str">
        <f>IFERROR(__xludf.DUMMYFUNCTION("""COMPUTED_VALUE"""),"Good")</f>
        <v>Good</v>
      </c>
      <c r="AB303" t="str">
        <f>IFERROR(__xludf.DUMMYFUNCTION("""COMPUTED_VALUE"""),"Good")</f>
        <v>Good</v>
      </c>
      <c r="AC303" t="str">
        <f>IFERROR(__xludf.DUMMYFUNCTION("""COMPUTED_VALUE"""),"Good")</f>
        <v>Good</v>
      </c>
      <c r="AE303" s="11"/>
      <c r="AF303" t="s">
        <v>218</v>
      </c>
      <c r="AG303" s="17" t="s">
        <v>43</v>
      </c>
      <c r="AH303" s="12">
        <v>1610.0</v>
      </c>
      <c r="AI303" s="12" t="s">
        <v>861</v>
      </c>
      <c r="AJ303" s="19" t="s">
        <v>862</v>
      </c>
      <c r="AK303" s="20" t="str">
        <f>HYPERLINK("https://docs.google.com/document/d/1jQmJ2nmws9NbG4unV8L7tknjhGikOp5Wp60WoX0r9SU/edit?usp=drivesdk","Pamela Marcum - 5/16/2019 2:15 PM")</f>
        <v>Pamela Marcum - 5/16/2019 2:15 PM</v>
      </c>
      <c r="AL303" s="12" t="s">
        <v>863</v>
      </c>
    </row>
    <row r="304">
      <c r="A304" s="10">
        <f>IFERROR(__xludf.DUMMYFUNCTION("""COMPUTED_VALUE"""),43602.58879569444)</f>
        <v>43602.5888</v>
      </c>
      <c r="B304" s="11" t="str">
        <f>IFERROR(__xludf.DUMMYFUNCTION("""COMPUTED_VALUE"""),"Pam Marcum")</f>
        <v>Pam Marcum</v>
      </c>
      <c r="C304" t="str">
        <f>IFERROR(__xludf.DUMMYFUNCTION("""COMPUTED_VALUE"""),"Pamela.Marcum@dep.state.fl.us")</f>
        <v>Pamela.Marcum@dep.state.fl.us</v>
      </c>
      <c r="D304" t="str">
        <f>IFERROR(__xludf.DUMMYFUNCTION("""COMPUTED_VALUE"""),"Research/Nikki")</f>
        <v>Research/Nikki</v>
      </c>
      <c r="E304" t="str">
        <f>IFERROR(__xludf.DUMMYFUNCTION("""COMPUTED_VALUE"""),"Green Rd")</f>
        <v>Green Rd</v>
      </c>
      <c r="F304" s="13">
        <f>IFERROR(__xludf.DUMMYFUNCTION("""COMPUTED_VALUE"""),0.5833333333321207)</f>
        <v>0.5833333333</v>
      </c>
      <c r="G304" s="14">
        <f>IFERROR(__xludf.DUMMYFUNCTION("""COMPUTED_VALUE"""),43602.0)</f>
        <v>43602</v>
      </c>
      <c r="H304" t="str">
        <f>IFERROR(__xludf.DUMMYFUNCTION("""COMPUTED_VALUE"""),"Moses Flats")</f>
        <v>Moses Flats</v>
      </c>
      <c r="I304" s="15">
        <f>IFERROR(__xludf.DUMMYFUNCTION("""COMPUTED_VALUE"""),0.7083333333321207)</f>
        <v>0.7083333333</v>
      </c>
      <c r="J304" s="16">
        <f>IFERROR(__xludf.DUMMYFUNCTION("""COMPUTED_VALUE"""),43602.72916666667)</f>
        <v>43602.72917</v>
      </c>
      <c r="K304" t="str">
        <f>IFERROR(__xludf.DUMMYFUNCTION("""COMPUTED_VALUE"""),"17ft Skill FL0642GW DEP07239")</f>
        <v>17ft Skill FL0642GW DEP07239</v>
      </c>
      <c r="M304" t="str">
        <f>IFERROR(__xludf.DUMMYFUNCTION("""COMPUTED_VALUE"""),"2018 F150 AP")</f>
        <v>2018 F150 AP</v>
      </c>
      <c r="N304" t="str">
        <f>IFERROR(__xludf.DUMMYFUNCTION("""COMPUTED_VALUE"""),"Pam Marcum, (480) 332-5414")</f>
        <v>Pam Marcum, (480) 332-5414</v>
      </c>
      <c r="O304" t="str">
        <f>IFERROR(__xludf.DUMMYFUNCTION("""COMPUTED_VALUE"""),"Nicole Peckham, Adrienne Breef-Pilz")</f>
        <v>Nicole Peckham, Adrienne Breef-Pilz</v>
      </c>
      <c r="P304" t="str">
        <f>IFERROR(__xludf.DUMMYFUNCTION("""COMPUTED_VALUE"""),"Pam")</f>
        <v>Pam</v>
      </c>
      <c r="Q304" t="str">
        <f>IFERROR(__xludf.DUMMYFUNCTION("""COMPUTED_VALUE"""),"Good")</f>
        <v>Good</v>
      </c>
      <c r="R304" t="str">
        <f>IFERROR(__xludf.DUMMYFUNCTION("""COMPUTED_VALUE"""),"Good")</f>
        <v>Good</v>
      </c>
      <c r="S304" t="str">
        <f>IFERROR(__xludf.DUMMYFUNCTION("""COMPUTED_VALUE"""),"Good")</f>
        <v>Good</v>
      </c>
      <c r="T304" t="str">
        <f>IFERROR(__xludf.DUMMYFUNCTION("""COMPUTED_VALUE"""),"Good")</f>
        <v>Good</v>
      </c>
      <c r="U304" t="str">
        <f>IFERROR(__xludf.DUMMYFUNCTION("""COMPUTED_VALUE"""),"Good")</f>
        <v>Good</v>
      </c>
      <c r="V304" t="str">
        <f>IFERROR(__xludf.DUMMYFUNCTION("""COMPUTED_VALUE"""),"Good")</f>
        <v>Good</v>
      </c>
      <c r="W304" t="str">
        <f>IFERROR(__xludf.DUMMYFUNCTION("""COMPUTED_VALUE"""),"Good")</f>
        <v>Good</v>
      </c>
      <c r="X304" t="str">
        <f>IFERROR(__xludf.DUMMYFUNCTION("""COMPUTED_VALUE"""),"Good")</f>
        <v>Good</v>
      </c>
      <c r="Y304" t="str">
        <f>IFERROR(__xludf.DUMMYFUNCTION("""COMPUTED_VALUE"""),"Good")</f>
        <v>Good</v>
      </c>
      <c r="Z304" t="str">
        <f>IFERROR(__xludf.DUMMYFUNCTION("""COMPUTED_VALUE"""),"Good")</f>
        <v>Good</v>
      </c>
      <c r="AA304" t="str">
        <f>IFERROR(__xludf.DUMMYFUNCTION("""COMPUTED_VALUE"""),"Good")</f>
        <v>Good</v>
      </c>
      <c r="AB304" t="str">
        <f>IFERROR(__xludf.DUMMYFUNCTION("""COMPUTED_VALUE"""),"Good")</f>
        <v>Good</v>
      </c>
      <c r="AC304" t="str">
        <f>IFERROR(__xludf.DUMMYFUNCTION("""COMPUTED_VALUE"""),"Good")</f>
        <v>Good</v>
      </c>
      <c r="AE304" s="11"/>
      <c r="AF304" t="s">
        <v>218</v>
      </c>
      <c r="AG304" s="17" t="s">
        <v>43</v>
      </c>
      <c r="AH304" s="12">
        <v>1715.0</v>
      </c>
      <c r="AI304" s="12" t="s">
        <v>864</v>
      </c>
      <c r="AJ304" s="19" t="s">
        <v>865</v>
      </c>
      <c r="AK304" s="20" t="str">
        <f>HYPERLINK("https://docs.google.com/document/d/1nwRxq9QzMWOE6F4rVgHmRuocKZ9SkDOahsobebfl3uQ/edit?usp=drivesdk","Pam Marcum - 5/17/2019 2:00 PM")</f>
        <v>Pam Marcum - 5/17/2019 2:00 PM</v>
      </c>
      <c r="AL304" s="12" t="s">
        <v>866</v>
      </c>
    </row>
    <row r="305">
      <c r="A305" s="10">
        <f>IFERROR(__xludf.DUMMYFUNCTION("""COMPUTED_VALUE"""),43602.70531255787)</f>
        <v>43602.70531</v>
      </c>
      <c r="B305" s="11" t="str">
        <f>IFERROR(__xludf.DUMMYFUNCTION("""COMPUTED_VALUE"""),"James Tomazinis")</f>
        <v>James Tomazinis</v>
      </c>
      <c r="C305" t="str">
        <f>IFERROR(__xludf.DUMMYFUNCTION("""COMPUTED_VALUE"""),"james.tomazinis@floridadep.gov")</f>
        <v>james.tomazinis@floridadep.gov</v>
      </c>
      <c r="D305" t="str">
        <f>IFERROR(__xludf.DUMMYFUNCTION("""COMPUTED_VALUE"""),"Stewardship (Aquatic)")</f>
        <v>Stewardship (Aquatic)</v>
      </c>
      <c r="E305" t="str">
        <f>IFERROR(__xludf.DUMMYFUNCTION("""COMPUTED_VALUE"""),"Aunt Kates")</f>
        <v>Aunt Kates</v>
      </c>
      <c r="F305" s="13">
        <f>IFERROR(__xludf.DUMMYFUNCTION("""COMPUTED_VALUE"""),0.3854166666678793)</f>
        <v>0.3854166667</v>
      </c>
      <c r="G305" s="14">
        <f>IFERROR(__xludf.DUMMYFUNCTION("""COMPUTED_VALUE"""),43603.0)</f>
        <v>43603</v>
      </c>
      <c r="H305" t="str">
        <f>IFERROR(__xludf.DUMMYFUNCTION("""COMPUTED_VALUE"""),"Tolomato River/Guana")</f>
        <v>Tolomato River/Guana</v>
      </c>
      <c r="I305" s="15">
        <f>IFERROR(__xludf.DUMMYFUNCTION("""COMPUTED_VALUE"""),0.5833333333321207)</f>
        <v>0.5833333333</v>
      </c>
      <c r="J305" s="16"/>
      <c r="K305" t="str">
        <f>IFERROR(__xludf.DUMMYFUNCTION("""COMPUTED_VALUE"""),"23ft Skiff (Bertha) FL7972LJ DEP07613")</f>
        <v>23ft Skiff (Bertha) FL7972LJ DEP07613</v>
      </c>
      <c r="M305" t="str">
        <f>IFERROR(__xludf.DUMMYFUNCTION("""COMPUTED_VALUE"""),"Ford F150 2015 (White) - DEP21448")</f>
        <v>Ford F150 2015 (White) - DEP21448</v>
      </c>
      <c r="N305" t="str">
        <f>IFERROR(__xludf.DUMMYFUNCTION("""COMPUTED_VALUE"""),"Jimmy Tomazinis, (904) 547-0094")</f>
        <v>Jimmy Tomazinis, (904) 547-0094</v>
      </c>
      <c r="O305" t="str">
        <f>IFERROR(__xludf.DUMMYFUNCTION("""COMPUTED_VALUE"""),"Joe McCoy and students")</f>
        <v>Joe McCoy and students</v>
      </c>
      <c r="P305" t="str">
        <f>IFERROR(__xludf.DUMMYFUNCTION("""COMPUTED_VALUE"""),"Jimmy")</f>
        <v>Jimmy</v>
      </c>
      <c r="Q305" t="str">
        <f>IFERROR(__xludf.DUMMYFUNCTION("""COMPUTED_VALUE"""),"Good")</f>
        <v>Good</v>
      </c>
      <c r="R305" t="str">
        <f>IFERROR(__xludf.DUMMYFUNCTION("""COMPUTED_VALUE"""),"Good")</f>
        <v>Good</v>
      </c>
      <c r="S305" t="str">
        <f>IFERROR(__xludf.DUMMYFUNCTION("""COMPUTED_VALUE"""),"Good")</f>
        <v>Good</v>
      </c>
      <c r="T305" t="str">
        <f>IFERROR(__xludf.DUMMYFUNCTION("""COMPUTED_VALUE"""),"Good")</f>
        <v>Good</v>
      </c>
      <c r="U305" t="str">
        <f>IFERROR(__xludf.DUMMYFUNCTION("""COMPUTED_VALUE"""),"Good")</f>
        <v>Good</v>
      </c>
      <c r="V305" t="str">
        <f>IFERROR(__xludf.DUMMYFUNCTION("""COMPUTED_VALUE"""),"Good")</f>
        <v>Good</v>
      </c>
      <c r="W305" t="str">
        <f>IFERROR(__xludf.DUMMYFUNCTION("""COMPUTED_VALUE"""),"Good")</f>
        <v>Good</v>
      </c>
      <c r="X305" t="str">
        <f>IFERROR(__xludf.DUMMYFUNCTION("""COMPUTED_VALUE"""),"Good")</f>
        <v>Good</v>
      </c>
      <c r="Y305" t="str">
        <f>IFERROR(__xludf.DUMMYFUNCTION("""COMPUTED_VALUE"""),"Good")</f>
        <v>Good</v>
      </c>
      <c r="Z305" t="str">
        <f>IFERROR(__xludf.DUMMYFUNCTION("""COMPUTED_VALUE"""),"Good")</f>
        <v>Good</v>
      </c>
      <c r="AA305" t="str">
        <f>IFERROR(__xludf.DUMMYFUNCTION("""COMPUTED_VALUE"""),"Good")</f>
        <v>Good</v>
      </c>
      <c r="AB305" t="str">
        <f>IFERROR(__xludf.DUMMYFUNCTION("""COMPUTED_VALUE"""),"Good")</f>
        <v>Good</v>
      </c>
      <c r="AC305" t="str">
        <f>IFERROR(__xludf.DUMMYFUNCTION("""COMPUTED_VALUE"""),"Good")</f>
        <v>Good</v>
      </c>
      <c r="AE305" s="11"/>
      <c r="AF305" t="s">
        <v>32</v>
      </c>
      <c r="AG305" s="17" t="s">
        <v>18</v>
      </c>
      <c r="AH305" s="12">
        <v>1430.0</v>
      </c>
      <c r="AI305" s="12" t="s">
        <v>867</v>
      </c>
      <c r="AJ305" s="19" t="s">
        <v>868</v>
      </c>
      <c r="AK305" s="20" t="str">
        <f>HYPERLINK("https://docs.google.com/document/d/1QBSxmJEW8haI9t5gOvOxhfJQdjnU8UExtzvNGSdRJeU/edit?usp=drivesdk","James Tomazinis - 5/18/2019 9:15 AM")</f>
        <v>James Tomazinis - 5/18/2019 9:15 AM</v>
      </c>
      <c r="AL305" s="12" t="s">
        <v>869</v>
      </c>
    </row>
    <row r="306">
      <c r="A306" s="10">
        <f>IFERROR(__xludf.DUMMYFUNCTION("""COMPUTED_VALUE"""),43605.32700630787)</f>
        <v>43605.32701</v>
      </c>
      <c r="B306" s="11" t="str">
        <f>IFERROR(__xludf.DUMMYFUNCTION("""COMPUTED_VALUE"""),"Silas Tanner")</f>
        <v>Silas Tanner</v>
      </c>
      <c r="C306" t="str">
        <f>IFERROR(__xludf.DUMMYFUNCTION("""COMPUTED_VALUE"""),"silas.tanner@dep.state.fl")</f>
        <v>silas.tanner@dep.state.fl</v>
      </c>
      <c r="D306" t="str">
        <f>IFERROR(__xludf.DUMMYFUNCTION("""COMPUTED_VALUE"""),"Research/Nikki")</f>
        <v>Research/Nikki</v>
      </c>
      <c r="E306" t="str">
        <f>IFERROR(__xludf.DUMMYFUNCTION("""COMPUTED_VALUE"""),"Vilano Landing")</f>
        <v>Vilano Landing</v>
      </c>
      <c r="F306" s="13">
        <f>IFERROR(__xludf.DUMMYFUNCTION("""COMPUTED_VALUE"""),0.4166666666678793)</f>
        <v>0.4166666667</v>
      </c>
      <c r="G306" s="14">
        <f>IFERROR(__xludf.DUMMYFUNCTION("""COMPUTED_VALUE"""),43605.0)</f>
        <v>43605</v>
      </c>
      <c r="H306" t="str">
        <f>IFERROR(__xludf.DUMMYFUNCTION("""COMPUTED_VALUE"""),"ICW Hat Island platforms, Castillo, Salt Run")</f>
        <v>ICW Hat Island platforms, Castillo, Salt Run</v>
      </c>
      <c r="I306" s="15">
        <f>IFERROR(__xludf.DUMMYFUNCTION("""COMPUTED_VALUE"""),0.5208333333321207)</f>
        <v>0.5208333333</v>
      </c>
      <c r="J306" s="16">
        <f>IFERROR(__xludf.DUMMYFUNCTION("""COMPUTED_VALUE"""),43605.53125)</f>
        <v>43605.53125</v>
      </c>
      <c r="K306" t="str">
        <f>IFERROR(__xludf.DUMMYFUNCTION("""COMPUTED_VALUE"""),"23ft Skiff (Bertha) FL7972LJ DEP07613")</f>
        <v>23ft Skiff (Bertha) FL7972LJ DEP07613</v>
      </c>
      <c r="M306" t="str">
        <f>IFERROR(__xludf.DUMMYFUNCTION("""COMPUTED_VALUE"""),"Ford F150 2015 (White) - DEP21448")</f>
        <v>Ford F150 2015 (White) - DEP21448</v>
      </c>
      <c r="N306" t="str">
        <f>IFERROR(__xludf.DUMMYFUNCTION("""COMPUTED_VALUE"""),"Shannon Dunnigan, (803) 727-5734, Silas Tanner, (904) 483-8423")</f>
        <v>Shannon Dunnigan, (803) 727-5734, Silas Tanner, (904) 483-8423</v>
      </c>
      <c r="O306" t="str">
        <f>IFERROR(__xludf.DUMMYFUNCTION("""COMPUTED_VALUE"""),"Maddy Paris, Molly Dent, Chris Kurtz, Cameron Rumsey")</f>
        <v>Maddy Paris, Molly Dent, Chris Kurtz, Cameron Rumsey</v>
      </c>
      <c r="P306" t="str">
        <f>IFERROR(__xludf.DUMMYFUNCTION("""COMPUTED_VALUE"""),"S. Dunnigan")</f>
        <v>S. Dunnigan</v>
      </c>
      <c r="Q306" t="str">
        <f>IFERROR(__xludf.DUMMYFUNCTION("""COMPUTED_VALUE"""),"Good")</f>
        <v>Good</v>
      </c>
      <c r="R306" t="str">
        <f>IFERROR(__xludf.DUMMYFUNCTION("""COMPUTED_VALUE"""),"Good")</f>
        <v>Good</v>
      </c>
      <c r="S306" t="str">
        <f>IFERROR(__xludf.DUMMYFUNCTION("""COMPUTED_VALUE"""),"Good")</f>
        <v>Good</v>
      </c>
      <c r="T306" t="str">
        <f>IFERROR(__xludf.DUMMYFUNCTION("""COMPUTED_VALUE"""),"Good")</f>
        <v>Good</v>
      </c>
      <c r="U306" t="str">
        <f>IFERROR(__xludf.DUMMYFUNCTION("""COMPUTED_VALUE"""),"Good")</f>
        <v>Good</v>
      </c>
      <c r="V306" t="str">
        <f>IFERROR(__xludf.DUMMYFUNCTION("""COMPUTED_VALUE"""),"Good")</f>
        <v>Good</v>
      </c>
      <c r="W306" t="str">
        <f>IFERROR(__xludf.DUMMYFUNCTION("""COMPUTED_VALUE"""),"Good")</f>
        <v>Good</v>
      </c>
      <c r="X306" t="str">
        <f>IFERROR(__xludf.DUMMYFUNCTION("""COMPUTED_VALUE"""),"Good")</f>
        <v>Good</v>
      </c>
      <c r="Y306" t="str">
        <f>IFERROR(__xludf.DUMMYFUNCTION("""COMPUTED_VALUE"""),"Good")</f>
        <v>Good</v>
      </c>
      <c r="Z306" t="str">
        <f>IFERROR(__xludf.DUMMYFUNCTION("""COMPUTED_VALUE"""),"Good")</f>
        <v>Good</v>
      </c>
      <c r="AA306" t="str">
        <f>IFERROR(__xludf.DUMMYFUNCTION("""COMPUTED_VALUE"""),"Good")</f>
        <v>Good</v>
      </c>
      <c r="AB306" t="str">
        <f>IFERROR(__xludf.DUMMYFUNCTION("""COMPUTED_VALUE"""),"Good")</f>
        <v>Good</v>
      </c>
      <c r="AC306" t="str">
        <f>IFERROR(__xludf.DUMMYFUNCTION("""COMPUTED_VALUE"""),"Good")</f>
        <v>Good</v>
      </c>
      <c r="AE306" s="11"/>
      <c r="AF306" t="s">
        <v>218</v>
      </c>
      <c r="AG306" s="17" t="s">
        <v>18</v>
      </c>
      <c r="AH306" s="12">
        <v>1210.0</v>
      </c>
      <c r="AI306" s="12" t="s">
        <v>870</v>
      </c>
      <c r="AJ306" s="19" t="s">
        <v>871</v>
      </c>
      <c r="AK306" s="20" t="str">
        <f>HYPERLINK("https://docs.google.com/document/d/1QxaRdHvDAJbUR2d5Aif51DAoEGlkAzlCnhkf3ioW5X8/edit?usp=drivesdk","Silas Tanner - 5/20/2019 10:00 AM")</f>
        <v>Silas Tanner - 5/20/2019 10:00 AM</v>
      </c>
      <c r="AL306" s="12" t="s">
        <v>872</v>
      </c>
    </row>
    <row r="307">
      <c r="A307" s="10">
        <f>IFERROR(__xludf.DUMMYFUNCTION("""COMPUTED_VALUE"""),43605.361720416666)</f>
        <v>43605.36172</v>
      </c>
      <c r="B307" s="11" t="str">
        <f>IFERROR(__xludf.DUMMYFUNCTION("""COMPUTED_VALUE"""),"Jimmy Tomazinis")</f>
        <v>Jimmy Tomazinis</v>
      </c>
      <c r="C307" t="str">
        <f>IFERROR(__xludf.DUMMYFUNCTION("""COMPUTED_VALUE"""),"james.tomazinis@floridadep.gov")</f>
        <v>james.tomazinis@floridadep.gov</v>
      </c>
      <c r="D307" t="str">
        <f>IFERROR(__xludf.DUMMYFUNCTION("""COMPUTED_VALUE"""),"Stewardship (Aquatic)")</f>
        <v>Stewardship (Aquatic)</v>
      </c>
      <c r="E307" t="str">
        <f>IFERROR(__xludf.DUMMYFUNCTION("""COMPUTED_VALUE"""),"Palms Fish Camp, Nassauville")</f>
        <v>Palms Fish Camp, Nassauville</v>
      </c>
      <c r="F307" s="13">
        <f>IFERROR(__xludf.DUMMYFUNCTION("""COMPUTED_VALUE"""),0.4375)</f>
        <v>0.4375</v>
      </c>
      <c r="G307" s="14">
        <f>IFERROR(__xludf.DUMMYFUNCTION("""COMPUTED_VALUE"""),43605.0)</f>
        <v>43605</v>
      </c>
      <c r="H307" t="str">
        <f>IFERROR(__xludf.DUMMYFUNCTION("""COMPUTED_VALUE"""),"NEWQ sites")</f>
        <v>NEWQ sites</v>
      </c>
      <c r="I307" s="15">
        <f>IFERROR(__xludf.DUMMYFUNCTION("""COMPUTED_VALUE"""),0.7083333333321207)</f>
        <v>0.7083333333</v>
      </c>
      <c r="J307" s="16"/>
      <c r="K307" t="str">
        <f>IFERROR(__xludf.DUMMYFUNCTION("""COMPUTED_VALUE"""),"17ft Skill FL0642GW DEP07239")</f>
        <v>17ft Skill FL0642GW DEP07239</v>
      </c>
      <c r="M307" t="str">
        <f>IFERROR(__xludf.DUMMYFUNCTION("""COMPUTED_VALUE"""),"Ford F150 2008 - DEP18041 (SWMP Thing)")</f>
        <v>Ford F150 2008 - DEP18041 (SWMP Thing)</v>
      </c>
      <c r="N307" t="str">
        <f>IFERROR(__xludf.DUMMYFUNCTION("""COMPUTED_VALUE"""),"Jimmy Tomazinis, (904) 547-0094, Scott Eastman")</f>
        <v>Jimmy Tomazinis, (904) 547-0094, Scott Eastman</v>
      </c>
      <c r="P307" t="str">
        <f>IFERROR(__xludf.DUMMYFUNCTION("""COMPUTED_VALUE"""),"Jimmy")</f>
        <v>Jimmy</v>
      </c>
      <c r="Q307" t="str">
        <f>IFERROR(__xludf.DUMMYFUNCTION("""COMPUTED_VALUE"""),"Good")</f>
        <v>Good</v>
      </c>
      <c r="R307" t="str">
        <f>IFERROR(__xludf.DUMMYFUNCTION("""COMPUTED_VALUE"""),"Good")</f>
        <v>Good</v>
      </c>
      <c r="S307" t="str">
        <f>IFERROR(__xludf.DUMMYFUNCTION("""COMPUTED_VALUE"""),"Good")</f>
        <v>Good</v>
      </c>
      <c r="T307" t="str">
        <f>IFERROR(__xludf.DUMMYFUNCTION("""COMPUTED_VALUE"""),"Good")</f>
        <v>Good</v>
      </c>
      <c r="U307" t="str">
        <f>IFERROR(__xludf.DUMMYFUNCTION("""COMPUTED_VALUE"""),"Good")</f>
        <v>Good</v>
      </c>
      <c r="V307" t="str">
        <f>IFERROR(__xludf.DUMMYFUNCTION("""COMPUTED_VALUE"""),"Good")</f>
        <v>Good</v>
      </c>
      <c r="W307" t="str">
        <f>IFERROR(__xludf.DUMMYFUNCTION("""COMPUTED_VALUE"""),"Good")</f>
        <v>Good</v>
      </c>
      <c r="X307" t="str">
        <f>IFERROR(__xludf.DUMMYFUNCTION("""COMPUTED_VALUE"""),"Good")</f>
        <v>Good</v>
      </c>
      <c r="Y307" t="str">
        <f>IFERROR(__xludf.DUMMYFUNCTION("""COMPUTED_VALUE"""),"Good")</f>
        <v>Good</v>
      </c>
      <c r="Z307" t="str">
        <f>IFERROR(__xludf.DUMMYFUNCTION("""COMPUTED_VALUE"""),"Good")</f>
        <v>Good</v>
      </c>
      <c r="AA307" t="str">
        <f>IFERROR(__xludf.DUMMYFUNCTION("""COMPUTED_VALUE"""),"Good")</f>
        <v>Good</v>
      </c>
      <c r="AB307" t="str">
        <f>IFERROR(__xludf.DUMMYFUNCTION("""COMPUTED_VALUE"""),"Good")</f>
        <v>Good</v>
      </c>
      <c r="AC307" t="str">
        <f>IFERROR(__xludf.DUMMYFUNCTION("""COMPUTED_VALUE"""),"Good")</f>
        <v>Good</v>
      </c>
      <c r="AE307" s="11"/>
      <c r="AF307" t="s">
        <v>32</v>
      </c>
      <c r="AG307" s="17" t="s">
        <v>18</v>
      </c>
      <c r="AH307" s="12">
        <v>1620.0</v>
      </c>
      <c r="AI307" s="12" t="s">
        <v>873</v>
      </c>
      <c r="AJ307" s="19" t="s">
        <v>874</v>
      </c>
      <c r="AK307" s="20" t="str">
        <f>HYPERLINK("https://docs.google.com/document/d/10yd_QWoX4-uGTi1hSALQIVk7-NQdFiPnAMvkiRZydsQ/edit?usp=drivesdk","Jimmy Tomazinis - 5/20/2019 10:30 AM")</f>
        <v>Jimmy Tomazinis - 5/20/2019 10:30 AM</v>
      </c>
      <c r="AL307" s="12" t="s">
        <v>875</v>
      </c>
    </row>
    <row r="308">
      <c r="A308" s="10">
        <f>IFERROR(__xludf.DUMMYFUNCTION("""COMPUTED_VALUE"""),43606.344595625)</f>
        <v>43606.3446</v>
      </c>
      <c r="B308" s="11" t="str">
        <f>IFERROR(__xludf.DUMMYFUNCTION("""COMPUTED_VALUE"""),"Pam Marcum")</f>
        <v>Pam Marcum</v>
      </c>
      <c r="C308" t="str">
        <f>IFERROR(__xludf.DUMMYFUNCTION("""COMPUTED_VALUE"""),"pamela.marcum@dep.state.fl.us")</f>
        <v>pamela.marcum@dep.state.fl.us</v>
      </c>
      <c r="D308" t="str">
        <f>IFERROR(__xludf.DUMMYFUNCTION("""COMPUTED_VALUE"""),"Research/Nikki")</f>
        <v>Research/Nikki</v>
      </c>
      <c r="E308" t="str">
        <f>IFERROR(__xludf.DUMMYFUNCTION("""COMPUTED_VALUE"""),"Shore")</f>
        <v>Shore</v>
      </c>
      <c r="F308" s="13">
        <f>IFERROR(__xludf.DUMMYFUNCTION("""COMPUTED_VALUE"""),0.34375)</f>
        <v>0.34375</v>
      </c>
      <c r="G308" s="14">
        <f>IFERROR(__xludf.DUMMYFUNCTION("""COMPUTED_VALUE"""),43606.0)</f>
        <v>43606</v>
      </c>
      <c r="H308" t="str">
        <f>IFERROR(__xludf.DUMMYFUNCTION("""COMPUTED_VALUE"""),"Gabbys Creek")</f>
        <v>Gabbys Creek</v>
      </c>
      <c r="I308" s="15">
        <f>IFERROR(__xludf.DUMMYFUNCTION("""COMPUTED_VALUE"""),0.7083333333321207)</f>
        <v>0.7083333333</v>
      </c>
      <c r="J308" s="16">
        <f>IFERROR(__xludf.DUMMYFUNCTION("""COMPUTED_VALUE"""),43606.75)</f>
        <v>43606.75</v>
      </c>
      <c r="K308" t="str">
        <f>IFERROR(__xludf.DUMMYFUNCTION("""COMPUTED_VALUE"""),"20ft Sea Ark FL5351SJ UNF 2015")</f>
        <v>20ft Sea Ark FL5351SJ UNF 2015</v>
      </c>
      <c r="M308" t="str">
        <f>IFERROR(__xludf.DUMMYFUNCTION("""COMPUTED_VALUE"""),"Ford F150 2008 - DEP18041 (SWMP Thing)")</f>
        <v>Ford F150 2008 - DEP18041 (SWMP Thing)</v>
      </c>
      <c r="N308" t="str">
        <f>IFERROR(__xludf.DUMMYFUNCTION("""COMPUTED_VALUE"""),"Pam Marcum, (480) 332-5414, Matt Hayes")</f>
        <v>Pam Marcum, (480) 332-5414, Matt Hayes</v>
      </c>
      <c r="O308" t="str">
        <f>IFERROR(__xludf.DUMMYFUNCTION("""COMPUTED_VALUE"""),"Sam, Candy, Emily")</f>
        <v>Sam, Candy, Emily</v>
      </c>
      <c r="P308" t="str">
        <f>IFERROR(__xludf.DUMMYFUNCTION("""COMPUTED_VALUE"""),"Pam")</f>
        <v>Pam</v>
      </c>
      <c r="Q308" t="str">
        <f>IFERROR(__xludf.DUMMYFUNCTION("""COMPUTED_VALUE"""),"Good")</f>
        <v>Good</v>
      </c>
      <c r="R308" t="str">
        <f>IFERROR(__xludf.DUMMYFUNCTION("""COMPUTED_VALUE"""),"Good")</f>
        <v>Good</v>
      </c>
      <c r="S308" t="str">
        <f>IFERROR(__xludf.DUMMYFUNCTION("""COMPUTED_VALUE"""),"Good")</f>
        <v>Good</v>
      </c>
      <c r="T308" t="str">
        <f>IFERROR(__xludf.DUMMYFUNCTION("""COMPUTED_VALUE"""),"Good")</f>
        <v>Good</v>
      </c>
      <c r="U308" t="str">
        <f>IFERROR(__xludf.DUMMYFUNCTION("""COMPUTED_VALUE"""),"Good")</f>
        <v>Good</v>
      </c>
      <c r="V308" t="str">
        <f>IFERROR(__xludf.DUMMYFUNCTION("""COMPUTED_VALUE"""),"Good")</f>
        <v>Good</v>
      </c>
      <c r="W308" t="str">
        <f>IFERROR(__xludf.DUMMYFUNCTION("""COMPUTED_VALUE"""),"Good")</f>
        <v>Good</v>
      </c>
      <c r="X308" t="str">
        <f>IFERROR(__xludf.DUMMYFUNCTION("""COMPUTED_VALUE"""),"Good")</f>
        <v>Good</v>
      </c>
      <c r="Y308" t="str">
        <f>IFERROR(__xludf.DUMMYFUNCTION("""COMPUTED_VALUE"""),"Good")</f>
        <v>Good</v>
      </c>
      <c r="Z308" t="str">
        <f>IFERROR(__xludf.DUMMYFUNCTION("""COMPUTED_VALUE"""),"Good")</f>
        <v>Good</v>
      </c>
      <c r="AA308" t="str">
        <f>IFERROR(__xludf.DUMMYFUNCTION("""COMPUTED_VALUE"""),"Good")</f>
        <v>Good</v>
      </c>
      <c r="AB308" t="str">
        <f>IFERROR(__xludf.DUMMYFUNCTION("""COMPUTED_VALUE"""),"Good")</f>
        <v>Good</v>
      </c>
      <c r="AC308" t="str">
        <f>IFERROR(__xludf.DUMMYFUNCTION("""COMPUTED_VALUE"""),"Good")</f>
        <v>Good</v>
      </c>
      <c r="AE308" s="11"/>
      <c r="AF308" t="s">
        <v>218</v>
      </c>
      <c r="AG308" s="17" t="s">
        <v>18</v>
      </c>
      <c r="AH308" s="12">
        <v>1300.0</v>
      </c>
      <c r="AI308" s="12" t="s">
        <v>876</v>
      </c>
      <c r="AJ308" s="19" t="s">
        <v>877</v>
      </c>
      <c r="AK308" s="20" t="str">
        <f>HYPERLINK("https://docs.google.com/document/d/1oALdN25ww9lJ48fXJMH1m20lIQx2AKySaSRbjgF26Cc/edit?usp=drivesdk","Pam Marcum - 5/21/2019 8:15 AM")</f>
        <v>Pam Marcum - 5/21/2019 8:15 AM</v>
      </c>
      <c r="AL308" s="12" t="s">
        <v>878</v>
      </c>
    </row>
    <row r="309">
      <c r="A309" s="10">
        <f>IFERROR(__xludf.DUMMYFUNCTION("""COMPUTED_VALUE"""),43606.347828287035)</f>
        <v>43606.34783</v>
      </c>
      <c r="B309" s="11" t="str">
        <f>IFERROR(__xludf.DUMMYFUNCTION("""COMPUTED_VALUE"""),"Gabby Canas")</f>
        <v>Gabby Canas</v>
      </c>
      <c r="C309" t="str">
        <f>IFERROR(__xludf.DUMMYFUNCTION("""COMPUTED_VALUE"""),"Gabby.Canas@dep.state.fl.us")</f>
        <v>Gabby.Canas@dep.state.fl.us</v>
      </c>
      <c r="D309" t="str">
        <f>IFERROR(__xludf.DUMMYFUNCTION("""COMPUTED_VALUE"""),"Research/Nikki")</f>
        <v>Research/Nikki</v>
      </c>
      <c r="E309" t="str">
        <f>IFERROR(__xludf.DUMMYFUNCTION("""COMPUTED_VALUE"""),"Shore")</f>
        <v>Shore</v>
      </c>
      <c r="F309" s="13">
        <f>IFERROR(__xludf.DUMMYFUNCTION("""COMPUTED_VALUE"""),0.3645833333321207)</f>
        <v>0.3645833333</v>
      </c>
      <c r="G309" s="14">
        <f>IFERROR(__xludf.DUMMYFUNCTION("""COMPUTED_VALUE"""),43606.0)</f>
        <v>43606</v>
      </c>
      <c r="H309" t="str">
        <f>IFERROR(__xludf.DUMMYFUNCTION("""COMPUTED_VALUE"""),"Gabbys Creek")</f>
        <v>Gabbys Creek</v>
      </c>
      <c r="I309" s="15">
        <f>IFERROR(__xludf.DUMMYFUNCTION("""COMPUTED_VALUE"""),0.7083333333321207)</f>
        <v>0.7083333333</v>
      </c>
      <c r="J309" s="16">
        <f>IFERROR(__xludf.DUMMYFUNCTION("""COMPUTED_VALUE"""),43606.75)</f>
        <v>43606.75</v>
      </c>
      <c r="K309" t="str">
        <f>IFERROR(__xludf.DUMMYFUNCTION("""COMPUTED_VALUE"""),"23ft Skiff (Bertha) FL7972LJ DEP07613")</f>
        <v>23ft Skiff (Bertha) FL7972LJ DEP07613</v>
      </c>
      <c r="M309" t="str">
        <f>IFERROR(__xludf.DUMMYFUNCTION("""COMPUTED_VALUE"""),"Ford F150 2015 (White) - DEP21448")</f>
        <v>Ford F150 2015 (White) - DEP21448</v>
      </c>
      <c r="N309" t="str">
        <f>IFERROR(__xludf.DUMMYFUNCTION("""COMPUTED_VALUE"""),"Ches Vervake")</f>
        <v>Ches Vervake</v>
      </c>
      <c r="O309" t="str">
        <f>IFERROR(__xludf.DUMMYFUNCTION("""COMPUTED_VALUE"""),"Gabriela Canas, (904) 891-9743, Harris, Mark, Alex, Adam")</f>
        <v>Gabriela Canas, (904) 891-9743, Harris, Mark, Alex, Adam</v>
      </c>
      <c r="P309" t="str">
        <f>IFERROR(__xludf.DUMMYFUNCTION("""COMPUTED_VALUE"""),"Ches")</f>
        <v>Ches</v>
      </c>
      <c r="Q309" t="str">
        <f>IFERROR(__xludf.DUMMYFUNCTION("""COMPUTED_VALUE"""),"Good")</f>
        <v>Good</v>
      </c>
      <c r="R309" t="str">
        <f>IFERROR(__xludf.DUMMYFUNCTION("""COMPUTED_VALUE"""),"Good")</f>
        <v>Good</v>
      </c>
      <c r="S309" t="str">
        <f>IFERROR(__xludf.DUMMYFUNCTION("""COMPUTED_VALUE"""),"Good")</f>
        <v>Good</v>
      </c>
      <c r="T309" t="str">
        <f>IFERROR(__xludf.DUMMYFUNCTION("""COMPUTED_VALUE"""),"Good")</f>
        <v>Good</v>
      </c>
      <c r="U309" t="str">
        <f>IFERROR(__xludf.DUMMYFUNCTION("""COMPUTED_VALUE"""),"Good")</f>
        <v>Good</v>
      </c>
      <c r="V309" t="str">
        <f>IFERROR(__xludf.DUMMYFUNCTION("""COMPUTED_VALUE"""),"Good")</f>
        <v>Good</v>
      </c>
      <c r="W309" t="str">
        <f>IFERROR(__xludf.DUMMYFUNCTION("""COMPUTED_VALUE"""),"Good")</f>
        <v>Good</v>
      </c>
      <c r="X309" t="str">
        <f>IFERROR(__xludf.DUMMYFUNCTION("""COMPUTED_VALUE"""),"Good")</f>
        <v>Good</v>
      </c>
      <c r="Y309" t="str">
        <f>IFERROR(__xludf.DUMMYFUNCTION("""COMPUTED_VALUE"""),"Good")</f>
        <v>Good</v>
      </c>
      <c r="Z309" t="str">
        <f>IFERROR(__xludf.DUMMYFUNCTION("""COMPUTED_VALUE"""),"Good")</f>
        <v>Good</v>
      </c>
      <c r="AA309" t="str">
        <f>IFERROR(__xludf.DUMMYFUNCTION("""COMPUTED_VALUE"""),"Good")</f>
        <v>Good</v>
      </c>
      <c r="AB309" t="str">
        <f>IFERROR(__xludf.DUMMYFUNCTION("""COMPUTED_VALUE"""),"Good")</f>
        <v>Good</v>
      </c>
      <c r="AC309" t="str">
        <f>IFERROR(__xludf.DUMMYFUNCTION("""COMPUTED_VALUE"""),"Good")</f>
        <v>Good</v>
      </c>
      <c r="AE309" s="11"/>
      <c r="AF309" t="s">
        <v>218</v>
      </c>
      <c r="AG309" s="17" t="s">
        <v>43</v>
      </c>
      <c r="AH309" s="12">
        <v>1613.0</v>
      </c>
      <c r="AI309" s="12" t="s">
        <v>879</v>
      </c>
      <c r="AJ309" s="19" t="s">
        <v>880</v>
      </c>
      <c r="AK309" s="20" t="str">
        <f>HYPERLINK("https://docs.google.com/document/d/1TGJKwqK7tl-baAbH_IHsAK1BxN4w_NGJpCrIFFEFTWI/edit?usp=drivesdk","Gabby Canas - 5/21/2019 8:45 AM")</f>
        <v>Gabby Canas - 5/21/2019 8:45 AM</v>
      </c>
      <c r="AL309" s="12" t="s">
        <v>881</v>
      </c>
    </row>
    <row r="310">
      <c r="A310" s="10">
        <f>IFERROR(__xludf.DUMMYFUNCTION("""COMPUTED_VALUE"""),43608.300555381946)</f>
        <v>43608.30056</v>
      </c>
      <c r="B310" s="11" t="str">
        <f>IFERROR(__xludf.DUMMYFUNCTION("""COMPUTED_VALUE"""),"Gabriela Canas")</f>
        <v>Gabriela Canas</v>
      </c>
      <c r="C310" t="str">
        <f>IFERROR(__xludf.DUMMYFUNCTION("""COMPUTED_VALUE"""),"gabriela.canas@dep.state.fl.us")</f>
        <v>gabriela.canas@dep.state.fl.us</v>
      </c>
      <c r="D310" t="str">
        <f>IFERROR(__xludf.DUMMYFUNCTION("""COMPUTED_VALUE"""),"Research/Nikki")</f>
        <v>Research/Nikki</v>
      </c>
      <c r="E310" t="str">
        <f>IFERROR(__xludf.DUMMYFUNCTION("""COMPUTED_VALUE"""),"Douglas crane")</f>
        <v>Douglas crane</v>
      </c>
      <c r="F310" s="13">
        <f>IFERROR(__xludf.DUMMYFUNCTION("""COMPUTED_VALUE"""),0.3125)</f>
        <v>0.3125</v>
      </c>
      <c r="G310" s="14">
        <f>IFERROR(__xludf.DUMMYFUNCTION("""COMPUTED_VALUE"""),43608.0)</f>
        <v>43608</v>
      </c>
      <c r="H310" t="str">
        <f>IFERROR(__xludf.DUMMYFUNCTION("""COMPUTED_VALUE"""),"Gabby creek")</f>
        <v>Gabby creek</v>
      </c>
      <c r="I310" s="15">
        <f>IFERROR(__xludf.DUMMYFUNCTION("""COMPUTED_VALUE"""),0.6041666666678793)</f>
        <v>0.6041666667</v>
      </c>
      <c r="J310" s="16">
        <f>IFERROR(__xludf.DUMMYFUNCTION("""COMPUTED_VALUE"""),43608.63541666667)</f>
        <v>43608.63542</v>
      </c>
      <c r="K310" t="str">
        <f>IFERROR(__xludf.DUMMYFUNCTION("""COMPUTED_VALUE"""),"23ft Skiff (Bertha) FL7972LJ DEP07613")</f>
        <v>23ft Skiff (Bertha) FL7972LJ DEP07613</v>
      </c>
      <c r="M310" t="str">
        <f>IFERROR(__xludf.DUMMYFUNCTION("""COMPUTED_VALUE"""),"Ford F150 2015 (White) - DEP21448")</f>
        <v>Ford F150 2015 (White) - DEP21448</v>
      </c>
      <c r="N310" t="str">
        <f>IFERROR(__xludf.DUMMYFUNCTION("""COMPUTED_VALUE"""),"Matt Hayes")</f>
        <v>Matt Hayes</v>
      </c>
      <c r="O310" t="str">
        <f>IFERROR(__xludf.DUMMYFUNCTION("""COMPUTED_VALUE"""),"Gabriela Canas, (904) 891-9743")</f>
        <v>Gabriela Canas, (904) 891-9743</v>
      </c>
      <c r="P310" t="str">
        <f>IFERROR(__xludf.DUMMYFUNCTION("""COMPUTED_VALUE"""),"Matt Hayes")</f>
        <v>Matt Hayes</v>
      </c>
      <c r="Q310" t="str">
        <f>IFERROR(__xludf.DUMMYFUNCTION("""COMPUTED_VALUE"""),"Good")</f>
        <v>Good</v>
      </c>
      <c r="R310" t="str">
        <f>IFERROR(__xludf.DUMMYFUNCTION("""COMPUTED_VALUE"""),"Good")</f>
        <v>Good</v>
      </c>
      <c r="S310" t="str">
        <f>IFERROR(__xludf.DUMMYFUNCTION("""COMPUTED_VALUE"""),"Good")</f>
        <v>Good</v>
      </c>
      <c r="T310" t="str">
        <f>IFERROR(__xludf.DUMMYFUNCTION("""COMPUTED_VALUE"""),"Good")</f>
        <v>Good</v>
      </c>
      <c r="U310" t="str">
        <f>IFERROR(__xludf.DUMMYFUNCTION("""COMPUTED_VALUE"""),"Good")</f>
        <v>Good</v>
      </c>
      <c r="V310" t="str">
        <f>IFERROR(__xludf.DUMMYFUNCTION("""COMPUTED_VALUE"""),"Good")</f>
        <v>Good</v>
      </c>
      <c r="W310" t="str">
        <f>IFERROR(__xludf.DUMMYFUNCTION("""COMPUTED_VALUE"""),"Good")</f>
        <v>Good</v>
      </c>
      <c r="X310" t="str">
        <f>IFERROR(__xludf.DUMMYFUNCTION("""COMPUTED_VALUE"""),"Good")</f>
        <v>Good</v>
      </c>
      <c r="Y310" t="str">
        <f>IFERROR(__xludf.DUMMYFUNCTION("""COMPUTED_VALUE"""),"Good")</f>
        <v>Good</v>
      </c>
      <c r="Z310" t="str">
        <f>IFERROR(__xludf.DUMMYFUNCTION("""COMPUTED_VALUE"""),"Good")</f>
        <v>Good</v>
      </c>
      <c r="AA310" t="str">
        <f>IFERROR(__xludf.DUMMYFUNCTION("""COMPUTED_VALUE"""),"Good")</f>
        <v>Good</v>
      </c>
      <c r="AB310" t="str">
        <f>IFERROR(__xludf.DUMMYFUNCTION("""COMPUTED_VALUE"""),"Good")</f>
        <v>Good</v>
      </c>
      <c r="AC310" t="str">
        <f>IFERROR(__xludf.DUMMYFUNCTION("""COMPUTED_VALUE"""),"Good")</f>
        <v>Good</v>
      </c>
      <c r="AD310" t="str">
        <f>IFERROR(__xludf.DUMMYFUNCTION("""COMPUTED_VALUE"""),"Goos")</f>
        <v>Goos</v>
      </c>
      <c r="AE310" s="11" t="str">
        <f>IFERROR(__xludf.DUMMYFUNCTION("""COMPUTED_VALUE"""),"Good")</f>
        <v>Good</v>
      </c>
      <c r="AF310" t="s">
        <v>218</v>
      </c>
      <c r="AG310" s="17" t="s">
        <v>60</v>
      </c>
      <c r="AH310" s="12">
        <v>1334.0</v>
      </c>
      <c r="AI310" s="12" t="s">
        <v>882</v>
      </c>
      <c r="AJ310" s="19" t="s">
        <v>883</v>
      </c>
      <c r="AK310" s="20" t="str">
        <f>HYPERLINK("https://docs.google.com/document/d/1AE-X1g5JwYwKIewk8HKwamVWj8F3gqOdlwE6ACEbgo8/edit?usp=drivesdk","Gabriela Canas - 5/23/2019 7:30 AM")</f>
        <v>Gabriela Canas - 5/23/2019 7:30 AM</v>
      </c>
      <c r="AL310" s="12" t="s">
        <v>884</v>
      </c>
    </row>
    <row r="311">
      <c r="A311" s="10">
        <f>IFERROR(__xludf.DUMMYFUNCTION("""COMPUTED_VALUE"""),43615.69752498843)</f>
        <v>43615.69752</v>
      </c>
      <c r="B311" s="11" t="str">
        <f>IFERROR(__xludf.DUMMYFUNCTION("""COMPUTED_VALUE"""),"Jimmy")</f>
        <v>Jimmy</v>
      </c>
      <c r="C311" t="str">
        <f>IFERROR(__xludf.DUMMYFUNCTION("""COMPUTED_VALUE"""),"james.tomazinis@floridadep.gov")</f>
        <v>james.tomazinis@floridadep.gov</v>
      </c>
      <c r="D311" t="str">
        <f>IFERROR(__xludf.DUMMYFUNCTION("""COMPUTED_VALUE"""),"Stewardship (Aquatic)")</f>
        <v>Stewardship (Aquatic)</v>
      </c>
      <c r="E311" t="str">
        <f>IFERROR(__xludf.DUMMYFUNCTION("""COMPUTED_VALUE"""),"Beach Blvd")</f>
        <v>Beach Blvd</v>
      </c>
      <c r="F311" s="13">
        <f>IFERROR(__xludf.DUMMYFUNCTION("""COMPUTED_VALUE"""),0.5625)</f>
        <v>0.5625</v>
      </c>
      <c r="G311" s="14">
        <f>IFERROR(__xludf.DUMMYFUNCTION("""COMPUTED_VALUE"""),43616.0)</f>
        <v>43616</v>
      </c>
      <c r="H311" t="str">
        <f>IFERROR(__xludf.DUMMYFUNCTION("""COMPUTED_VALUE"""),"Pablo and Sisters Creek")</f>
        <v>Pablo and Sisters Creek</v>
      </c>
      <c r="I311" s="15">
        <f>IFERROR(__xludf.DUMMYFUNCTION("""COMPUTED_VALUE"""),0.75)</f>
        <v>0.75</v>
      </c>
      <c r="J311" s="16"/>
      <c r="K311" t="str">
        <f>IFERROR(__xludf.DUMMYFUNCTION("""COMPUTED_VALUE"""),"23ft Skiff (Bertha) FL7972LJ DEP07613")</f>
        <v>23ft Skiff (Bertha) FL7972LJ DEP07613</v>
      </c>
      <c r="M311" t="str">
        <f>IFERROR(__xludf.DUMMYFUNCTION("""COMPUTED_VALUE"""),"Ford F250 2017 (Moby Dix) - DEP0021578")</f>
        <v>Ford F250 2017 (Moby Dix) - DEP0021578</v>
      </c>
      <c r="N311" t="str">
        <f>IFERROR(__xludf.DUMMYFUNCTION("""COMPUTED_VALUE"""),"Jimmy Tomazinis, (904) 547-0094")</f>
        <v>Jimmy Tomazinis, (904) 547-0094</v>
      </c>
      <c r="O311" t="str">
        <f>IFERROR(__xludf.DUMMYFUNCTION("""COMPUTED_VALUE"""),"Kelly Smith, Craig Hargis, Chris Kurtz")</f>
        <v>Kelly Smith, Craig Hargis, Chris Kurtz</v>
      </c>
      <c r="P311" t="str">
        <f>IFERROR(__xludf.DUMMYFUNCTION("""COMPUTED_VALUE"""),"Jimmy")</f>
        <v>Jimmy</v>
      </c>
      <c r="Q311" t="str">
        <f>IFERROR(__xludf.DUMMYFUNCTION("""COMPUTED_VALUE"""),"Good")</f>
        <v>Good</v>
      </c>
      <c r="R311" t="str">
        <f>IFERROR(__xludf.DUMMYFUNCTION("""COMPUTED_VALUE"""),"Good")</f>
        <v>Good</v>
      </c>
      <c r="S311" t="str">
        <f>IFERROR(__xludf.DUMMYFUNCTION("""COMPUTED_VALUE"""),"Good")</f>
        <v>Good</v>
      </c>
      <c r="T311" t="str">
        <f>IFERROR(__xludf.DUMMYFUNCTION("""COMPUTED_VALUE"""),"Good")</f>
        <v>Good</v>
      </c>
      <c r="U311" t="str">
        <f>IFERROR(__xludf.DUMMYFUNCTION("""COMPUTED_VALUE"""),"Good")</f>
        <v>Good</v>
      </c>
      <c r="V311" t="str">
        <f>IFERROR(__xludf.DUMMYFUNCTION("""COMPUTED_VALUE"""),"Good")</f>
        <v>Good</v>
      </c>
      <c r="W311" t="str">
        <f>IFERROR(__xludf.DUMMYFUNCTION("""COMPUTED_VALUE"""),"Good")</f>
        <v>Good</v>
      </c>
      <c r="X311" t="str">
        <f>IFERROR(__xludf.DUMMYFUNCTION("""COMPUTED_VALUE"""),"Good")</f>
        <v>Good</v>
      </c>
      <c r="Y311" t="str">
        <f>IFERROR(__xludf.DUMMYFUNCTION("""COMPUTED_VALUE"""),"Good")</f>
        <v>Good</v>
      </c>
      <c r="Z311" t="str">
        <f>IFERROR(__xludf.DUMMYFUNCTION("""COMPUTED_VALUE"""),"Good")</f>
        <v>Good</v>
      </c>
      <c r="AA311" t="str">
        <f>IFERROR(__xludf.DUMMYFUNCTION("""COMPUTED_VALUE"""),"Good")</f>
        <v>Good</v>
      </c>
      <c r="AB311" t="str">
        <f>IFERROR(__xludf.DUMMYFUNCTION("""COMPUTED_VALUE"""),"Good")</f>
        <v>Good</v>
      </c>
      <c r="AC311" t="str">
        <f>IFERROR(__xludf.DUMMYFUNCTION("""COMPUTED_VALUE"""),"Good")</f>
        <v>Good</v>
      </c>
      <c r="AE311" s="11"/>
      <c r="AF311" t="s">
        <v>32</v>
      </c>
      <c r="AG311" s="17" t="s">
        <v>851</v>
      </c>
      <c r="AH311" s="12">
        <v>1800.0</v>
      </c>
      <c r="AI311" s="12" t="s">
        <v>885</v>
      </c>
      <c r="AJ311" s="19" t="s">
        <v>886</v>
      </c>
      <c r="AK311" s="20" t="str">
        <f>HYPERLINK("https://docs.google.com/document/d/1dCEu2hsgN4CNpOXcvJv99aq_Gid7YoqeBDIpSpkQ4nU/edit?usp=drivesdk","Jimmy - 5/31/2019 1:30 PM")</f>
        <v>Jimmy - 5/31/2019 1:30 PM</v>
      </c>
      <c r="AL311" s="12" t="s">
        <v>887</v>
      </c>
    </row>
    <row r="312">
      <c r="A312" s="10">
        <f>IFERROR(__xludf.DUMMYFUNCTION("""COMPUTED_VALUE"""),43616.378163692134)</f>
        <v>43616.37816</v>
      </c>
      <c r="B312" s="11" t="str">
        <f>IFERROR(__xludf.DUMMYFUNCTION("""COMPUTED_VALUE"""),"Pamela Marcum")</f>
        <v>Pamela Marcum</v>
      </c>
      <c r="C312" t="str">
        <f>IFERROR(__xludf.DUMMYFUNCTION("""COMPUTED_VALUE"""),"Pamela.Marcum@dep.state.fl.us")</f>
        <v>Pamela.Marcum@dep.state.fl.us</v>
      </c>
      <c r="D312" t="str">
        <f>IFERROR(__xludf.DUMMYFUNCTION("""COMPUTED_VALUE"""),"Research/Nikki")</f>
        <v>Research/Nikki</v>
      </c>
      <c r="E312" t="str">
        <f>IFERROR(__xludf.DUMMYFUNCTION("""COMPUTED_VALUE"""),"Lighthouse, Shore Dr, Green Rd")</f>
        <v>Lighthouse, Shore Dr, Green Rd</v>
      </c>
      <c r="F312" s="13">
        <f>IFERROR(__xludf.DUMMYFUNCTION("""COMPUTED_VALUE"""),0.4166666666678793)</f>
        <v>0.4166666667</v>
      </c>
      <c r="G312" s="14">
        <f>IFERROR(__xludf.DUMMYFUNCTION("""COMPUTED_VALUE"""),43616.0)</f>
        <v>43616</v>
      </c>
      <c r="H312" t="str">
        <f>IFERROR(__xludf.DUMMYFUNCTION("""COMPUTED_VALUE"""),"Spat Trees")</f>
        <v>Spat Trees</v>
      </c>
      <c r="I312" s="15">
        <f>IFERROR(__xludf.DUMMYFUNCTION("""COMPUTED_VALUE"""),0.5416666666678793)</f>
        <v>0.5416666667</v>
      </c>
      <c r="J312" s="16">
        <f>IFERROR(__xludf.DUMMYFUNCTION("""COMPUTED_VALUE"""),43616.70833333333)</f>
        <v>43616.70833</v>
      </c>
      <c r="K312" t="str">
        <f>IFERROR(__xludf.DUMMYFUNCTION("""COMPUTED_VALUE"""),"20ft Sea Ark FL5351SJ UNF 2015")</f>
        <v>20ft Sea Ark FL5351SJ UNF 2015</v>
      </c>
      <c r="M312" t="str">
        <f>IFERROR(__xludf.DUMMYFUNCTION("""COMPUTED_VALUE"""),"Ford F150 2008 - DEP18041 (SWMP Thing)")</f>
        <v>Ford F150 2008 - DEP18041 (SWMP Thing)</v>
      </c>
      <c r="N312" t="str">
        <f>IFERROR(__xludf.DUMMYFUNCTION("""COMPUTED_VALUE"""),"Pam Marcum, (480) 332-5414")</f>
        <v>Pam Marcum, (480) 332-5414</v>
      </c>
      <c r="O312" t="str">
        <f>IFERROR(__xludf.DUMMYFUNCTION("""COMPUTED_VALUE"""),"Alee Knoell")</f>
        <v>Alee Knoell</v>
      </c>
      <c r="P312" t="str">
        <f>IFERROR(__xludf.DUMMYFUNCTION("""COMPUTED_VALUE"""),"Pam")</f>
        <v>Pam</v>
      </c>
      <c r="Q312" t="str">
        <f>IFERROR(__xludf.DUMMYFUNCTION("""COMPUTED_VALUE"""),"Good")</f>
        <v>Good</v>
      </c>
      <c r="R312" t="str">
        <f>IFERROR(__xludf.DUMMYFUNCTION("""COMPUTED_VALUE"""),"Good")</f>
        <v>Good</v>
      </c>
      <c r="S312" t="str">
        <f>IFERROR(__xludf.DUMMYFUNCTION("""COMPUTED_VALUE"""),"Good")</f>
        <v>Good</v>
      </c>
      <c r="T312" t="str">
        <f>IFERROR(__xludf.DUMMYFUNCTION("""COMPUTED_VALUE"""),"Good")</f>
        <v>Good</v>
      </c>
      <c r="U312" t="str">
        <f>IFERROR(__xludf.DUMMYFUNCTION("""COMPUTED_VALUE"""),"Good")</f>
        <v>Good</v>
      </c>
      <c r="V312" t="str">
        <f>IFERROR(__xludf.DUMMYFUNCTION("""COMPUTED_VALUE"""),"Good")</f>
        <v>Good</v>
      </c>
      <c r="W312" t="str">
        <f>IFERROR(__xludf.DUMMYFUNCTION("""COMPUTED_VALUE"""),"Good")</f>
        <v>Good</v>
      </c>
      <c r="X312" t="str">
        <f>IFERROR(__xludf.DUMMYFUNCTION("""COMPUTED_VALUE"""),"Good")</f>
        <v>Good</v>
      </c>
      <c r="Y312" t="str">
        <f>IFERROR(__xludf.DUMMYFUNCTION("""COMPUTED_VALUE"""),"Good")</f>
        <v>Good</v>
      </c>
      <c r="Z312" t="str">
        <f>IFERROR(__xludf.DUMMYFUNCTION("""COMPUTED_VALUE"""),"Good")</f>
        <v>Good</v>
      </c>
      <c r="AA312" t="str">
        <f>IFERROR(__xludf.DUMMYFUNCTION("""COMPUTED_VALUE"""),"Good")</f>
        <v>Good</v>
      </c>
      <c r="AB312" t="str">
        <f>IFERROR(__xludf.DUMMYFUNCTION("""COMPUTED_VALUE"""),"Good")</f>
        <v>Good</v>
      </c>
      <c r="AC312" t="str">
        <f>IFERROR(__xludf.DUMMYFUNCTION("""COMPUTED_VALUE"""),"Good")</f>
        <v>Good</v>
      </c>
      <c r="AE312" s="11"/>
      <c r="AF312" t="s">
        <v>218</v>
      </c>
      <c r="AG312" s="17" t="s">
        <v>60</v>
      </c>
      <c r="AH312" s="12">
        <v>1409.0</v>
      </c>
      <c r="AI312" s="12" t="s">
        <v>888</v>
      </c>
      <c r="AJ312" s="19" t="s">
        <v>889</v>
      </c>
      <c r="AK312" s="20" t="str">
        <f>HYPERLINK("https://docs.google.com/document/d/1Nk9n5eyGbsbIoXNmGFa0tJ56gRlGDnbkMU66Pzi_7zQ/edit?usp=drivesdk","Pamela Marcum - 5/31/2019 10:00 AM")</f>
        <v>Pamela Marcum - 5/31/2019 10:00 AM</v>
      </c>
      <c r="AL312" s="12" t="s">
        <v>890</v>
      </c>
    </row>
    <row r="313">
      <c r="A313" s="10">
        <f>IFERROR(__xludf.DUMMYFUNCTION("""COMPUTED_VALUE"""),43616.37944949074)</f>
        <v>43616.37945</v>
      </c>
      <c r="B313" s="11" t="str">
        <f>IFERROR(__xludf.DUMMYFUNCTION("""COMPUTED_VALUE"""),"Pamela Marcum")</f>
        <v>Pamela Marcum</v>
      </c>
      <c r="C313" t="str">
        <f>IFERROR(__xludf.DUMMYFUNCTION("""COMPUTED_VALUE"""),"Pamela.Marcum@dep.state.fl.us")</f>
        <v>Pamela.Marcum@dep.state.fl.us</v>
      </c>
      <c r="D313" t="str">
        <f>IFERROR(__xludf.DUMMYFUNCTION("""COMPUTED_VALUE"""),"Research/Nikki")</f>
        <v>Research/Nikki</v>
      </c>
      <c r="E313" t="str">
        <f>IFERROR(__xludf.DUMMYFUNCTION("""COMPUTED_VALUE"""),"Aunt Kate's")</f>
        <v>Aunt Kate's</v>
      </c>
      <c r="F313" s="13">
        <f>IFERROR(__xludf.DUMMYFUNCTION("""COMPUTED_VALUE"""),0.5833333333321207)</f>
        <v>0.5833333333</v>
      </c>
      <c r="G313" s="14">
        <f>IFERROR(__xludf.DUMMYFUNCTION("""COMPUTED_VALUE"""),43616.0)</f>
        <v>43616</v>
      </c>
      <c r="H313" t="str">
        <f>IFERROR(__xludf.DUMMYFUNCTION("""COMPUTED_VALUE"""),"Guana/Tolomato")</f>
        <v>Guana/Tolomato</v>
      </c>
      <c r="I313" s="15">
        <f>IFERROR(__xludf.DUMMYFUNCTION("""COMPUTED_VALUE"""),0.7083333333321207)</f>
        <v>0.7083333333</v>
      </c>
      <c r="J313" s="16">
        <f>IFERROR(__xludf.DUMMYFUNCTION("""COMPUTED_VALUE"""),43616.72916666667)</f>
        <v>43616.72917</v>
      </c>
      <c r="K313" t="str">
        <f>IFERROR(__xludf.DUMMYFUNCTION("""COMPUTED_VALUE"""),"20ft Sea Ark FL5351SJ UNF 2015")</f>
        <v>20ft Sea Ark FL5351SJ UNF 2015</v>
      </c>
      <c r="M313" t="str">
        <f>IFERROR(__xludf.DUMMYFUNCTION("""COMPUTED_VALUE"""),"Ford F150 2008 - DEP18041 (SWMP Thing)")</f>
        <v>Ford F150 2008 - DEP18041 (SWMP Thing)</v>
      </c>
      <c r="N313" t="str">
        <f>IFERROR(__xludf.DUMMYFUNCTION("""COMPUTED_VALUE"""),"Pam Marcum, (480) 332-5414")</f>
        <v>Pam Marcum, (480) 332-5414</v>
      </c>
      <c r="O313" t="str">
        <f>IFERROR(__xludf.DUMMYFUNCTION("""COMPUTED_VALUE"""),"Alee Knoell, Adrienne Breef-Pilz, Allison Noble")</f>
        <v>Alee Knoell, Adrienne Breef-Pilz, Allison Noble</v>
      </c>
      <c r="P313" t="str">
        <f>IFERROR(__xludf.DUMMYFUNCTION("""COMPUTED_VALUE"""),"Pam")</f>
        <v>Pam</v>
      </c>
      <c r="Q313" t="str">
        <f>IFERROR(__xludf.DUMMYFUNCTION("""COMPUTED_VALUE"""),"Good")</f>
        <v>Good</v>
      </c>
      <c r="R313" t="str">
        <f>IFERROR(__xludf.DUMMYFUNCTION("""COMPUTED_VALUE"""),"Good")</f>
        <v>Good</v>
      </c>
      <c r="S313" t="str">
        <f>IFERROR(__xludf.DUMMYFUNCTION("""COMPUTED_VALUE"""),"Good")</f>
        <v>Good</v>
      </c>
      <c r="T313" t="str">
        <f>IFERROR(__xludf.DUMMYFUNCTION("""COMPUTED_VALUE"""),"Good")</f>
        <v>Good</v>
      </c>
      <c r="U313" t="str">
        <f>IFERROR(__xludf.DUMMYFUNCTION("""COMPUTED_VALUE"""),"Good")</f>
        <v>Good</v>
      </c>
      <c r="V313" t="str">
        <f>IFERROR(__xludf.DUMMYFUNCTION("""COMPUTED_VALUE"""),"Good")</f>
        <v>Good</v>
      </c>
      <c r="W313" t="str">
        <f>IFERROR(__xludf.DUMMYFUNCTION("""COMPUTED_VALUE"""),"Good")</f>
        <v>Good</v>
      </c>
      <c r="X313" t="str">
        <f>IFERROR(__xludf.DUMMYFUNCTION("""COMPUTED_VALUE"""),"Good")</f>
        <v>Good</v>
      </c>
      <c r="Y313" t="str">
        <f>IFERROR(__xludf.DUMMYFUNCTION("""COMPUTED_VALUE"""),"Good")</f>
        <v>Good</v>
      </c>
      <c r="Z313" t="str">
        <f>IFERROR(__xludf.DUMMYFUNCTION("""COMPUTED_VALUE"""),"Good")</f>
        <v>Good</v>
      </c>
      <c r="AA313" t="str">
        <f>IFERROR(__xludf.DUMMYFUNCTION("""COMPUTED_VALUE"""),"Good")</f>
        <v>Good</v>
      </c>
      <c r="AB313" t="str">
        <f>IFERROR(__xludf.DUMMYFUNCTION("""COMPUTED_VALUE"""),"Good")</f>
        <v>Good</v>
      </c>
      <c r="AC313" t="str">
        <f>IFERROR(__xludf.DUMMYFUNCTION("""COMPUTED_VALUE"""),"Good")</f>
        <v>Good</v>
      </c>
      <c r="AE313" s="11"/>
      <c r="AF313" t="s">
        <v>218</v>
      </c>
      <c r="AG313" s="17" t="s">
        <v>43</v>
      </c>
      <c r="AH313" s="12">
        <v>1736.0</v>
      </c>
      <c r="AI313" s="12" t="s">
        <v>891</v>
      </c>
      <c r="AJ313" s="19" t="s">
        <v>892</v>
      </c>
      <c r="AK313" s="20" t="str">
        <f>HYPERLINK("https://docs.google.com/document/d/1pj9crTN-CZHYzkL4JhT9dLlzLTPl3Fqv8RKEmTo6R1g/edit?usp=drivesdk","Pamela Marcum - 5/31/2019 2:00 PM")</f>
        <v>Pamela Marcum - 5/31/2019 2:00 PM</v>
      </c>
      <c r="AL313" s="12" t="s">
        <v>893</v>
      </c>
    </row>
    <row r="314">
      <c r="A314" s="10">
        <f>IFERROR(__xludf.DUMMYFUNCTION("""COMPUTED_VALUE"""),43619.378599282405)</f>
        <v>43619.3786</v>
      </c>
      <c r="B314" s="11" t="str">
        <f>IFERROR(__xludf.DUMMYFUNCTION("""COMPUTED_VALUE"""),"Jimmy")</f>
        <v>Jimmy</v>
      </c>
      <c r="C314" t="str">
        <f>IFERROR(__xludf.DUMMYFUNCTION("""COMPUTED_VALUE"""),"james.tomazinis@floridadep.gov")</f>
        <v>james.tomazinis@floridadep.gov</v>
      </c>
      <c r="D314" t="str">
        <f>IFERROR(__xludf.DUMMYFUNCTION("""COMPUTED_VALUE"""),"Stewardship (Aquatic)")</f>
        <v>Stewardship (Aquatic)</v>
      </c>
      <c r="E314" t="str">
        <f>IFERROR(__xludf.DUMMYFUNCTION("""COMPUTED_VALUE"""),"Guana Dam")</f>
        <v>Guana Dam</v>
      </c>
      <c r="F314" s="13">
        <f>IFERROR(__xludf.DUMMYFUNCTION("""COMPUTED_VALUE"""),0.4270833333321207)</f>
        <v>0.4270833333</v>
      </c>
      <c r="G314" s="14">
        <f>IFERROR(__xludf.DUMMYFUNCTION("""COMPUTED_VALUE"""),43619.0)</f>
        <v>43619</v>
      </c>
      <c r="H314" t="str">
        <f>IFERROR(__xludf.DUMMYFUNCTION("""COMPUTED_VALUE"""),"Guana River WQ sites")</f>
        <v>Guana River WQ sites</v>
      </c>
      <c r="I314" s="15">
        <f>IFERROR(__xludf.DUMMYFUNCTION("""COMPUTED_VALUE"""),0.4791666666678793)</f>
        <v>0.4791666667</v>
      </c>
      <c r="J314" s="16"/>
      <c r="K314" t="str">
        <f>IFERROR(__xludf.DUMMYFUNCTION("""COMPUTED_VALUE"""),"Jon Boat FL0484NP DEP06819")</f>
        <v>Jon Boat FL0484NP DEP06819</v>
      </c>
      <c r="M314" t="str">
        <f>IFERROR(__xludf.DUMMYFUNCTION("""COMPUTED_VALUE"""),"Ford F150 2015 (White) - DEP21448")</f>
        <v>Ford F150 2015 (White) - DEP21448</v>
      </c>
      <c r="N314" t="str">
        <f>IFERROR(__xludf.DUMMYFUNCTION("""COMPUTED_VALUE"""),"Jimmy Tomazinis, (904) 547-0094")</f>
        <v>Jimmy Tomazinis, (904) 547-0094</v>
      </c>
      <c r="O314" t="str">
        <f>IFERROR(__xludf.DUMMYFUNCTION("""COMPUTED_VALUE"""),"Chris Kurtz")</f>
        <v>Chris Kurtz</v>
      </c>
      <c r="P314" t="str">
        <f>IFERROR(__xludf.DUMMYFUNCTION("""COMPUTED_VALUE"""),"Jimmy")</f>
        <v>Jimmy</v>
      </c>
      <c r="Q314" t="str">
        <f>IFERROR(__xludf.DUMMYFUNCTION("""COMPUTED_VALUE"""),"Good")</f>
        <v>Good</v>
      </c>
      <c r="R314" t="str">
        <f>IFERROR(__xludf.DUMMYFUNCTION("""COMPUTED_VALUE"""),"Good")</f>
        <v>Good</v>
      </c>
      <c r="S314" t="str">
        <f>IFERROR(__xludf.DUMMYFUNCTION("""COMPUTED_VALUE"""),"Good")</f>
        <v>Good</v>
      </c>
      <c r="T314" t="str">
        <f>IFERROR(__xludf.DUMMYFUNCTION("""COMPUTED_VALUE"""),"Good")</f>
        <v>Good</v>
      </c>
      <c r="U314" t="str">
        <f>IFERROR(__xludf.DUMMYFUNCTION("""COMPUTED_VALUE"""),"Good")</f>
        <v>Good</v>
      </c>
      <c r="V314" t="str">
        <f>IFERROR(__xludf.DUMMYFUNCTION("""COMPUTED_VALUE"""),"Good")</f>
        <v>Good</v>
      </c>
      <c r="W314" t="str">
        <f>IFERROR(__xludf.DUMMYFUNCTION("""COMPUTED_VALUE"""),"Good")</f>
        <v>Good</v>
      </c>
      <c r="X314" t="str">
        <f>IFERROR(__xludf.DUMMYFUNCTION("""COMPUTED_VALUE"""),"Good")</f>
        <v>Good</v>
      </c>
      <c r="Y314" t="str">
        <f>IFERROR(__xludf.DUMMYFUNCTION("""COMPUTED_VALUE"""),"Good")</f>
        <v>Good</v>
      </c>
      <c r="Z314" t="str">
        <f>IFERROR(__xludf.DUMMYFUNCTION("""COMPUTED_VALUE"""),"Good")</f>
        <v>Good</v>
      </c>
      <c r="AA314" t="str">
        <f>IFERROR(__xludf.DUMMYFUNCTION("""COMPUTED_VALUE"""),"Good")</f>
        <v>Good</v>
      </c>
      <c r="AB314" t="str">
        <f>IFERROR(__xludf.DUMMYFUNCTION("""COMPUTED_VALUE"""),"Good")</f>
        <v>Good</v>
      </c>
      <c r="AC314" t="str">
        <f>IFERROR(__xludf.DUMMYFUNCTION("""COMPUTED_VALUE"""),"Good")</f>
        <v>Good</v>
      </c>
      <c r="AE314" s="11"/>
      <c r="AF314" t="s">
        <v>32</v>
      </c>
      <c r="AG314" s="18"/>
      <c r="AI314" s="12" t="s">
        <v>894</v>
      </c>
      <c r="AJ314" s="19" t="s">
        <v>895</v>
      </c>
      <c r="AK314" s="20" t="str">
        <f>HYPERLINK("https://docs.google.com/document/d/14h26rC8fooKg2LUPrRqgDafgqZqTt7bXcBEoYTV6AwQ/edit?usp=drivesdk","Jimmy - 6/3/2019 10:15 AM")</f>
        <v>Jimmy - 6/3/2019 10:15 AM</v>
      </c>
      <c r="AL314" s="12" t="s">
        <v>896</v>
      </c>
    </row>
    <row r="315">
      <c r="A315" s="10">
        <f>IFERROR(__xludf.DUMMYFUNCTION("""COMPUTED_VALUE"""),43620.37469038194)</f>
        <v>43620.37469</v>
      </c>
      <c r="B315" s="11" t="str">
        <f>IFERROR(__xludf.DUMMYFUNCTION("""COMPUTED_VALUE"""),"Silas Tanner")</f>
        <v>Silas Tanner</v>
      </c>
      <c r="C315" t="str">
        <f>IFERROR(__xludf.DUMMYFUNCTION("""COMPUTED_VALUE"""),"silas.tanner@floridadep.gov")</f>
        <v>silas.tanner@floridadep.gov</v>
      </c>
      <c r="D315" t="str">
        <f>IFERROR(__xludf.DUMMYFUNCTION("""COMPUTED_VALUE"""),"Research/Nikki")</f>
        <v>Research/Nikki</v>
      </c>
      <c r="E315" t="str">
        <f>IFERROR(__xludf.DUMMYFUNCTION("""COMPUTED_VALUE"""),"Vilano Landing")</f>
        <v>Vilano Landing</v>
      </c>
      <c r="F315" s="13">
        <f>IFERROR(__xludf.DUMMYFUNCTION("""COMPUTED_VALUE"""),0.3958333333321207)</f>
        <v>0.3958333333</v>
      </c>
      <c r="G315" s="14">
        <f>IFERROR(__xludf.DUMMYFUNCTION("""COMPUTED_VALUE"""),43620.0)</f>
        <v>43620</v>
      </c>
      <c r="H315" t="str">
        <f>IFERROR(__xludf.DUMMYFUNCTION("""COMPUTED_VALUE"""),"ICW SWMP sites")</f>
        <v>ICW SWMP sites</v>
      </c>
      <c r="I315" s="15">
        <f>IFERROR(__xludf.DUMMYFUNCTION("""COMPUTED_VALUE"""),0.6041666666678793)</f>
        <v>0.6041666667</v>
      </c>
      <c r="J315" s="16">
        <f>IFERROR(__xludf.DUMMYFUNCTION("""COMPUTED_VALUE"""),43620.11458333333)</f>
        <v>43620.11458</v>
      </c>
      <c r="K315" t="str">
        <f>IFERROR(__xludf.DUMMYFUNCTION("""COMPUTED_VALUE"""),"23ft Skiff (Bertha) FL7972LJ DEP07613")</f>
        <v>23ft Skiff (Bertha) FL7972LJ DEP07613</v>
      </c>
      <c r="M315" t="str">
        <f>IFERROR(__xludf.DUMMYFUNCTION("""COMPUTED_VALUE"""),"Ford F150 2015 (White) - DEP21448")</f>
        <v>Ford F150 2015 (White) - DEP21448</v>
      </c>
      <c r="N315" t="str">
        <f>IFERROR(__xludf.DUMMYFUNCTION("""COMPUTED_VALUE"""),"Silas Tanner, (904) 483-8423")</f>
        <v>Silas Tanner, (904) 483-8423</v>
      </c>
      <c r="O315" t="str">
        <f>IFERROR(__xludf.DUMMYFUNCTION("""COMPUTED_VALUE"""),"Molly Dent, Chris Kirk, Alie Knolles")</f>
        <v>Molly Dent, Chris Kirk, Alie Knolles</v>
      </c>
      <c r="P315" t="str">
        <f>IFERROR(__xludf.DUMMYFUNCTION("""COMPUTED_VALUE"""),"S. Tanner")</f>
        <v>S. Tanner</v>
      </c>
      <c r="Q315" t="str">
        <f>IFERROR(__xludf.DUMMYFUNCTION("""COMPUTED_VALUE"""),"Good")</f>
        <v>Good</v>
      </c>
      <c r="R315" t="str">
        <f>IFERROR(__xludf.DUMMYFUNCTION("""COMPUTED_VALUE"""),"Good")</f>
        <v>Good</v>
      </c>
      <c r="S315" t="str">
        <f>IFERROR(__xludf.DUMMYFUNCTION("""COMPUTED_VALUE"""),"Good")</f>
        <v>Good</v>
      </c>
      <c r="T315" t="str">
        <f>IFERROR(__xludf.DUMMYFUNCTION("""COMPUTED_VALUE"""),"Good")</f>
        <v>Good</v>
      </c>
      <c r="U315" t="str">
        <f>IFERROR(__xludf.DUMMYFUNCTION("""COMPUTED_VALUE"""),"Good")</f>
        <v>Good</v>
      </c>
      <c r="V315" t="str">
        <f>IFERROR(__xludf.DUMMYFUNCTION("""COMPUTED_VALUE"""),"Good")</f>
        <v>Good</v>
      </c>
      <c r="W315" t="str">
        <f>IFERROR(__xludf.DUMMYFUNCTION("""COMPUTED_VALUE"""),"Good")</f>
        <v>Good</v>
      </c>
      <c r="X315" t="str">
        <f>IFERROR(__xludf.DUMMYFUNCTION("""COMPUTED_VALUE"""),"Good")</f>
        <v>Good</v>
      </c>
      <c r="Y315" t="str">
        <f>IFERROR(__xludf.DUMMYFUNCTION("""COMPUTED_VALUE"""),"Good")</f>
        <v>Good</v>
      </c>
      <c r="Z315" t="str">
        <f>IFERROR(__xludf.DUMMYFUNCTION("""COMPUTED_VALUE"""),"Good")</f>
        <v>Good</v>
      </c>
      <c r="AA315" t="str">
        <f>IFERROR(__xludf.DUMMYFUNCTION("""COMPUTED_VALUE"""),"Good")</f>
        <v>Good</v>
      </c>
      <c r="AB315" t="str">
        <f>IFERROR(__xludf.DUMMYFUNCTION("""COMPUTED_VALUE"""),"Good")</f>
        <v>Good</v>
      </c>
      <c r="AC315" t="str">
        <f>IFERROR(__xludf.DUMMYFUNCTION("""COMPUTED_VALUE"""),"Good")</f>
        <v>Good</v>
      </c>
      <c r="AE315" s="11"/>
      <c r="AF315" t="s">
        <v>218</v>
      </c>
      <c r="AG315" s="17" t="s">
        <v>60</v>
      </c>
      <c r="AH315" s="12">
        <v>1425.0</v>
      </c>
      <c r="AI315" s="12" t="s">
        <v>897</v>
      </c>
      <c r="AJ315" s="19" t="s">
        <v>898</v>
      </c>
      <c r="AK315" s="20" t="str">
        <f>HYPERLINK("https://docs.google.com/document/d/1vYPfTu_pYzTS1kX81IUb2Yn5ePGYoFRClmcO458xK2w/edit?usp=drivesdk","Silas Tanner - 6/4/2019 9:30 AM")</f>
        <v>Silas Tanner - 6/4/2019 9:30 AM</v>
      </c>
      <c r="AL315" s="12" t="s">
        <v>899</v>
      </c>
    </row>
    <row r="316">
      <c r="A316" s="10">
        <f>IFERROR(__xludf.DUMMYFUNCTION("""COMPUTED_VALUE"""),43621.60393518519)</f>
        <v>43621.60394</v>
      </c>
      <c r="B316" s="11" t="str">
        <f>IFERROR(__xludf.DUMMYFUNCTION("""COMPUTED_VALUE"""),"Pam Marcum")</f>
        <v>Pam Marcum</v>
      </c>
      <c r="C316" t="str">
        <f>IFERROR(__xludf.DUMMYFUNCTION("""COMPUTED_VALUE"""),"Pamela.Marcum@Dep.state.fl.us")</f>
        <v>Pamela.Marcum@Dep.state.fl.us</v>
      </c>
      <c r="D316" t="str">
        <f>IFERROR(__xludf.DUMMYFUNCTION("""COMPUTED_VALUE"""),"Research/Nikki")</f>
        <v>Research/Nikki</v>
      </c>
      <c r="E316" t="str">
        <f>IFERROR(__xludf.DUMMYFUNCTION("""COMPUTED_VALUE"""),"Aunt Kate's")</f>
        <v>Aunt Kate's</v>
      </c>
      <c r="F316" s="13">
        <f>IFERROR(__xludf.DUMMYFUNCTION("""COMPUTED_VALUE"""),0.625)</f>
        <v>0.625</v>
      </c>
      <c r="G316" s="14">
        <f>IFERROR(__xludf.DUMMYFUNCTION("""COMPUTED_VALUE"""),43621.0)</f>
        <v>43621</v>
      </c>
      <c r="H316" t="str">
        <f>IFERROR(__xludf.DUMMYFUNCTION("""COMPUTED_VALUE"""),"Guana River and Pine Island")</f>
        <v>Guana River and Pine Island</v>
      </c>
      <c r="I316" s="15">
        <f>IFERROR(__xludf.DUMMYFUNCTION("""COMPUTED_VALUE"""),0.7916666666678793)</f>
        <v>0.7916666667</v>
      </c>
      <c r="J316" s="16">
        <f>IFERROR(__xludf.DUMMYFUNCTION("""COMPUTED_VALUE"""),43621.8125)</f>
        <v>43621.8125</v>
      </c>
      <c r="K316" t="str">
        <f>IFERROR(__xludf.DUMMYFUNCTION("""COMPUTED_VALUE"""),"20ft Sea Ark FL5351SJ UNF 2015")</f>
        <v>20ft Sea Ark FL5351SJ UNF 2015</v>
      </c>
      <c r="M316" t="str">
        <f>IFERROR(__xludf.DUMMYFUNCTION("""COMPUTED_VALUE"""),"Ford F150 2008 - DEP18041 (SWMP Thing)")</f>
        <v>Ford F150 2008 - DEP18041 (SWMP Thing)</v>
      </c>
      <c r="N316" t="str">
        <f>IFERROR(__xludf.DUMMYFUNCTION("""COMPUTED_VALUE"""),"Pam Marcum, (480) 332-5414")</f>
        <v>Pam Marcum, (480) 332-5414</v>
      </c>
      <c r="O316" t="str">
        <f>IFERROR(__xludf.DUMMYFUNCTION("""COMPUTED_VALUE"""),"Adrienne Breek-Pilz, Nicole Peckham, Allison Noble")</f>
        <v>Adrienne Breek-Pilz, Nicole Peckham, Allison Noble</v>
      </c>
      <c r="P316" t="str">
        <f>IFERROR(__xludf.DUMMYFUNCTION("""COMPUTED_VALUE"""),"Pam")</f>
        <v>Pam</v>
      </c>
      <c r="Q316" t="str">
        <f>IFERROR(__xludf.DUMMYFUNCTION("""COMPUTED_VALUE"""),"Good")</f>
        <v>Good</v>
      </c>
      <c r="R316" t="str">
        <f>IFERROR(__xludf.DUMMYFUNCTION("""COMPUTED_VALUE"""),"Good")</f>
        <v>Good</v>
      </c>
      <c r="S316" t="str">
        <f>IFERROR(__xludf.DUMMYFUNCTION("""COMPUTED_VALUE"""),"Good")</f>
        <v>Good</v>
      </c>
      <c r="T316" t="str">
        <f>IFERROR(__xludf.DUMMYFUNCTION("""COMPUTED_VALUE"""),"Good")</f>
        <v>Good</v>
      </c>
      <c r="U316" t="str">
        <f>IFERROR(__xludf.DUMMYFUNCTION("""COMPUTED_VALUE"""),"Good")</f>
        <v>Good</v>
      </c>
      <c r="V316" t="str">
        <f>IFERROR(__xludf.DUMMYFUNCTION("""COMPUTED_VALUE"""),"Good")</f>
        <v>Good</v>
      </c>
      <c r="W316" t="str">
        <f>IFERROR(__xludf.DUMMYFUNCTION("""COMPUTED_VALUE"""),"Good")</f>
        <v>Good</v>
      </c>
      <c r="X316" t="str">
        <f>IFERROR(__xludf.DUMMYFUNCTION("""COMPUTED_VALUE"""),"Good")</f>
        <v>Good</v>
      </c>
      <c r="Y316" t="str">
        <f>IFERROR(__xludf.DUMMYFUNCTION("""COMPUTED_VALUE"""),"Good")</f>
        <v>Good</v>
      </c>
      <c r="Z316" t="str">
        <f>IFERROR(__xludf.DUMMYFUNCTION("""COMPUTED_VALUE"""),"Good")</f>
        <v>Good</v>
      </c>
      <c r="AA316" t="str">
        <f>IFERROR(__xludf.DUMMYFUNCTION("""COMPUTED_VALUE"""),"Good")</f>
        <v>Good</v>
      </c>
      <c r="AB316" t="str">
        <f>IFERROR(__xludf.DUMMYFUNCTION("""COMPUTED_VALUE"""),"Good")</f>
        <v>Good</v>
      </c>
      <c r="AC316" t="str">
        <f>IFERROR(__xludf.DUMMYFUNCTION("""COMPUTED_VALUE"""),"Good")</f>
        <v>Good</v>
      </c>
      <c r="AE316" s="11"/>
      <c r="AF316" t="s">
        <v>218</v>
      </c>
      <c r="AG316" s="17" t="s">
        <v>43</v>
      </c>
      <c r="AH316" s="12">
        <v>1933.0</v>
      </c>
      <c r="AI316" s="12" t="s">
        <v>900</v>
      </c>
      <c r="AJ316" s="19" t="s">
        <v>901</v>
      </c>
      <c r="AK316" s="20" t="str">
        <f>HYPERLINK("https://docs.google.com/document/d/1qA0BXQylOFUw2Hvi7IhmXc7q1Hw-adob7CuuwLH6Z1g/edit?usp=drivesdk","Pam Marcum - 6/5/2019 3:00 PM")</f>
        <v>Pam Marcum - 6/5/2019 3:00 PM</v>
      </c>
      <c r="AL316" s="12" t="s">
        <v>902</v>
      </c>
    </row>
    <row r="317">
      <c r="A317" s="10">
        <f>IFERROR(__xludf.DUMMYFUNCTION("""COMPUTED_VALUE"""),43626.27949103009)</f>
        <v>43626.27949</v>
      </c>
      <c r="B317" s="11" t="str">
        <f>IFERROR(__xludf.DUMMYFUNCTION("""COMPUTED_VALUE"""),"Pam Marcum")</f>
        <v>Pam Marcum</v>
      </c>
      <c r="C317" t="str">
        <f>IFERROR(__xludf.DUMMYFUNCTION("""COMPUTED_VALUE"""),"Pamela.Marcum@dep.state.fl.us")</f>
        <v>Pamela.Marcum@dep.state.fl.us</v>
      </c>
      <c r="D317" t="str">
        <f>IFERROR(__xludf.DUMMYFUNCTION("""COMPUTED_VALUE"""),"Research/Nikki")</f>
        <v>Research/Nikki</v>
      </c>
      <c r="E317" t="str">
        <f>IFERROR(__xludf.DUMMYFUNCTION("""COMPUTED_VALUE"""),"Aunt Kate's")</f>
        <v>Aunt Kate's</v>
      </c>
      <c r="F317" s="13">
        <f>IFERROR(__xludf.DUMMYFUNCTION("""COMPUTED_VALUE"""),0.2916666666678793)</f>
        <v>0.2916666667</v>
      </c>
      <c r="G317" s="14">
        <f>IFERROR(__xludf.DUMMYFUNCTION("""COMPUTED_VALUE"""),43626.0)</f>
        <v>43626</v>
      </c>
      <c r="H317" t="str">
        <f>IFERROR(__xludf.DUMMYFUNCTION("""COMPUTED_VALUE"""),"Pine Island")</f>
        <v>Pine Island</v>
      </c>
      <c r="I317" s="15">
        <f>IFERROR(__xludf.DUMMYFUNCTION("""COMPUTED_VALUE"""),0.5833333333321207)</f>
        <v>0.5833333333</v>
      </c>
      <c r="J317" s="16">
        <f>IFERROR(__xludf.DUMMYFUNCTION("""COMPUTED_VALUE"""),43626.60416666667)</f>
        <v>43626.60417</v>
      </c>
      <c r="K317" t="str">
        <f>IFERROR(__xludf.DUMMYFUNCTION("""COMPUTED_VALUE"""),"F 20ft Sea Ark (Easy 200) FL8534PY DEP21451")</f>
        <v>F 20ft Sea Ark (Easy 200) FL8534PY DEP21451</v>
      </c>
      <c r="M317" t="str">
        <f>IFERROR(__xludf.DUMMYFUNCTION("""COMPUTED_VALUE"""),"Ford F250 2017 (Moby Dix) - DEP0021578")</f>
        <v>Ford F250 2017 (Moby Dix) - DEP0021578</v>
      </c>
      <c r="N317" t="str">
        <f>IFERROR(__xludf.DUMMYFUNCTION("""COMPUTED_VALUE"""),"Pam Marcum, (480) 332-5414, Mike Dickson")</f>
        <v>Pam Marcum, (480) 332-5414, Mike Dickson</v>
      </c>
      <c r="O317" t="str">
        <f>IFERROR(__xludf.DUMMYFUNCTION("""COMPUTED_VALUE"""),"Christine Angelini, Ray Grizzle, Patrick Norby, Molly Dent")</f>
        <v>Christine Angelini, Ray Grizzle, Patrick Norby, Molly Dent</v>
      </c>
      <c r="P317" t="str">
        <f>IFERROR(__xludf.DUMMYFUNCTION("""COMPUTED_VALUE"""),"Pam")</f>
        <v>Pam</v>
      </c>
      <c r="Q317" t="str">
        <f>IFERROR(__xludf.DUMMYFUNCTION("""COMPUTED_VALUE"""),"Good")</f>
        <v>Good</v>
      </c>
      <c r="R317" t="str">
        <f>IFERROR(__xludf.DUMMYFUNCTION("""COMPUTED_VALUE"""),"Good")</f>
        <v>Good</v>
      </c>
      <c r="S317" t="str">
        <f>IFERROR(__xludf.DUMMYFUNCTION("""COMPUTED_VALUE"""),"Good")</f>
        <v>Good</v>
      </c>
      <c r="T317" t="str">
        <f>IFERROR(__xludf.DUMMYFUNCTION("""COMPUTED_VALUE"""),"Good")</f>
        <v>Good</v>
      </c>
      <c r="U317" t="str">
        <f>IFERROR(__xludf.DUMMYFUNCTION("""COMPUTED_VALUE"""),"Good")</f>
        <v>Good</v>
      </c>
      <c r="V317" t="str">
        <f>IFERROR(__xludf.DUMMYFUNCTION("""COMPUTED_VALUE"""),"Good")</f>
        <v>Good</v>
      </c>
      <c r="W317" t="str">
        <f>IFERROR(__xludf.DUMMYFUNCTION("""COMPUTED_VALUE"""),"Good")</f>
        <v>Good</v>
      </c>
      <c r="X317" t="str">
        <f>IFERROR(__xludf.DUMMYFUNCTION("""COMPUTED_VALUE"""),"Good")</f>
        <v>Good</v>
      </c>
      <c r="Y317" t="str">
        <f>IFERROR(__xludf.DUMMYFUNCTION("""COMPUTED_VALUE"""),"Good")</f>
        <v>Good</v>
      </c>
      <c r="Z317" t="str">
        <f>IFERROR(__xludf.DUMMYFUNCTION("""COMPUTED_VALUE"""),"Good")</f>
        <v>Good</v>
      </c>
      <c r="AA317" t="str">
        <f>IFERROR(__xludf.DUMMYFUNCTION("""COMPUTED_VALUE"""),"Good")</f>
        <v>Good</v>
      </c>
      <c r="AB317" t="str">
        <f>IFERROR(__xludf.DUMMYFUNCTION("""COMPUTED_VALUE"""),"Good")</f>
        <v>Good</v>
      </c>
      <c r="AC317" t="str">
        <f>IFERROR(__xludf.DUMMYFUNCTION("""COMPUTED_VALUE"""),"Good")</f>
        <v>Good</v>
      </c>
      <c r="AE317" s="11"/>
      <c r="AF317" t="s">
        <v>218</v>
      </c>
      <c r="AG317" s="17" t="s">
        <v>43</v>
      </c>
      <c r="AH317" s="12">
        <v>1408.0</v>
      </c>
      <c r="AI317" s="12" t="s">
        <v>903</v>
      </c>
      <c r="AJ317" s="19" t="s">
        <v>904</v>
      </c>
      <c r="AK317" s="20" t="str">
        <f>HYPERLINK("https://docs.google.com/document/d/15x4EVSZ10MXuaxM4ij4M29WzWjxQAM3oj70GOLrnxF0/edit?usp=drivesdk","Pam Marcum - 6/10/2019 7:00 AM")</f>
        <v>Pam Marcum - 6/10/2019 7:00 AM</v>
      </c>
      <c r="AL317" s="12" t="s">
        <v>905</v>
      </c>
    </row>
    <row r="318">
      <c r="A318" s="10">
        <f>IFERROR(__xludf.DUMMYFUNCTION("""COMPUTED_VALUE"""),43627.28334494213)</f>
        <v>43627.28334</v>
      </c>
      <c r="B318" s="11" t="str">
        <f>IFERROR(__xludf.DUMMYFUNCTION("""COMPUTED_VALUE"""),"Pamela Marcum")</f>
        <v>Pamela Marcum</v>
      </c>
      <c r="C318" t="str">
        <f>IFERROR(__xludf.DUMMYFUNCTION("""COMPUTED_VALUE"""),"Pamela.Marcum@dep.state.fl.us")</f>
        <v>Pamela.Marcum@dep.state.fl.us</v>
      </c>
      <c r="D318" t="str">
        <f>IFERROR(__xludf.DUMMYFUNCTION("""COMPUTED_VALUE"""),"Research/Nikki")</f>
        <v>Research/Nikki</v>
      </c>
      <c r="E318" t="str">
        <f>IFERROR(__xludf.DUMMYFUNCTION("""COMPUTED_VALUE"""),"Palm Valley")</f>
        <v>Palm Valley</v>
      </c>
      <c r="F318" s="13">
        <f>IFERROR(__xludf.DUMMYFUNCTION("""COMPUTED_VALUE"""),0.3229166666678793)</f>
        <v>0.3229166667</v>
      </c>
      <c r="G318" s="14">
        <f>IFERROR(__xludf.DUMMYFUNCTION("""COMPUTED_VALUE"""),43627.0)</f>
        <v>43627</v>
      </c>
      <c r="H318" t="str">
        <f>IFERROR(__xludf.DUMMYFUNCTION("""COMPUTED_VALUE"""),"Pine Island")</f>
        <v>Pine Island</v>
      </c>
      <c r="I318" s="15">
        <f>IFERROR(__xludf.DUMMYFUNCTION("""COMPUTED_VALUE"""),0.5833333333321207)</f>
        <v>0.5833333333</v>
      </c>
      <c r="J318" s="16">
        <f>IFERROR(__xludf.DUMMYFUNCTION("""COMPUTED_VALUE"""),43627.60416666667)</f>
        <v>43627.60417</v>
      </c>
      <c r="K318" t="str">
        <f>IFERROR(__xludf.DUMMYFUNCTION("""COMPUTED_VALUE"""),"F 20ft Sea Ark (Easy 200) FL8534PY DEP21451")</f>
        <v>F 20ft Sea Ark (Easy 200) FL8534PY DEP21451</v>
      </c>
      <c r="M318" t="str">
        <f>IFERROR(__xludf.DUMMYFUNCTION("""COMPUTED_VALUE"""),"Ford F250 2017 (Moby Dix) - DEP0021578")</f>
        <v>Ford F250 2017 (Moby Dix) - DEP0021578</v>
      </c>
      <c r="N318" t="str">
        <f>IFERROR(__xludf.DUMMYFUNCTION("""COMPUTED_VALUE"""),"Pam Marcum, (480) 332-5414, Mike Dickson")</f>
        <v>Pam Marcum, (480) 332-5414, Mike Dickson</v>
      </c>
      <c r="O318" t="str">
        <f>IFERROR(__xludf.DUMMYFUNCTION("""COMPUTED_VALUE"""),"Molly Dent, Pantrick Norby, Ray Grizzle")</f>
        <v>Molly Dent, Pantrick Norby, Ray Grizzle</v>
      </c>
      <c r="P318" t="str">
        <f>IFERROR(__xludf.DUMMYFUNCTION("""COMPUTED_VALUE"""),"Pam")</f>
        <v>Pam</v>
      </c>
      <c r="Q318" t="str">
        <f>IFERROR(__xludf.DUMMYFUNCTION("""COMPUTED_VALUE"""),"Good")</f>
        <v>Good</v>
      </c>
      <c r="R318" t="str">
        <f>IFERROR(__xludf.DUMMYFUNCTION("""COMPUTED_VALUE"""),"Good")</f>
        <v>Good</v>
      </c>
      <c r="S318" t="str">
        <f>IFERROR(__xludf.DUMMYFUNCTION("""COMPUTED_VALUE"""),"Good")</f>
        <v>Good</v>
      </c>
      <c r="T318" t="str">
        <f>IFERROR(__xludf.DUMMYFUNCTION("""COMPUTED_VALUE"""),"Good")</f>
        <v>Good</v>
      </c>
      <c r="U318" t="str">
        <f>IFERROR(__xludf.DUMMYFUNCTION("""COMPUTED_VALUE"""),"Good")</f>
        <v>Good</v>
      </c>
      <c r="V318" t="str">
        <f>IFERROR(__xludf.DUMMYFUNCTION("""COMPUTED_VALUE"""),"Good")</f>
        <v>Good</v>
      </c>
      <c r="W318" t="str">
        <f>IFERROR(__xludf.DUMMYFUNCTION("""COMPUTED_VALUE"""),"Good")</f>
        <v>Good</v>
      </c>
      <c r="X318" t="str">
        <f>IFERROR(__xludf.DUMMYFUNCTION("""COMPUTED_VALUE"""),"Good")</f>
        <v>Good</v>
      </c>
      <c r="Y318" t="str">
        <f>IFERROR(__xludf.DUMMYFUNCTION("""COMPUTED_VALUE"""),"Good")</f>
        <v>Good</v>
      </c>
      <c r="Z318" t="str">
        <f>IFERROR(__xludf.DUMMYFUNCTION("""COMPUTED_VALUE"""),"Good")</f>
        <v>Good</v>
      </c>
      <c r="AA318" t="str">
        <f>IFERROR(__xludf.DUMMYFUNCTION("""COMPUTED_VALUE"""),"Good")</f>
        <v>Good</v>
      </c>
      <c r="AB318" t="str">
        <f>IFERROR(__xludf.DUMMYFUNCTION("""COMPUTED_VALUE"""),"Good")</f>
        <v>Good</v>
      </c>
      <c r="AC318" t="str">
        <f>IFERROR(__xludf.DUMMYFUNCTION("""COMPUTED_VALUE"""),"Good")</f>
        <v>Good</v>
      </c>
      <c r="AE318" s="11"/>
      <c r="AF318" t="s">
        <v>218</v>
      </c>
      <c r="AG318" s="17" t="s">
        <v>18</v>
      </c>
      <c r="AH318" s="12">
        <v>1430.0</v>
      </c>
      <c r="AI318" s="12" t="s">
        <v>906</v>
      </c>
      <c r="AJ318" s="19" t="s">
        <v>907</v>
      </c>
      <c r="AK318" s="20" t="str">
        <f>HYPERLINK("https://docs.google.com/document/d/1EYWgKjtFQfT6Aj2PtcKOQtTPMo2fy52Im86yup5t7eA/edit?usp=drivesdk","Pamela Marcum - 6/11/2019 7:45 AM")</f>
        <v>Pamela Marcum - 6/11/2019 7:45 AM</v>
      </c>
      <c r="AL318" s="12" t="s">
        <v>908</v>
      </c>
    </row>
    <row r="319">
      <c r="A319" s="10">
        <f>IFERROR(__xludf.DUMMYFUNCTION("""COMPUTED_VALUE"""),43628.35302855324)</f>
        <v>43628.35303</v>
      </c>
      <c r="B319" s="11" t="str">
        <f>IFERROR(__xludf.DUMMYFUNCTION("""COMPUTED_VALUE"""),"Jimmy")</f>
        <v>Jimmy</v>
      </c>
      <c r="C319" t="str">
        <f>IFERROR(__xludf.DUMMYFUNCTION("""COMPUTED_VALUE"""),"james.tomazinis@floridadep.gov")</f>
        <v>james.tomazinis@floridadep.gov</v>
      </c>
      <c r="D319" t="str">
        <f>IFERROR(__xludf.DUMMYFUNCTION("""COMPUTED_VALUE"""),"Stewardship (Aquatic)")</f>
        <v>Stewardship (Aquatic)</v>
      </c>
      <c r="E319" t="str">
        <f>IFERROR(__xludf.DUMMYFUNCTION("""COMPUTED_VALUE"""),"Vilano")</f>
        <v>Vilano</v>
      </c>
      <c r="F319" s="13">
        <f>IFERROR(__xludf.DUMMYFUNCTION("""COMPUTED_VALUE"""),0.3854166666678793)</f>
        <v>0.3854166667</v>
      </c>
      <c r="G319" s="14">
        <f>IFERROR(__xludf.DUMMYFUNCTION("""COMPUTED_VALUE"""),43628.0)</f>
        <v>43628</v>
      </c>
      <c r="H319" t="str">
        <f>IFERROR(__xludf.DUMMYFUNCTION("""COMPUTED_VALUE"""),"Tolomato Nekton sites")</f>
        <v>Tolomato Nekton sites</v>
      </c>
      <c r="I319" s="15">
        <f>IFERROR(__xludf.DUMMYFUNCTION("""COMPUTED_VALUE"""),0.6666666666678793)</f>
        <v>0.6666666667</v>
      </c>
      <c r="J319" s="16"/>
      <c r="K319" t="str">
        <f>IFERROR(__xludf.DUMMYFUNCTION("""COMPUTED_VALUE"""),"23ft Skiff (Bertha) FL7972LJ DEP07613")</f>
        <v>23ft Skiff (Bertha) FL7972LJ DEP07613</v>
      </c>
      <c r="M319" t="str">
        <f>IFERROR(__xludf.DUMMYFUNCTION("""COMPUTED_VALUE"""),"Ford F150 2015 (White) - DEP21448")</f>
        <v>Ford F150 2015 (White) - DEP21448</v>
      </c>
      <c r="N319" t="str">
        <f>IFERROR(__xludf.DUMMYFUNCTION("""COMPUTED_VALUE"""),"Jimmy Tomazinis, (904) 547-0094")</f>
        <v>Jimmy Tomazinis, (904) 547-0094</v>
      </c>
      <c r="O319" t="str">
        <f>IFERROR(__xludf.DUMMYFUNCTION("""COMPUTED_VALUE"""),"Jeff Finnan, Mary and Henry Mullin, Becky and Flagler student")</f>
        <v>Jeff Finnan, Mary and Henry Mullin, Becky and Flagler student</v>
      </c>
      <c r="P319" t="str">
        <f>IFERROR(__xludf.DUMMYFUNCTION("""COMPUTED_VALUE"""),"Jimmy")</f>
        <v>Jimmy</v>
      </c>
      <c r="Q319" t="str">
        <f>IFERROR(__xludf.DUMMYFUNCTION("""COMPUTED_VALUE"""),"Good")</f>
        <v>Good</v>
      </c>
      <c r="R319" t="str">
        <f>IFERROR(__xludf.DUMMYFUNCTION("""COMPUTED_VALUE"""),"Good")</f>
        <v>Good</v>
      </c>
      <c r="S319" t="str">
        <f>IFERROR(__xludf.DUMMYFUNCTION("""COMPUTED_VALUE"""),"Good")</f>
        <v>Good</v>
      </c>
      <c r="T319" t="str">
        <f>IFERROR(__xludf.DUMMYFUNCTION("""COMPUTED_VALUE"""),"Good")</f>
        <v>Good</v>
      </c>
      <c r="U319" t="str">
        <f>IFERROR(__xludf.DUMMYFUNCTION("""COMPUTED_VALUE"""),"Good")</f>
        <v>Good</v>
      </c>
      <c r="V319" t="str">
        <f>IFERROR(__xludf.DUMMYFUNCTION("""COMPUTED_VALUE"""),"Good")</f>
        <v>Good</v>
      </c>
      <c r="W319" t="str">
        <f>IFERROR(__xludf.DUMMYFUNCTION("""COMPUTED_VALUE"""),"Good")</f>
        <v>Good</v>
      </c>
      <c r="X319" t="str">
        <f>IFERROR(__xludf.DUMMYFUNCTION("""COMPUTED_VALUE"""),"Good")</f>
        <v>Good</v>
      </c>
      <c r="Y319" t="str">
        <f>IFERROR(__xludf.DUMMYFUNCTION("""COMPUTED_VALUE"""),"Good")</f>
        <v>Good</v>
      </c>
      <c r="Z319" t="str">
        <f>IFERROR(__xludf.DUMMYFUNCTION("""COMPUTED_VALUE"""),"Good")</f>
        <v>Good</v>
      </c>
      <c r="AA319" t="str">
        <f>IFERROR(__xludf.DUMMYFUNCTION("""COMPUTED_VALUE"""),"Good")</f>
        <v>Good</v>
      </c>
      <c r="AB319" t="str">
        <f>IFERROR(__xludf.DUMMYFUNCTION("""COMPUTED_VALUE"""),"Good")</f>
        <v>Good</v>
      </c>
      <c r="AC319" t="str">
        <f>IFERROR(__xludf.DUMMYFUNCTION("""COMPUTED_VALUE"""),"Good")</f>
        <v>Good</v>
      </c>
      <c r="AE319" s="11"/>
      <c r="AF319" t="s">
        <v>32</v>
      </c>
      <c r="AG319" s="17" t="s">
        <v>18</v>
      </c>
      <c r="AH319" s="12">
        <v>1600.0</v>
      </c>
      <c r="AI319" s="12" t="s">
        <v>909</v>
      </c>
      <c r="AJ319" s="19" t="s">
        <v>910</v>
      </c>
      <c r="AK319" s="20" t="str">
        <f>HYPERLINK("https://docs.google.com/document/d/1nBWzBiDSsyiR3ju6LhrlU1ZVjn_PV5JBs4--S8E4a3Q/edit?usp=drivesdk","Jimmy - 6/12/2019 9:15 AM")</f>
        <v>Jimmy - 6/12/2019 9:15 AM</v>
      </c>
      <c r="AL319" s="12" t="s">
        <v>911</v>
      </c>
    </row>
    <row r="320">
      <c r="A320" s="10">
        <f>IFERROR(__xludf.DUMMYFUNCTION("""COMPUTED_VALUE"""),43629.41591462962)</f>
        <v>43629.41591</v>
      </c>
      <c r="B320" s="11" t="str">
        <f>IFERROR(__xludf.DUMMYFUNCTION("""COMPUTED_VALUE"""),"Jimmy")</f>
        <v>Jimmy</v>
      </c>
      <c r="C320" t="str">
        <f>IFERROR(__xludf.DUMMYFUNCTION("""COMPUTED_VALUE"""),"james.tomazinis@floridadep.gov")</f>
        <v>james.tomazinis@floridadep.gov</v>
      </c>
      <c r="D320" t="str">
        <f>IFERROR(__xludf.DUMMYFUNCTION("""COMPUTED_VALUE"""),"Stewardship (Aquatic)")</f>
        <v>Stewardship (Aquatic)</v>
      </c>
      <c r="E320" t="str">
        <f>IFERROR(__xludf.DUMMYFUNCTION("""COMPUTED_VALUE"""),"Vilano")</f>
        <v>Vilano</v>
      </c>
      <c r="F320" s="13">
        <f>IFERROR(__xludf.DUMMYFUNCTION("""COMPUTED_VALUE"""),0.4375)</f>
        <v>0.4375</v>
      </c>
      <c r="G320" s="14">
        <f>IFERROR(__xludf.DUMMYFUNCTION("""COMPUTED_VALUE"""),43629.0)</f>
        <v>43629</v>
      </c>
      <c r="H320" t="str">
        <f>IFERROR(__xludf.DUMMYFUNCTION("""COMPUTED_VALUE"""),"Tolomato Nekton sites")</f>
        <v>Tolomato Nekton sites</v>
      </c>
      <c r="I320" s="15">
        <f>IFERROR(__xludf.DUMMYFUNCTION("""COMPUTED_VALUE"""),0.6875)</f>
        <v>0.6875</v>
      </c>
      <c r="J320" s="16"/>
      <c r="K320" t="str">
        <f>IFERROR(__xludf.DUMMYFUNCTION("""COMPUTED_VALUE"""),"23ft Skiff (Bertha) FL7972LJ DEP07613")</f>
        <v>23ft Skiff (Bertha) FL7972LJ DEP07613</v>
      </c>
      <c r="M320" t="str">
        <f>IFERROR(__xludf.DUMMYFUNCTION("""COMPUTED_VALUE"""),"Ford F150 2015 (White) - DEP21448")</f>
        <v>Ford F150 2015 (White) - DEP21448</v>
      </c>
      <c r="N320" t="str">
        <f>IFERROR(__xludf.DUMMYFUNCTION("""COMPUTED_VALUE"""),"Jimmy Tomazinis, (904) 547-0094")</f>
        <v>Jimmy Tomazinis, (904) 547-0094</v>
      </c>
      <c r="O320" t="str">
        <f>IFERROR(__xludf.DUMMYFUNCTION("""COMPUTED_VALUE"""),"Chris Kurtz, Trevor, Henry, Liv, Dickson")</f>
        <v>Chris Kurtz, Trevor, Henry, Liv, Dickson</v>
      </c>
      <c r="P320" t="str">
        <f>IFERROR(__xludf.DUMMYFUNCTION("""COMPUTED_VALUE"""),"Jimmy")</f>
        <v>Jimmy</v>
      </c>
      <c r="Q320" t="str">
        <f>IFERROR(__xludf.DUMMYFUNCTION("""COMPUTED_VALUE"""),"Good")</f>
        <v>Good</v>
      </c>
      <c r="R320" t="str">
        <f>IFERROR(__xludf.DUMMYFUNCTION("""COMPUTED_VALUE"""),"Good")</f>
        <v>Good</v>
      </c>
      <c r="S320" t="str">
        <f>IFERROR(__xludf.DUMMYFUNCTION("""COMPUTED_VALUE"""),"Good")</f>
        <v>Good</v>
      </c>
      <c r="U320" t="str">
        <f>IFERROR(__xludf.DUMMYFUNCTION("""COMPUTED_VALUE"""),"Good")</f>
        <v>Good</v>
      </c>
      <c r="V320" t="str">
        <f>IFERROR(__xludf.DUMMYFUNCTION("""COMPUTED_VALUE"""),"Good")</f>
        <v>Good</v>
      </c>
      <c r="W320" t="str">
        <f>IFERROR(__xludf.DUMMYFUNCTION("""COMPUTED_VALUE"""),"Good")</f>
        <v>Good</v>
      </c>
      <c r="X320" t="str">
        <f>IFERROR(__xludf.DUMMYFUNCTION("""COMPUTED_VALUE"""),"Good")</f>
        <v>Good</v>
      </c>
      <c r="Y320" t="str">
        <f>IFERROR(__xludf.DUMMYFUNCTION("""COMPUTED_VALUE"""),"Good")</f>
        <v>Good</v>
      </c>
      <c r="Z320" t="str">
        <f>IFERROR(__xludf.DUMMYFUNCTION("""COMPUTED_VALUE"""),"Good")</f>
        <v>Good</v>
      </c>
      <c r="AA320" t="str">
        <f>IFERROR(__xludf.DUMMYFUNCTION("""COMPUTED_VALUE"""),"Good")</f>
        <v>Good</v>
      </c>
      <c r="AB320" t="str">
        <f>IFERROR(__xludf.DUMMYFUNCTION("""COMPUTED_VALUE"""),"Good")</f>
        <v>Good</v>
      </c>
      <c r="AC320" t="str">
        <f>IFERROR(__xludf.DUMMYFUNCTION("""COMPUTED_VALUE"""),"Good")</f>
        <v>Good</v>
      </c>
      <c r="AE320" s="11"/>
      <c r="AF320" t="s">
        <v>32</v>
      </c>
      <c r="AG320" s="17" t="s">
        <v>22</v>
      </c>
      <c r="AI320" s="12" t="s">
        <v>912</v>
      </c>
      <c r="AJ320" s="19" t="s">
        <v>913</v>
      </c>
      <c r="AK320" s="20" t="str">
        <f>HYPERLINK("https://docs.google.com/document/d/164X_Qm-57KZWpDwSlzujouQd4VaB5hOiv035HofNRW4/edit?usp=drivesdk","Jimmy - 6/13/2019 10:30 AM")</f>
        <v>Jimmy - 6/13/2019 10:30 AM</v>
      </c>
      <c r="AL320" s="12" t="s">
        <v>914</v>
      </c>
    </row>
    <row r="321">
      <c r="A321" s="10">
        <f>IFERROR(__xludf.DUMMYFUNCTION("""COMPUTED_VALUE"""),43630.358919791666)</f>
        <v>43630.35892</v>
      </c>
      <c r="B321" s="11" t="str">
        <f>IFERROR(__xludf.DUMMYFUNCTION("""COMPUTED_VALUE"""),"Jimmy")</f>
        <v>Jimmy</v>
      </c>
      <c r="C321" t="str">
        <f>IFERROR(__xludf.DUMMYFUNCTION("""COMPUTED_VALUE"""),"james.tomazinis@floridadep.gov")</f>
        <v>james.tomazinis@floridadep.gov</v>
      </c>
      <c r="D321" t="str">
        <f>IFERROR(__xludf.DUMMYFUNCTION("""COMPUTED_VALUE"""),"Stewardship (Aquatic)")</f>
        <v>Stewardship (Aquatic)</v>
      </c>
      <c r="E321" t="str">
        <f>IFERROR(__xludf.DUMMYFUNCTION("""COMPUTED_VALUE"""),"Vilano")</f>
        <v>Vilano</v>
      </c>
      <c r="F321" s="13">
        <f>IFERROR(__xludf.DUMMYFUNCTION("""COMPUTED_VALUE"""),0.3854166666678793)</f>
        <v>0.3854166667</v>
      </c>
      <c r="G321" s="14">
        <f>IFERROR(__xludf.DUMMYFUNCTION("""COMPUTED_VALUE"""),43630.0)</f>
        <v>43630</v>
      </c>
      <c r="H321" t="str">
        <f>IFERROR(__xludf.DUMMYFUNCTION("""COMPUTED_VALUE"""),"Matanzas Nekton sites")</f>
        <v>Matanzas Nekton sites</v>
      </c>
      <c r="I321" s="15">
        <f>IFERROR(__xludf.DUMMYFUNCTION("""COMPUTED_VALUE"""),0.6875)</f>
        <v>0.6875</v>
      </c>
      <c r="J321" s="16"/>
      <c r="K321" t="str">
        <f>IFERROR(__xludf.DUMMYFUNCTION("""COMPUTED_VALUE"""),"23ft Skiff (Bertha) FL7972LJ DEP07613")</f>
        <v>23ft Skiff (Bertha) FL7972LJ DEP07613</v>
      </c>
      <c r="M321" t="str">
        <f>IFERROR(__xludf.DUMMYFUNCTION("""COMPUTED_VALUE"""),"Ford F150 2015 (White) - DEP21448")</f>
        <v>Ford F150 2015 (White) - DEP21448</v>
      </c>
      <c r="N321" t="str">
        <f>IFERROR(__xludf.DUMMYFUNCTION("""COMPUTED_VALUE"""),"Jimmy Tomazinis, (904) 547-0094")</f>
        <v>Jimmy Tomazinis, (904) 547-0094</v>
      </c>
      <c r="O321" t="str">
        <f>IFERROR(__xludf.DUMMYFUNCTION("""COMPUTED_VALUE"""),"Jeff Finnan, Chris Kurtz, Trevor, Andy, Steve")</f>
        <v>Jeff Finnan, Chris Kurtz, Trevor, Andy, Steve</v>
      </c>
      <c r="P321" t="str">
        <f>IFERROR(__xludf.DUMMYFUNCTION("""COMPUTED_VALUE"""),"Jimmy")</f>
        <v>Jimmy</v>
      </c>
      <c r="Q321" t="str">
        <f>IFERROR(__xludf.DUMMYFUNCTION("""COMPUTED_VALUE"""),"Good")</f>
        <v>Good</v>
      </c>
      <c r="R321" t="str">
        <f>IFERROR(__xludf.DUMMYFUNCTION("""COMPUTED_VALUE"""),"Good")</f>
        <v>Good</v>
      </c>
      <c r="S321" t="str">
        <f>IFERROR(__xludf.DUMMYFUNCTION("""COMPUTED_VALUE"""),"Good")</f>
        <v>Good</v>
      </c>
      <c r="T321" t="str">
        <f>IFERROR(__xludf.DUMMYFUNCTION("""COMPUTED_VALUE"""),"Good")</f>
        <v>Good</v>
      </c>
      <c r="U321" t="str">
        <f>IFERROR(__xludf.DUMMYFUNCTION("""COMPUTED_VALUE"""),"Good")</f>
        <v>Good</v>
      </c>
      <c r="V321" t="str">
        <f>IFERROR(__xludf.DUMMYFUNCTION("""COMPUTED_VALUE"""),"Good")</f>
        <v>Good</v>
      </c>
      <c r="W321" t="str">
        <f>IFERROR(__xludf.DUMMYFUNCTION("""COMPUTED_VALUE"""),"Good")</f>
        <v>Good</v>
      </c>
      <c r="X321" t="str">
        <f>IFERROR(__xludf.DUMMYFUNCTION("""COMPUTED_VALUE"""),"Good")</f>
        <v>Good</v>
      </c>
      <c r="Y321" t="str">
        <f>IFERROR(__xludf.DUMMYFUNCTION("""COMPUTED_VALUE"""),"Good")</f>
        <v>Good</v>
      </c>
      <c r="Z321" t="str">
        <f>IFERROR(__xludf.DUMMYFUNCTION("""COMPUTED_VALUE"""),"Good")</f>
        <v>Good</v>
      </c>
      <c r="AA321" t="str">
        <f>IFERROR(__xludf.DUMMYFUNCTION("""COMPUTED_VALUE"""),"Good")</f>
        <v>Good</v>
      </c>
      <c r="AB321" t="str">
        <f>IFERROR(__xludf.DUMMYFUNCTION("""COMPUTED_VALUE"""),"Good")</f>
        <v>Good</v>
      </c>
      <c r="AC321" t="str">
        <f>IFERROR(__xludf.DUMMYFUNCTION("""COMPUTED_VALUE"""),"Good")</f>
        <v>Good</v>
      </c>
      <c r="AE321" s="11"/>
      <c r="AF321" t="s">
        <v>32</v>
      </c>
      <c r="AG321" s="17" t="s">
        <v>22</v>
      </c>
      <c r="AI321" s="12" t="s">
        <v>915</v>
      </c>
      <c r="AJ321" s="19" t="s">
        <v>916</v>
      </c>
      <c r="AK321" s="20" t="str">
        <f>HYPERLINK("https://docs.google.com/document/d/1vh9SYwexF7o-MJsnwZb4b3TupfyrNa39KjhqGok5m9c/edit?usp=drivesdk","Jimmy - 6/14/2019 9:15 AM")</f>
        <v>Jimmy - 6/14/2019 9:15 AM</v>
      </c>
      <c r="AL321" s="12" t="s">
        <v>917</v>
      </c>
    </row>
    <row r="322">
      <c r="A322" s="10">
        <f>IFERROR(__xludf.DUMMYFUNCTION("""COMPUTED_VALUE"""),43633.729534432874)</f>
        <v>43633.72953</v>
      </c>
      <c r="B322" s="11" t="str">
        <f>IFERROR(__xludf.DUMMYFUNCTION("""COMPUTED_VALUE"""),"Silas Tanner")</f>
        <v>Silas Tanner</v>
      </c>
      <c r="C322" t="str">
        <f>IFERROR(__xludf.DUMMYFUNCTION("""COMPUTED_VALUE"""),"silas.tanner@floridadep.gov")</f>
        <v>silas.tanner@floridadep.gov</v>
      </c>
      <c r="D322" t="str">
        <f>IFERROR(__xludf.DUMMYFUNCTION("""COMPUTED_VALUE"""),"Research/Nikki")</f>
        <v>Research/Nikki</v>
      </c>
      <c r="E322" t="str">
        <f>IFERROR(__xludf.DUMMYFUNCTION("""COMPUTED_VALUE"""),"Douglas Crane boat ramp")</f>
        <v>Douglas Crane boat ramp</v>
      </c>
      <c r="F322" s="13">
        <f>IFERROR(__xludf.DUMMYFUNCTION("""COMPUTED_VALUE"""),0.3541666666678793)</f>
        <v>0.3541666667</v>
      </c>
      <c r="G322" s="14">
        <f>IFERROR(__xludf.DUMMYFUNCTION("""COMPUTED_VALUE"""),43634.0)</f>
        <v>43634</v>
      </c>
      <c r="H322" t="str">
        <f>IFERROR(__xludf.DUMMYFUNCTION("""COMPUTED_VALUE"""),"ICW SWMP sites")</f>
        <v>ICW SWMP sites</v>
      </c>
      <c r="I322" s="15">
        <f>IFERROR(__xludf.DUMMYFUNCTION("""COMPUTED_VALUE"""),0.5833333333321207)</f>
        <v>0.5833333333</v>
      </c>
      <c r="J322" s="16">
        <f>IFERROR(__xludf.DUMMYFUNCTION("""COMPUTED_VALUE"""),43633.60416666667)</f>
        <v>43633.60417</v>
      </c>
      <c r="K322" t="str">
        <f>IFERROR(__xludf.DUMMYFUNCTION("""COMPUTED_VALUE"""),"23ft Skiff (Bertha) FL7972LJ DEP07613")</f>
        <v>23ft Skiff (Bertha) FL7972LJ DEP07613</v>
      </c>
      <c r="M322" t="str">
        <f>IFERROR(__xludf.DUMMYFUNCTION("""COMPUTED_VALUE"""),"Ford F250 2017 (Moby Dix) - DEP0021578")</f>
        <v>Ford F250 2017 (Moby Dix) - DEP0021578</v>
      </c>
      <c r="N322" t="str">
        <f>IFERROR(__xludf.DUMMYFUNCTION("""COMPUTED_VALUE"""),"Silas Tanner, (904) 483-8423")</f>
        <v>Silas Tanner, (904) 483-8423</v>
      </c>
      <c r="O322" t="str">
        <f>IFERROR(__xludf.DUMMYFUNCTION("""COMPUTED_VALUE"""),"Remo Mondazi, Molly Dent")</f>
        <v>Remo Mondazi, Molly Dent</v>
      </c>
      <c r="P322" t="str">
        <f>IFERROR(__xludf.DUMMYFUNCTION("""COMPUTED_VALUE"""),"Silas Tanner")</f>
        <v>Silas Tanner</v>
      </c>
      <c r="Q322" t="str">
        <f>IFERROR(__xludf.DUMMYFUNCTION("""COMPUTED_VALUE"""),"Good")</f>
        <v>Good</v>
      </c>
      <c r="R322" t="str">
        <f>IFERROR(__xludf.DUMMYFUNCTION("""COMPUTED_VALUE"""),"Good")</f>
        <v>Good</v>
      </c>
      <c r="S322" t="str">
        <f>IFERROR(__xludf.DUMMYFUNCTION("""COMPUTED_VALUE"""),"Good")</f>
        <v>Good</v>
      </c>
      <c r="T322" t="str">
        <f>IFERROR(__xludf.DUMMYFUNCTION("""COMPUTED_VALUE"""),"Good")</f>
        <v>Good</v>
      </c>
      <c r="U322" t="str">
        <f>IFERROR(__xludf.DUMMYFUNCTION("""COMPUTED_VALUE"""),"Good")</f>
        <v>Good</v>
      </c>
      <c r="V322" t="str">
        <f>IFERROR(__xludf.DUMMYFUNCTION("""COMPUTED_VALUE"""),"Good")</f>
        <v>Good</v>
      </c>
      <c r="W322" t="str">
        <f>IFERROR(__xludf.DUMMYFUNCTION("""COMPUTED_VALUE"""),"Good")</f>
        <v>Good</v>
      </c>
      <c r="X322" t="str">
        <f>IFERROR(__xludf.DUMMYFUNCTION("""COMPUTED_VALUE"""),"Good")</f>
        <v>Good</v>
      </c>
      <c r="Y322" t="str">
        <f>IFERROR(__xludf.DUMMYFUNCTION("""COMPUTED_VALUE"""),"Good")</f>
        <v>Good</v>
      </c>
      <c r="Z322" t="str">
        <f>IFERROR(__xludf.DUMMYFUNCTION("""COMPUTED_VALUE"""),"Good")</f>
        <v>Good</v>
      </c>
      <c r="AA322" t="str">
        <f>IFERROR(__xludf.DUMMYFUNCTION("""COMPUTED_VALUE"""),"Good")</f>
        <v>Good</v>
      </c>
      <c r="AB322" t="str">
        <f>IFERROR(__xludf.DUMMYFUNCTION("""COMPUTED_VALUE"""),"Good")</f>
        <v>Good</v>
      </c>
      <c r="AC322" t="str">
        <f>IFERROR(__xludf.DUMMYFUNCTION("""COMPUTED_VALUE"""),"Good")</f>
        <v>Good</v>
      </c>
      <c r="AE322" s="11"/>
      <c r="AF322" t="s">
        <v>218</v>
      </c>
      <c r="AG322" s="17" t="s">
        <v>115</v>
      </c>
      <c r="AH322" s="12">
        <v>1220.0</v>
      </c>
      <c r="AI322" s="12" t="s">
        <v>918</v>
      </c>
      <c r="AJ322" s="19" t="s">
        <v>919</v>
      </c>
      <c r="AK322" s="20" t="str">
        <f>HYPERLINK("https://docs.google.com/document/d/1qfUcmR9cqqC24YrVwYMSNWmDE13w6gaXtQiKLuEI16A/edit?usp=drivesdk","Silas Tanner - 6/18/2019 8:30 AM")</f>
        <v>Silas Tanner - 6/18/2019 8:30 AM</v>
      </c>
      <c r="AL322" s="12" t="s">
        <v>920</v>
      </c>
    </row>
    <row r="323">
      <c r="A323" s="10">
        <f>IFERROR(__xludf.DUMMYFUNCTION("""COMPUTED_VALUE"""),43634.36699412038)</f>
        <v>43634.36699</v>
      </c>
      <c r="B323" s="11" t="str">
        <f>IFERROR(__xludf.DUMMYFUNCTION("""COMPUTED_VALUE"""),"Jimmy")</f>
        <v>Jimmy</v>
      </c>
      <c r="C323" t="str">
        <f>IFERROR(__xludf.DUMMYFUNCTION("""COMPUTED_VALUE"""),"james.tomazinis@floridadep.gov")</f>
        <v>james.tomazinis@floridadep.gov</v>
      </c>
      <c r="D323" t="str">
        <f>IFERROR(__xludf.DUMMYFUNCTION("""COMPUTED_VALUE"""),"Stewardship (Aquatic)")</f>
        <v>Stewardship (Aquatic)</v>
      </c>
      <c r="E323" t="str">
        <f>IFERROR(__xludf.DUMMYFUNCTION("""COMPUTED_VALUE"""),"Whitney")</f>
        <v>Whitney</v>
      </c>
      <c r="F323" s="13">
        <f>IFERROR(__xludf.DUMMYFUNCTION("""COMPUTED_VALUE"""),0.4166666666678793)</f>
        <v>0.4166666667</v>
      </c>
      <c r="G323" s="14">
        <f>IFERROR(__xludf.DUMMYFUNCTION("""COMPUTED_VALUE"""),43634.0)</f>
        <v>43634</v>
      </c>
      <c r="H323" t="str">
        <f>IFERROR(__xludf.DUMMYFUNCTION("""COMPUTED_VALUE"""),"Summerhaven")</f>
        <v>Summerhaven</v>
      </c>
      <c r="I323" s="15">
        <f>IFERROR(__xludf.DUMMYFUNCTION("""COMPUTED_VALUE"""),0.5625)</f>
        <v>0.5625</v>
      </c>
      <c r="J323" s="16"/>
      <c r="K323" t="str">
        <f>IFERROR(__xludf.DUMMYFUNCTION("""COMPUTED_VALUE"""),"Kayak(s), Canoe/Kayak Trailer DEP06086")</f>
        <v>Kayak(s), Canoe/Kayak Trailer DEP06086</v>
      </c>
      <c r="L323">
        <f>IFERROR(__xludf.DUMMYFUNCTION("""COMPUTED_VALUE"""),4.0)</f>
        <v>4</v>
      </c>
      <c r="M323" t="str">
        <f>IFERROR(__xludf.DUMMYFUNCTION("""COMPUTED_VALUE"""),"Ford F150 2015 (White) - DEP21448")</f>
        <v>Ford F150 2015 (White) - DEP21448</v>
      </c>
      <c r="N323" t="str">
        <f>IFERROR(__xludf.DUMMYFUNCTION("""COMPUTED_VALUE"""),"Jimmy Tomazinis, (904) 547-0094")</f>
        <v>Jimmy Tomazinis, (904) 547-0094</v>
      </c>
      <c r="O323" t="str">
        <f>IFERROR(__xludf.DUMMYFUNCTION("""COMPUTED_VALUE"""),"Pam Marcum, (480) 332-5414, Shannon Dunnigan, (803) 727-5734, Jessica Lee, Alee Knoell")</f>
        <v>Pam Marcum, (480) 332-5414, Shannon Dunnigan, (803) 727-5734, Jessica Lee, Alee Knoell</v>
      </c>
      <c r="P323" t="str">
        <f>IFERROR(__xludf.DUMMYFUNCTION("""COMPUTED_VALUE"""),"Jimmy")</f>
        <v>Jimmy</v>
      </c>
      <c r="Q323" t="str">
        <f>IFERROR(__xludf.DUMMYFUNCTION("""COMPUTED_VALUE"""),"Good")</f>
        <v>Good</v>
      </c>
      <c r="R323" t="str">
        <f>IFERROR(__xludf.DUMMYFUNCTION("""COMPUTED_VALUE"""),"Good")</f>
        <v>Good</v>
      </c>
      <c r="S323" t="str">
        <f>IFERROR(__xludf.DUMMYFUNCTION("""COMPUTED_VALUE"""),"Good")</f>
        <v>Good</v>
      </c>
      <c r="T323" t="str">
        <f>IFERROR(__xludf.DUMMYFUNCTION("""COMPUTED_VALUE"""),"Good")</f>
        <v>Good</v>
      </c>
      <c r="U323" t="str">
        <f>IFERROR(__xludf.DUMMYFUNCTION("""COMPUTED_VALUE"""),"Good")</f>
        <v>Good</v>
      </c>
      <c r="V323" t="str">
        <f>IFERROR(__xludf.DUMMYFUNCTION("""COMPUTED_VALUE"""),"Good")</f>
        <v>Good</v>
      </c>
      <c r="W323" t="str">
        <f>IFERROR(__xludf.DUMMYFUNCTION("""COMPUTED_VALUE"""),"Good")</f>
        <v>Good</v>
      </c>
      <c r="X323" t="str">
        <f>IFERROR(__xludf.DUMMYFUNCTION("""COMPUTED_VALUE"""),"Good")</f>
        <v>Good</v>
      </c>
      <c r="Y323" t="str">
        <f>IFERROR(__xludf.DUMMYFUNCTION("""COMPUTED_VALUE"""),"Good")</f>
        <v>Good</v>
      </c>
      <c r="Z323" t="str">
        <f>IFERROR(__xludf.DUMMYFUNCTION("""COMPUTED_VALUE"""),"Good")</f>
        <v>Good</v>
      </c>
      <c r="AA323" t="str">
        <f>IFERROR(__xludf.DUMMYFUNCTION("""COMPUTED_VALUE"""),"Good")</f>
        <v>Good</v>
      </c>
      <c r="AB323" t="str">
        <f>IFERROR(__xludf.DUMMYFUNCTION("""COMPUTED_VALUE"""),"Good")</f>
        <v>Good</v>
      </c>
      <c r="AC323" t="str">
        <f>IFERROR(__xludf.DUMMYFUNCTION("""COMPUTED_VALUE"""),"Good")</f>
        <v>Good</v>
      </c>
      <c r="AE323" s="11"/>
      <c r="AF323" t="s">
        <v>32</v>
      </c>
      <c r="AG323" s="17" t="s">
        <v>115</v>
      </c>
      <c r="AH323" s="12">
        <v>1230.0</v>
      </c>
      <c r="AI323" s="12" t="s">
        <v>921</v>
      </c>
      <c r="AJ323" s="19" t="s">
        <v>922</v>
      </c>
      <c r="AK323" s="20" t="str">
        <f>HYPERLINK("https://docs.google.com/document/d/1YLWiNhI8NozGXmYo5gZ2IVUl2kOr9Ek5uLEd8Mb9Y4s/edit?usp=drivesdk","Jimmy - 6/18/2019 10:00 AM")</f>
        <v>Jimmy - 6/18/2019 10:00 AM</v>
      </c>
      <c r="AL323" s="12" t="s">
        <v>923</v>
      </c>
    </row>
    <row r="324">
      <c r="A324" s="10">
        <f>IFERROR(__xludf.DUMMYFUNCTION("""COMPUTED_VALUE"""),43634.684939918974)</f>
        <v>43634.68494</v>
      </c>
      <c r="B324" s="11" t="str">
        <f>IFERROR(__xludf.DUMMYFUNCTION("""COMPUTED_VALUE"""),"Jimmy")</f>
        <v>Jimmy</v>
      </c>
      <c r="C324" t="str">
        <f>IFERROR(__xludf.DUMMYFUNCTION("""COMPUTED_VALUE"""),"james.tomazinis@floridadep.gov")</f>
        <v>james.tomazinis@floridadep.gov</v>
      </c>
      <c r="D324" t="str">
        <f>IFERROR(__xludf.DUMMYFUNCTION("""COMPUTED_VALUE"""),"Stewardship (Aquatic)")</f>
        <v>Stewardship (Aquatic)</v>
      </c>
      <c r="E324" t="str">
        <f>IFERROR(__xludf.DUMMYFUNCTION("""COMPUTED_VALUE"""),"Whitney")</f>
        <v>Whitney</v>
      </c>
      <c r="F324" s="13">
        <f>IFERROR(__xludf.DUMMYFUNCTION("""COMPUTED_VALUE"""),0.3854166666678793)</f>
        <v>0.3854166667</v>
      </c>
      <c r="G324" s="14">
        <f>IFERROR(__xludf.DUMMYFUNCTION("""COMPUTED_VALUE"""),43635.0)</f>
        <v>43635</v>
      </c>
      <c r="H324" t="str">
        <f>IFERROR(__xludf.DUMMYFUNCTION("""COMPUTED_VALUE"""),"Summerhaven")</f>
        <v>Summerhaven</v>
      </c>
      <c r="I324" s="15">
        <f>IFERROR(__xludf.DUMMYFUNCTION("""COMPUTED_VALUE"""),0.5104166666678793)</f>
        <v>0.5104166667</v>
      </c>
      <c r="J324" s="16"/>
      <c r="K324" t="str">
        <f>IFERROR(__xludf.DUMMYFUNCTION("""COMPUTED_VALUE"""),"Kayak(s)")</f>
        <v>Kayak(s)</v>
      </c>
      <c r="L324">
        <f>IFERROR(__xludf.DUMMYFUNCTION("""COMPUTED_VALUE"""),2.0)</f>
        <v>2</v>
      </c>
      <c r="M324" t="str">
        <f>IFERROR(__xludf.DUMMYFUNCTION("""COMPUTED_VALUE"""),"Ford F150 2015 (White) - DEP21448")</f>
        <v>Ford F150 2015 (White) - DEP21448</v>
      </c>
      <c r="N324" t="str">
        <f>IFERROR(__xludf.DUMMYFUNCTION("""COMPUTED_VALUE"""),"Jimmy Tomazinis, (904) 547-0094")</f>
        <v>Jimmy Tomazinis, (904) 547-0094</v>
      </c>
      <c r="O324" t="str">
        <f>IFERROR(__xludf.DUMMYFUNCTION("""COMPUTED_VALUE"""),"Ashley Konon")</f>
        <v>Ashley Konon</v>
      </c>
      <c r="P324" t="str">
        <f>IFERROR(__xludf.DUMMYFUNCTION("""COMPUTED_VALUE"""),"Jimmy")</f>
        <v>Jimmy</v>
      </c>
      <c r="Q324" t="str">
        <f>IFERROR(__xludf.DUMMYFUNCTION("""COMPUTED_VALUE"""),"Good")</f>
        <v>Good</v>
      </c>
      <c r="R324" t="str">
        <f>IFERROR(__xludf.DUMMYFUNCTION("""COMPUTED_VALUE"""),"Good")</f>
        <v>Good</v>
      </c>
      <c r="S324" t="str">
        <f>IFERROR(__xludf.DUMMYFUNCTION("""COMPUTED_VALUE"""),"Good")</f>
        <v>Good</v>
      </c>
      <c r="T324" t="str">
        <f>IFERROR(__xludf.DUMMYFUNCTION("""COMPUTED_VALUE"""),"Good")</f>
        <v>Good</v>
      </c>
      <c r="U324" t="str">
        <f>IFERROR(__xludf.DUMMYFUNCTION("""COMPUTED_VALUE"""),"Good")</f>
        <v>Good</v>
      </c>
      <c r="V324" t="str">
        <f>IFERROR(__xludf.DUMMYFUNCTION("""COMPUTED_VALUE"""),"Good")</f>
        <v>Good</v>
      </c>
      <c r="W324" t="str">
        <f>IFERROR(__xludf.DUMMYFUNCTION("""COMPUTED_VALUE"""),"Good")</f>
        <v>Good</v>
      </c>
      <c r="X324" t="str">
        <f>IFERROR(__xludf.DUMMYFUNCTION("""COMPUTED_VALUE"""),"Good")</f>
        <v>Good</v>
      </c>
      <c r="Y324" t="str">
        <f>IFERROR(__xludf.DUMMYFUNCTION("""COMPUTED_VALUE"""),"Good")</f>
        <v>Good</v>
      </c>
      <c r="Z324" t="str">
        <f>IFERROR(__xludf.DUMMYFUNCTION("""COMPUTED_VALUE"""),"Good")</f>
        <v>Good</v>
      </c>
      <c r="AA324" t="str">
        <f>IFERROR(__xludf.DUMMYFUNCTION("""COMPUTED_VALUE"""),"Good")</f>
        <v>Good</v>
      </c>
      <c r="AB324" t="str">
        <f>IFERROR(__xludf.DUMMYFUNCTION("""COMPUTED_VALUE"""),"Good")</f>
        <v>Good</v>
      </c>
      <c r="AC324" t="str">
        <f>IFERROR(__xludf.DUMMYFUNCTION("""COMPUTED_VALUE"""),"Good")</f>
        <v>Good</v>
      </c>
      <c r="AE324" s="11"/>
      <c r="AF324" t="s">
        <v>32</v>
      </c>
      <c r="AG324" s="17" t="s">
        <v>128</v>
      </c>
      <c r="AH324" s="12">
        <v>1150.0</v>
      </c>
      <c r="AI324" s="12" t="s">
        <v>924</v>
      </c>
      <c r="AJ324" s="19" t="s">
        <v>925</v>
      </c>
      <c r="AK324" s="20" t="str">
        <f>HYPERLINK("https://docs.google.com/document/d/1VJnXPJs-V6D3x8ovy_Zxak_KhMiACK6sxW9bc_Tpvk4/edit?usp=drivesdk","Jimmy - 6/19/2019 9:15 AM")</f>
        <v>Jimmy - 6/19/2019 9:15 AM</v>
      </c>
      <c r="AL324" s="12" t="s">
        <v>926</v>
      </c>
    </row>
    <row r="325">
      <c r="A325" s="10">
        <f>IFERROR(__xludf.DUMMYFUNCTION("""COMPUTED_VALUE"""),43635.731990231485)</f>
        <v>43635.73199</v>
      </c>
      <c r="B325" s="11" t="str">
        <f>IFERROR(__xludf.DUMMYFUNCTION("""COMPUTED_VALUE"""),"Jimmy")</f>
        <v>Jimmy</v>
      </c>
      <c r="C325" t="str">
        <f>IFERROR(__xludf.DUMMYFUNCTION("""COMPUTED_VALUE"""),"james.tomazinis@floridadep.gov")</f>
        <v>james.tomazinis@floridadep.gov</v>
      </c>
      <c r="D325" t="str">
        <f>IFERROR(__xludf.DUMMYFUNCTION("""COMPUTED_VALUE"""),"Stewardship (Aquatic)")</f>
        <v>Stewardship (Aquatic)</v>
      </c>
      <c r="E325" t="str">
        <f>IFERROR(__xludf.DUMMYFUNCTION("""COMPUTED_VALUE"""),"TBD")</f>
        <v>TBD</v>
      </c>
      <c r="F325" s="13">
        <f>IFERROR(__xludf.DUMMYFUNCTION("""COMPUTED_VALUE"""),0.4166666666678793)</f>
        <v>0.4166666667</v>
      </c>
      <c r="G325" s="14">
        <f>IFERROR(__xludf.DUMMYFUNCTION("""COMPUTED_VALUE"""),43636.0)</f>
        <v>43636</v>
      </c>
      <c r="H325" t="str">
        <f>IFERROR(__xludf.DUMMYFUNCTION("""COMPUTED_VALUE"""),"Stetson row course")</f>
        <v>Stetson row course</v>
      </c>
      <c r="I325" s="15">
        <f>IFERROR(__xludf.DUMMYFUNCTION("""COMPUTED_VALUE"""),0.7083333333321207)</f>
        <v>0.7083333333</v>
      </c>
      <c r="J325" s="16"/>
      <c r="N325" t="str">
        <f>IFERROR(__xludf.DUMMYFUNCTION("""COMPUTED_VALUE"""),"Jimmy Tomazinis, (904) 547-0094")</f>
        <v>Jimmy Tomazinis, (904) 547-0094</v>
      </c>
      <c r="O325" t="str">
        <f>IFERROR(__xludf.DUMMYFUNCTION("""COMPUTED_VALUE"""),"Ashley Konon")</f>
        <v>Ashley Konon</v>
      </c>
      <c r="P325" t="str">
        <f>IFERROR(__xludf.DUMMYFUNCTION("""COMPUTED_VALUE"""),"Jimmy")</f>
        <v>Jimmy</v>
      </c>
      <c r="Q325" t="str">
        <f>IFERROR(__xludf.DUMMYFUNCTION("""COMPUTED_VALUE"""),"Good")</f>
        <v>Good</v>
      </c>
      <c r="R325" t="str">
        <f>IFERROR(__xludf.DUMMYFUNCTION("""COMPUTED_VALUE"""),"Good")</f>
        <v>Good</v>
      </c>
      <c r="S325" t="str">
        <f>IFERROR(__xludf.DUMMYFUNCTION("""COMPUTED_VALUE"""),"Good")</f>
        <v>Good</v>
      </c>
      <c r="T325" t="str">
        <f>IFERROR(__xludf.DUMMYFUNCTION("""COMPUTED_VALUE"""),"Good")</f>
        <v>Good</v>
      </c>
      <c r="U325" t="str">
        <f>IFERROR(__xludf.DUMMYFUNCTION("""COMPUTED_VALUE"""),"Good")</f>
        <v>Good</v>
      </c>
      <c r="V325" t="str">
        <f>IFERROR(__xludf.DUMMYFUNCTION("""COMPUTED_VALUE"""),"Good")</f>
        <v>Good</v>
      </c>
      <c r="W325" t="str">
        <f>IFERROR(__xludf.DUMMYFUNCTION("""COMPUTED_VALUE"""),"Good")</f>
        <v>Good</v>
      </c>
      <c r="X325" t="str">
        <f>IFERROR(__xludf.DUMMYFUNCTION("""COMPUTED_VALUE"""),"Good")</f>
        <v>Good</v>
      </c>
      <c r="Y325" t="str">
        <f>IFERROR(__xludf.DUMMYFUNCTION("""COMPUTED_VALUE"""),"Good")</f>
        <v>Good</v>
      </c>
      <c r="Z325" t="str">
        <f>IFERROR(__xludf.DUMMYFUNCTION("""COMPUTED_VALUE"""),"Good")</f>
        <v>Good</v>
      </c>
      <c r="AA325" t="str">
        <f>IFERROR(__xludf.DUMMYFUNCTION("""COMPUTED_VALUE"""),"Good")</f>
        <v>Good</v>
      </c>
      <c r="AB325" t="str">
        <f>IFERROR(__xludf.DUMMYFUNCTION("""COMPUTED_VALUE"""),"Good")</f>
        <v>Good</v>
      </c>
      <c r="AC325" t="str">
        <f>IFERROR(__xludf.DUMMYFUNCTION("""COMPUTED_VALUE"""),"Good")</f>
        <v>Good</v>
      </c>
      <c r="AE325" s="11"/>
      <c r="AF325" t="s">
        <v>32</v>
      </c>
      <c r="AG325" s="17" t="s">
        <v>448</v>
      </c>
      <c r="AH325" s="12">
        <v>1500.0</v>
      </c>
      <c r="AI325" s="12" t="s">
        <v>927</v>
      </c>
      <c r="AJ325" s="19" t="s">
        <v>928</v>
      </c>
      <c r="AK325" s="20" t="str">
        <f>HYPERLINK("https://docs.google.com/document/d/1LBlWKL2pKmxOCG6VVr5KzjV_Qs6EWYJnMRPZXBuCHyY/edit?usp=drivesdk","Jimmy - 6/20/2019 10:00 AM")</f>
        <v>Jimmy - 6/20/2019 10:00 AM</v>
      </c>
      <c r="AL325" s="12" t="s">
        <v>929</v>
      </c>
    </row>
    <row r="326">
      <c r="A326" s="10">
        <f>IFERROR(__xludf.DUMMYFUNCTION("""COMPUTED_VALUE"""),43642.353918865745)</f>
        <v>43642.35392</v>
      </c>
      <c r="B326" s="11" t="str">
        <f>IFERROR(__xludf.DUMMYFUNCTION("""COMPUTED_VALUE"""),"Silas Tanner")</f>
        <v>Silas Tanner</v>
      </c>
      <c r="C326" t="str">
        <f>IFERROR(__xludf.DUMMYFUNCTION("""COMPUTED_VALUE"""),"silas.tanner@floridadep.gov")</f>
        <v>silas.tanner@floridadep.gov</v>
      </c>
      <c r="D326" t="str">
        <f>IFERROR(__xludf.DUMMYFUNCTION("""COMPUTED_VALUE"""),"Research/Nikki")</f>
        <v>Research/Nikki</v>
      </c>
      <c r="E326" t="str">
        <f>IFERROR(__xludf.DUMMYFUNCTION("""COMPUTED_VALUE"""),"Crane ramp")</f>
        <v>Crane ramp</v>
      </c>
      <c r="F326" s="13">
        <f>IFERROR(__xludf.DUMMYFUNCTION("""COMPUTED_VALUE"""),0.3958333333321207)</f>
        <v>0.3958333333</v>
      </c>
      <c r="G326" s="14">
        <f>IFERROR(__xludf.DUMMYFUNCTION("""COMPUTED_VALUE"""),43642.0)</f>
        <v>43642</v>
      </c>
      <c r="H326" t="str">
        <f>IFERROR(__xludf.DUMMYFUNCTION("""COMPUTED_VALUE"""),"ICW b/w Crane Ramp and Guana river")</f>
        <v>ICW b/w Crane Ramp and Guana river</v>
      </c>
      <c r="I326" s="15">
        <f>IFERROR(__xludf.DUMMYFUNCTION("""COMPUTED_VALUE"""),0.5)</f>
        <v>0.5</v>
      </c>
      <c r="J326" s="16">
        <f>IFERROR(__xludf.DUMMYFUNCTION("""COMPUTED_VALUE"""),43642.52083333333)</f>
        <v>43642.52083</v>
      </c>
      <c r="K326" t="str">
        <f>IFERROR(__xludf.DUMMYFUNCTION("""COMPUTED_VALUE"""),"20ft Sea Ark FL5351SJ UNF 2015")</f>
        <v>20ft Sea Ark FL5351SJ UNF 2015</v>
      </c>
      <c r="M326" t="str">
        <f>IFERROR(__xludf.DUMMYFUNCTION("""COMPUTED_VALUE"""),"Ford F250 2017 (Moby Dix) - DEP0021578")</f>
        <v>Ford F250 2017 (Moby Dix) - DEP0021578</v>
      </c>
      <c r="N326" t="str">
        <f>IFERROR(__xludf.DUMMYFUNCTION("""COMPUTED_VALUE"""),"Silas Tanner, (904) 483-8423")</f>
        <v>Silas Tanner, (904) 483-8423</v>
      </c>
      <c r="O326" t="str">
        <f>IFERROR(__xludf.DUMMYFUNCTION("""COMPUTED_VALUE"""),"Shane Pangle")</f>
        <v>Shane Pangle</v>
      </c>
      <c r="P326" t="str">
        <f>IFERROR(__xludf.DUMMYFUNCTION("""COMPUTED_VALUE"""),"S. Tanner")</f>
        <v>S. Tanner</v>
      </c>
      <c r="Q326" t="str">
        <f>IFERROR(__xludf.DUMMYFUNCTION("""COMPUTED_VALUE"""),"Good")</f>
        <v>Good</v>
      </c>
      <c r="R326" t="str">
        <f>IFERROR(__xludf.DUMMYFUNCTION("""COMPUTED_VALUE"""),"Good")</f>
        <v>Good</v>
      </c>
      <c r="S326" t="str">
        <f>IFERROR(__xludf.DUMMYFUNCTION("""COMPUTED_VALUE"""),"Good")</f>
        <v>Good</v>
      </c>
      <c r="T326" t="str">
        <f>IFERROR(__xludf.DUMMYFUNCTION("""COMPUTED_VALUE"""),"Good")</f>
        <v>Good</v>
      </c>
      <c r="U326" t="str">
        <f>IFERROR(__xludf.DUMMYFUNCTION("""COMPUTED_VALUE"""),"Good")</f>
        <v>Good</v>
      </c>
      <c r="V326" t="str">
        <f>IFERROR(__xludf.DUMMYFUNCTION("""COMPUTED_VALUE"""),"Good")</f>
        <v>Good</v>
      </c>
      <c r="W326" t="str">
        <f>IFERROR(__xludf.DUMMYFUNCTION("""COMPUTED_VALUE"""),"Good")</f>
        <v>Good</v>
      </c>
      <c r="X326" t="str">
        <f>IFERROR(__xludf.DUMMYFUNCTION("""COMPUTED_VALUE"""),"Good")</f>
        <v>Good</v>
      </c>
      <c r="Y326" t="str">
        <f>IFERROR(__xludf.DUMMYFUNCTION("""COMPUTED_VALUE"""),"Good")</f>
        <v>Good</v>
      </c>
      <c r="Z326" t="str">
        <f>IFERROR(__xludf.DUMMYFUNCTION("""COMPUTED_VALUE"""),"Good")</f>
        <v>Good</v>
      </c>
      <c r="AA326" t="str">
        <f>IFERROR(__xludf.DUMMYFUNCTION("""COMPUTED_VALUE"""),"Good")</f>
        <v>Good</v>
      </c>
      <c r="AB326" t="str">
        <f>IFERROR(__xludf.DUMMYFUNCTION("""COMPUTED_VALUE"""),"Good")</f>
        <v>Good</v>
      </c>
      <c r="AC326" t="str">
        <f>IFERROR(__xludf.DUMMYFUNCTION("""COMPUTED_VALUE"""),"Good")</f>
        <v>Good</v>
      </c>
      <c r="AE326" s="11"/>
      <c r="AF326" t="s">
        <v>218</v>
      </c>
      <c r="AG326" s="17" t="s">
        <v>43</v>
      </c>
      <c r="AH326" s="12">
        <v>1157.0</v>
      </c>
      <c r="AI326" s="12" t="s">
        <v>930</v>
      </c>
      <c r="AJ326" s="19" t="s">
        <v>931</v>
      </c>
      <c r="AK326" s="20" t="str">
        <f>HYPERLINK("https://docs.google.com/document/d/1oFfq4LU7d1zTf_pe0yQ81_jHV2i5KQRSdELtjM6PJvU/edit?usp=drivesdk","Silas Tanner - 6/26/2019 9:30 AM")</f>
        <v>Silas Tanner - 6/26/2019 9:30 AM</v>
      </c>
      <c r="AL326" s="12" t="s">
        <v>932</v>
      </c>
    </row>
    <row r="327">
      <c r="A327" s="10">
        <f>IFERROR(__xludf.DUMMYFUNCTION("""COMPUTED_VALUE"""),43644.39692825232)</f>
        <v>43644.39693</v>
      </c>
      <c r="B327" s="11" t="str">
        <f>IFERROR(__xludf.DUMMYFUNCTION("""COMPUTED_VALUE"""),"Pam  Marcum")</f>
        <v>Pam  Marcum</v>
      </c>
      <c r="C327" t="str">
        <f>IFERROR(__xludf.DUMMYFUNCTION("""COMPUTED_VALUE"""),"pamela.marcum@dep.state.fl.us")</f>
        <v>pamela.marcum@dep.state.fl.us</v>
      </c>
      <c r="D327" t="str">
        <f>IFERROR(__xludf.DUMMYFUNCTION("""COMPUTED_VALUE"""),"Research/Nikki")</f>
        <v>Research/Nikki</v>
      </c>
      <c r="E327" t="str">
        <f>IFERROR(__xludf.DUMMYFUNCTION("""COMPUTED_VALUE"""),"Shore drive crane park")</f>
        <v>Shore drive crane park</v>
      </c>
      <c r="F327" s="13">
        <f>IFERROR(__xludf.DUMMYFUNCTION("""COMPUTED_VALUE"""),0.375)</f>
        <v>0.375</v>
      </c>
      <c r="G327" s="14">
        <f>IFERROR(__xludf.DUMMYFUNCTION("""COMPUTED_VALUE"""),43644.0)</f>
        <v>43644</v>
      </c>
      <c r="H327" t="str">
        <f>IFERROR(__xludf.DUMMYFUNCTION("""COMPUTED_VALUE"""),"Marsh Creek")</f>
        <v>Marsh Creek</v>
      </c>
      <c r="I327" s="15">
        <f>IFERROR(__xludf.DUMMYFUNCTION("""COMPUTED_VALUE"""),0.5833333333321207)</f>
        <v>0.5833333333</v>
      </c>
      <c r="J327" s="16">
        <f>IFERROR(__xludf.DUMMYFUNCTION("""COMPUTED_VALUE"""),43644.625)</f>
        <v>43644.625</v>
      </c>
      <c r="K327" t="str">
        <f>IFERROR(__xludf.DUMMYFUNCTION("""COMPUTED_VALUE"""),"20ft Sea Ark FL5351SJ UNF 2015")</f>
        <v>20ft Sea Ark FL5351SJ UNF 2015</v>
      </c>
      <c r="M327" t="str">
        <f>IFERROR(__xludf.DUMMYFUNCTION("""COMPUTED_VALUE"""),"Ford F150 2015 (White) - DEP21448")</f>
        <v>Ford F150 2015 (White) - DEP21448</v>
      </c>
      <c r="N327" t="str">
        <f>IFERROR(__xludf.DUMMYFUNCTION("""COMPUTED_VALUE"""),"Pam Marcum, (480) 332-5414")</f>
        <v>Pam Marcum, (480) 332-5414</v>
      </c>
      <c r="O327" t="str">
        <f>IFERROR(__xludf.DUMMYFUNCTION("""COMPUTED_VALUE"""),"Gabby Canas, Alee Knoell")</f>
        <v>Gabby Canas, Alee Knoell</v>
      </c>
      <c r="P327" t="str">
        <f>IFERROR(__xludf.DUMMYFUNCTION("""COMPUTED_VALUE"""),"Pam &amp;  Gabby")</f>
        <v>Pam &amp;  Gabby</v>
      </c>
      <c r="Q327" t="str">
        <f>IFERROR(__xludf.DUMMYFUNCTION("""COMPUTED_VALUE"""),"Good")</f>
        <v>Good</v>
      </c>
      <c r="R327" t="str">
        <f>IFERROR(__xludf.DUMMYFUNCTION("""COMPUTED_VALUE"""),"Good")</f>
        <v>Good</v>
      </c>
      <c r="S327" t="str">
        <f>IFERROR(__xludf.DUMMYFUNCTION("""COMPUTED_VALUE"""),"Good")</f>
        <v>Good</v>
      </c>
      <c r="T327" t="str">
        <f>IFERROR(__xludf.DUMMYFUNCTION("""COMPUTED_VALUE"""),"Good")</f>
        <v>Good</v>
      </c>
      <c r="U327" t="str">
        <f>IFERROR(__xludf.DUMMYFUNCTION("""COMPUTED_VALUE"""),"Good")</f>
        <v>Good</v>
      </c>
      <c r="V327" t="str">
        <f>IFERROR(__xludf.DUMMYFUNCTION("""COMPUTED_VALUE"""),"Good")</f>
        <v>Good</v>
      </c>
      <c r="W327" t="str">
        <f>IFERROR(__xludf.DUMMYFUNCTION("""COMPUTED_VALUE"""),"Good")</f>
        <v>Good</v>
      </c>
      <c r="X327" t="str">
        <f>IFERROR(__xludf.DUMMYFUNCTION("""COMPUTED_VALUE"""),"Good")</f>
        <v>Good</v>
      </c>
      <c r="Y327" t="str">
        <f>IFERROR(__xludf.DUMMYFUNCTION("""COMPUTED_VALUE"""),"Good")</f>
        <v>Good</v>
      </c>
      <c r="Z327" t="str">
        <f>IFERROR(__xludf.DUMMYFUNCTION("""COMPUTED_VALUE"""),"Good")</f>
        <v>Good</v>
      </c>
      <c r="AA327" t="str">
        <f>IFERROR(__xludf.DUMMYFUNCTION("""COMPUTED_VALUE"""),"Good")</f>
        <v>Good</v>
      </c>
      <c r="AB327" t="str">
        <f>IFERROR(__xludf.DUMMYFUNCTION("""COMPUTED_VALUE"""),"Good")</f>
        <v>Good</v>
      </c>
      <c r="AC327" t="str">
        <f>IFERROR(__xludf.DUMMYFUNCTION("""COMPUTED_VALUE"""),"Good")</f>
        <v>Good</v>
      </c>
      <c r="AE327" s="11"/>
      <c r="AF327" t="s">
        <v>218</v>
      </c>
      <c r="AG327" s="17" t="s">
        <v>115</v>
      </c>
      <c r="AH327" s="12">
        <v>1410.0</v>
      </c>
      <c r="AI327" s="12" t="s">
        <v>933</v>
      </c>
      <c r="AJ327" s="19" t="s">
        <v>934</v>
      </c>
      <c r="AK327" s="20" t="str">
        <f>HYPERLINK("https://docs.google.com/document/d/1KgtsJJKzhgVyGWsX20RlzbAQfyhax9XMYyQYU7_jT3Q/edit?usp=drivesdk","Pam  Marcum - 6/28/2019 9:00 AM")</f>
        <v>Pam  Marcum - 6/28/2019 9:00 AM</v>
      </c>
      <c r="AL327" s="12" t="s">
        <v>935</v>
      </c>
    </row>
    <row r="328">
      <c r="A328" s="10">
        <f>IFERROR(__xludf.DUMMYFUNCTION("""COMPUTED_VALUE"""),43647.515463958334)</f>
        <v>43647.51546</v>
      </c>
      <c r="B328" s="11" t="str">
        <f>IFERROR(__xludf.DUMMYFUNCTION("""COMPUTED_VALUE"""),"Pamela Marcum")</f>
        <v>Pamela Marcum</v>
      </c>
      <c r="C328" t="str">
        <f>IFERROR(__xludf.DUMMYFUNCTION("""COMPUTED_VALUE"""),"Pamela.Marcum@dep.state.fl.us")</f>
        <v>Pamela.Marcum@dep.state.fl.us</v>
      </c>
      <c r="D328" t="str">
        <f>IFERROR(__xludf.DUMMYFUNCTION("""COMPUTED_VALUE"""),"Research/Nikki")</f>
        <v>Research/Nikki</v>
      </c>
      <c r="E328" t="str">
        <f>IFERROR(__xludf.DUMMYFUNCTION("""COMPUTED_VALUE"""),"Aunt Kate's")</f>
        <v>Aunt Kate's</v>
      </c>
      <c r="F328" s="13">
        <f>IFERROR(__xludf.DUMMYFUNCTION("""COMPUTED_VALUE"""),0.5416666666678793)</f>
        <v>0.5416666667</v>
      </c>
      <c r="G328" s="14">
        <f>IFERROR(__xludf.DUMMYFUNCTION("""COMPUTED_VALUE"""),43647.0)</f>
        <v>43647</v>
      </c>
      <c r="H328" t="str">
        <f>IFERROR(__xludf.DUMMYFUNCTION("""COMPUTED_VALUE"""),"Tolomato &amp; Guana Rivers")</f>
        <v>Tolomato &amp; Guana Rivers</v>
      </c>
      <c r="I328" s="15">
        <f>IFERROR(__xludf.DUMMYFUNCTION("""COMPUTED_VALUE"""),0.75)</f>
        <v>0.75</v>
      </c>
      <c r="J328" s="16">
        <f>IFERROR(__xludf.DUMMYFUNCTION("""COMPUTED_VALUE"""),43647.77083333333)</f>
        <v>43647.77083</v>
      </c>
      <c r="K328" t="str">
        <f>IFERROR(__xludf.DUMMYFUNCTION("""COMPUTED_VALUE"""),"20ft Sea Ark FL5351SJ UNF 2015")</f>
        <v>20ft Sea Ark FL5351SJ UNF 2015</v>
      </c>
      <c r="M328" t="str">
        <f>IFERROR(__xludf.DUMMYFUNCTION("""COMPUTED_VALUE"""),"Ford F150 2015 (White) - DEP21448")</f>
        <v>Ford F150 2015 (White) - DEP21448</v>
      </c>
      <c r="N328" t="str">
        <f>IFERROR(__xludf.DUMMYFUNCTION("""COMPUTED_VALUE"""),"Pam Marcum, (480) 332-5414")</f>
        <v>Pam Marcum, (480) 332-5414</v>
      </c>
      <c r="O328" t="str">
        <f>IFERROR(__xludf.DUMMYFUNCTION("""COMPUTED_VALUE"""),"Nicole Peckham, Adrienne Breef-Pilz")</f>
        <v>Nicole Peckham, Adrienne Breef-Pilz</v>
      </c>
      <c r="P328" t="str">
        <f>IFERROR(__xludf.DUMMYFUNCTION("""COMPUTED_VALUE"""),"Pam")</f>
        <v>Pam</v>
      </c>
      <c r="Q328" t="str">
        <f>IFERROR(__xludf.DUMMYFUNCTION("""COMPUTED_VALUE"""),"Good")</f>
        <v>Good</v>
      </c>
      <c r="R328" t="str">
        <f>IFERROR(__xludf.DUMMYFUNCTION("""COMPUTED_VALUE"""),"Good")</f>
        <v>Good</v>
      </c>
      <c r="S328" t="str">
        <f>IFERROR(__xludf.DUMMYFUNCTION("""COMPUTED_VALUE"""),"Good")</f>
        <v>Good</v>
      </c>
      <c r="T328" t="str">
        <f>IFERROR(__xludf.DUMMYFUNCTION("""COMPUTED_VALUE"""),"Good")</f>
        <v>Good</v>
      </c>
      <c r="U328" t="str">
        <f>IFERROR(__xludf.DUMMYFUNCTION("""COMPUTED_VALUE"""),"Good")</f>
        <v>Good</v>
      </c>
      <c r="V328" t="str">
        <f>IFERROR(__xludf.DUMMYFUNCTION("""COMPUTED_VALUE"""),"Good")</f>
        <v>Good</v>
      </c>
      <c r="W328" t="str">
        <f>IFERROR(__xludf.DUMMYFUNCTION("""COMPUTED_VALUE"""),"Good")</f>
        <v>Good</v>
      </c>
      <c r="X328" t="str">
        <f>IFERROR(__xludf.DUMMYFUNCTION("""COMPUTED_VALUE"""),"Good")</f>
        <v>Good</v>
      </c>
      <c r="Y328" t="str">
        <f>IFERROR(__xludf.DUMMYFUNCTION("""COMPUTED_VALUE"""),"Good")</f>
        <v>Good</v>
      </c>
      <c r="Z328" t="str">
        <f>IFERROR(__xludf.DUMMYFUNCTION("""COMPUTED_VALUE"""),"Good")</f>
        <v>Good</v>
      </c>
      <c r="AA328" t="str">
        <f>IFERROR(__xludf.DUMMYFUNCTION("""COMPUTED_VALUE"""),"Good")</f>
        <v>Good</v>
      </c>
      <c r="AB328" t="str">
        <f>IFERROR(__xludf.DUMMYFUNCTION("""COMPUTED_VALUE"""),"Good")</f>
        <v>Good</v>
      </c>
      <c r="AC328" t="str">
        <f>IFERROR(__xludf.DUMMYFUNCTION("""COMPUTED_VALUE"""),"Good")</f>
        <v>Good</v>
      </c>
      <c r="AE328" s="11"/>
      <c r="AF328" t="s">
        <v>218</v>
      </c>
      <c r="AG328" s="17" t="s">
        <v>60</v>
      </c>
      <c r="AH328" s="12">
        <v>1815.0</v>
      </c>
      <c r="AI328" s="12" t="s">
        <v>936</v>
      </c>
      <c r="AJ328" s="19" t="s">
        <v>937</v>
      </c>
      <c r="AK328" s="20" t="str">
        <f>HYPERLINK("https://docs.google.com/document/d/1d2XWI0EjkYtmDxCVNlEHb93pARhb9WKgiaWv_9QPQ1I/edit?usp=drivesdk","Pamela Marcum - 7/1/2019 1:00 PM")</f>
        <v>Pamela Marcum - 7/1/2019 1:00 PM</v>
      </c>
      <c r="AL328" s="12" t="s">
        <v>938</v>
      </c>
    </row>
    <row r="329">
      <c r="A329" s="10">
        <f>IFERROR(__xludf.DUMMYFUNCTION("""COMPUTED_VALUE"""),43647.66340347222)</f>
        <v>43647.6634</v>
      </c>
      <c r="B329" s="11" t="str">
        <f>IFERROR(__xludf.DUMMYFUNCTION("""COMPUTED_VALUE"""),"S. Tanner")</f>
        <v>S. Tanner</v>
      </c>
      <c r="C329" t="str">
        <f>IFERROR(__xludf.DUMMYFUNCTION("""COMPUTED_VALUE"""),"silas.tanner@floridadep.gov")</f>
        <v>silas.tanner@floridadep.gov</v>
      </c>
      <c r="D329" t="str">
        <f>IFERROR(__xludf.DUMMYFUNCTION("""COMPUTED_VALUE"""),"Research/Shannon")</f>
        <v>Research/Shannon</v>
      </c>
      <c r="E329" t="str">
        <f>IFERROR(__xludf.DUMMYFUNCTION("""COMPUTED_VALUE"""),"Vilano Landing")</f>
        <v>Vilano Landing</v>
      </c>
      <c r="F329" s="13">
        <f>IFERROR(__xludf.DUMMYFUNCTION("""COMPUTED_VALUE"""),0.3541666666678793)</f>
        <v>0.3541666667</v>
      </c>
      <c r="G329" s="14">
        <f>IFERROR(__xludf.DUMMYFUNCTION("""COMPUTED_VALUE"""),43648.0)</f>
        <v>43648</v>
      </c>
      <c r="H329" t="str">
        <f>IFERROR(__xludf.DUMMYFUNCTION("""COMPUTED_VALUE"""),"ICW - SWMP sites")</f>
        <v>ICW - SWMP sites</v>
      </c>
      <c r="I329" s="15">
        <f>IFERROR(__xludf.DUMMYFUNCTION("""COMPUTED_VALUE"""),0.5208333333321207)</f>
        <v>0.5208333333</v>
      </c>
      <c r="J329" s="16">
        <f>IFERROR(__xludf.DUMMYFUNCTION("""COMPUTED_VALUE"""),43648.54166666667)</f>
        <v>43648.54167</v>
      </c>
      <c r="K329" t="str">
        <f>IFERROR(__xludf.DUMMYFUNCTION("""COMPUTED_VALUE"""),"20ft Sea Ark FL5351SJ UNF 2015")</f>
        <v>20ft Sea Ark FL5351SJ UNF 2015</v>
      </c>
      <c r="M329" t="str">
        <f>IFERROR(__xludf.DUMMYFUNCTION("""COMPUTED_VALUE"""),"Ford F150 2015 (White) - DEP21448")</f>
        <v>Ford F150 2015 (White) - DEP21448</v>
      </c>
      <c r="N329" t="str">
        <f>IFERROR(__xludf.DUMMYFUNCTION("""COMPUTED_VALUE"""),"Silas Tanner, (904) 483-8423, Remo Mondazzi")</f>
        <v>Silas Tanner, (904) 483-8423, Remo Mondazzi</v>
      </c>
      <c r="O329" t="str">
        <f>IFERROR(__xludf.DUMMYFUNCTION("""COMPUTED_VALUE"""),"Molly Dent")</f>
        <v>Molly Dent</v>
      </c>
      <c r="P329" t="str">
        <f>IFERROR(__xludf.DUMMYFUNCTION("""COMPUTED_VALUE"""),"S. Tanner")</f>
        <v>S. Tanner</v>
      </c>
      <c r="Q329" t="str">
        <f>IFERROR(__xludf.DUMMYFUNCTION("""COMPUTED_VALUE"""),"Good")</f>
        <v>Good</v>
      </c>
      <c r="R329" t="str">
        <f>IFERROR(__xludf.DUMMYFUNCTION("""COMPUTED_VALUE"""),"Good")</f>
        <v>Good</v>
      </c>
      <c r="S329" t="str">
        <f>IFERROR(__xludf.DUMMYFUNCTION("""COMPUTED_VALUE"""),"Good")</f>
        <v>Good</v>
      </c>
      <c r="T329" t="str">
        <f>IFERROR(__xludf.DUMMYFUNCTION("""COMPUTED_VALUE"""),"Good")</f>
        <v>Good</v>
      </c>
      <c r="U329" t="str">
        <f>IFERROR(__xludf.DUMMYFUNCTION("""COMPUTED_VALUE"""),"Good")</f>
        <v>Good</v>
      </c>
      <c r="V329" t="str">
        <f>IFERROR(__xludf.DUMMYFUNCTION("""COMPUTED_VALUE"""),"Good")</f>
        <v>Good</v>
      </c>
      <c r="W329" t="str">
        <f>IFERROR(__xludf.DUMMYFUNCTION("""COMPUTED_VALUE"""),"Good")</f>
        <v>Good</v>
      </c>
      <c r="X329" t="str">
        <f>IFERROR(__xludf.DUMMYFUNCTION("""COMPUTED_VALUE"""),"Good")</f>
        <v>Good</v>
      </c>
      <c r="Y329" t="str">
        <f>IFERROR(__xludf.DUMMYFUNCTION("""COMPUTED_VALUE"""),"Good")</f>
        <v>Good</v>
      </c>
      <c r="Z329" t="str">
        <f>IFERROR(__xludf.DUMMYFUNCTION("""COMPUTED_VALUE"""),"Good")</f>
        <v>Good</v>
      </c>
      <c r="AA329" t="str">
        <f>IFERROR(__xludf.DUMMYFUNCTION("""COMPUTED_VALUE"""),"Good")</f>
        <v>Good</v>
      </c>
      <c r="AB329" t="str">
        <f>IFERROR(__xludf.DUMMYFUNCTION("""COMPUTED_VALUE"""),"Good")</f>
        <v>Good</v>
      </c>
      <c r="AC329" t="str">
        <f>IFERROR(__xludf.DUMMYFUNCTION("""COMPUTED_VALUE"""),"Good")</f>
        <v>Good</v>
      </c>
      <c r="AE329" s="11"/>
      <c r="AF329" t="s">
        <v>269</v>
      </c>
      <c r="AG329" s="17" t="s">
        <v>511</v>
      </c>
      <c r="AH329" s="12">
        <v>1615.0</v>
      </c>
      <c r="AI329" s="12" t="s">
        <v>939</v>
      </c>
      <c r="AJ329" s="19" t="s">
        <v>940</v>
      </c>
      <c r="AK329" s="20" t="str">
        <f>HYPERLINK("https://docs.google.com/document/d/1O2axMQA5xDTQpskdWm80p09JuUPVL5tfWcrGdGzBO5k/edit?usp=drivesdk","S. Tanner - 7/2/2019 8:30 AM")</f>
        <v>S. Tanner - 7/2/2019 8:30 AM</v>
      </c>
      <c r="AL329" s="12" t="s">
        <v>941</v>
      </c>
    </row>
    <row r="330">
      <c r="A330" s="10">
        <f>IFERROR(__xludf.DUMMYFUNCTION("""COMPUTED_VALUE"""),43648.68422519676)</f>
        <v>43648.68423</v>
      </c>
      <c r="B330" s="11" t="str">
        <f>IFERROR(__xludf.DUMMYFUNCTION("""COMPUTED_VALUE"""),"Ruben Allen")</f>
        <v>Ruben Allen</v>
      </c>
      <c r="C330" t="str">
        <f>IFERROR(__xludf.DUMMYFUNCTION("""COMPUTED_VALUE"""),"Rubeall57@gmail.com")</f>
        <v>Rubeall57@gmail.com</v>
      </c>
      <c r="D330" t="str">
        <f>IFERROR(__xludf.DUMMYFUNCTION("""COMPUTED_VALUE"""),"Research/Pam")</f>
        <v>Research/Pam</v>
      </c>
      <c r="E330" t="str">
        <f>IFERROR(__xludf.DUMMYFUNCTION("""COMPUTED_VALUE"""),"St Augustine")</f>
        <v>St Augustine</v>
      </c>
      <c r="F330" s="13">
        <f>IFERROR(__xludf.DUMMYFUNCTION("""COMPUTED_VALUE"""),0.3541666666678793)</f>
        <v>0.3541666667</v>
      </c>
      <c r="G330" s="14">
        <f>IFERROR(__xludf.DUMMYFUNCTION("""COMPUTED_VALUE"""),43649.0)</f>
        <v>43649</v>
      </c>
      <c r="H330" t="str">
        <f>IFERROR(__xludf.DUMMYFUNCTION("""COMPUTED_VALUE"""),"Intercoastal WW Pine Island and reutrn")</f>
        <v>Intercoastal WW Pine Island and reutrn</v>
      </c>
      <c r="I330" s="15">
        <f>IFERROR(__xludf.DUMMYFUNCTION("""COMPUTED_VALUE"""),0.4791666666678793)</f>
        <v>0.4791666667</v>
      </c>
      <c r="J330" s="16">
        <f>IFERROR(__xludf.DUMMYFUNCTION("""COMPUTED_VALUE"""),43649.5)</f>
        <v>43649.5</v>
      </c>
      <c r="K330" t="str">
        <f>IFERROR(__xludf.DUMMYFUNCTION("""COMPUTED_VALUE"""),"20ft Sea Ark FL5351SJ UNF 2015")</f>
        <v>20ft Sea Ark FL5351SJ UNF 2015</v>
      </c>
      <c r="M330" t="str">
        <f>IFERROR(__xludf.DUMMYFUNCTION("""COMPUTED_VALUE"""),"Ford F150 2015 (White) - DEP21448")</f>
        <v>Ford F150 2015 (White) - DEP21448</v>
      </c>
      <c r="N330" t="str">
        <f>IFERROR(__xludf.DUMMYFUNCTION("""COMPUTED_VALUE"""),"Ruben Allen  (904) 860-0083")</f>
        <v>Ruben Allen  (904) 860-0083</v>
      </c>
      <c r="O330" t="str">
        <f>IFERROR(__xludf.DUMMYFUNCTION("""COMPUTED_VALUE"""),"Alee Knoell")</f>
        <v>Alee Knoell</v>
      </c>
      <c r="P330" t="str">
        <f>IFERROR(__xludf.DUMMYFUNCTION("""COMPUTED_VALUE"""),"Ruben Allen")</f>
        <v>Ruben Allen</v>
      </c>
      <c r="Q330" t="str">
        <f>IFERROR(__xludf.DUMMYFUNCTION("""COMPUTED_VALUE"""),"Good")</f>
        <v>Good</v>
      </c>
      <c r="R330" t="str">
        <f>IFERROR(__xludf.DUMMYFUNCTION("""COMPUTED_VALUE"""),"Good")</f>
        <v>Good</v>
      </c>
      <c r="S330" t="str">
        <f>IFERROR(__xludf.DUMMYFUNCTION("""COMPUTED_VALUE"""),"Good")</f>
        <v>Good</v>
      </c>
      <c r="T330" t="str">
        <f>IFERROR(__xludf.DUMMYFUNCTION("""COMPUTED_VALUE"""),"Good")</f>
        <v>Good</v>
      </c>
      <c r="U330" t="str">
        <f>IFERROR(__xludf.DUMMYFUNCTION("""COMPUTED_VALUE"""),"Good")</f>
        <v>Good</v>
      </c>
      <c r="V330" t="str">
        <f>IFERROR(__xludf.DUMMYFUNCTION("""COMPUTED_VALUE"""),"Good")</f>
        <v>Good</v>
      </c>
      <c r="W330" t="str">
        <f>IFERROR(__xludf.DUMMYFUNCTION("""COMPUTED_VALUE"""),"Good")</f>
        <v>Good</v>
      </c>
      <c r="X330" t="str">
        <f>IFERROR(__xludf.DUMMYFUNCTION("""COMPUTED_VALUE"""),"Good")</f>
        <v>Good</v>
      </c>
      <c r="Y330" t="str">
        <f>IFERROR(__xludf.DUMMYFUNCTION("""COMPUTED_VALUE"""),"Good")</f>
        <v>Good</v>
      </c>
      <c r="Z330" t="str">
        <f>IFERROR(__xludf.DUMMYFUNCTION("""COMPUTED_VALUE"""),"Good")</f>
        <v>Good</v>
      </c>
      <c r="AA330" t="str">
        <f>IFERROR(__xludf.DUMMYFUNCTION("""COMPUTED_VALUE"""),"Good")</f>
        <v>Good</v>
      </c>
      <c r="AB330" t="str">
        <f>IFERROR(__xludf.DUMMYFUNCTION("""COMPUTED_VALUE"""),"Good")</f>
        <v>Good</v>
      </c>
      <c r="AC330" t="str">
        <f>IFERROR(__xludf.DUMMYFUNCTION("""COMPUTED_VALUE"""),"Good")</f>
        <v>Good</v>
      </c>
      <c r="AD330" t="str">
        <f>IFERROR(__xludf.DUMMYFUNCTION("""COMPUTED_VALUE"""),"Yes")</f>
        <v>Yes</v>
      </c>
      <c r="AE330" s="11" t="str">
        <f>IFERROR(__xludf.DUMMYFUNCTION("""COMPUTED_VALUE"""),"Yes")</f>
        <v>Yes</v>
      </c>
      <c r="AF330" t="s">
        <v>262</v>
      </c>
      <c r="AG330" s="17" t="s">
        <v>511</v>
      </c>
      <c r="AH330" s="12">
        <v>1133.0</v>
      </c>
      <c r="AI330" s="12" t="s">
        <v>942</v>
      </c>
      <c r="AJ330" s="19" t="s">
        <v>943</v>
      </c>
      <c r="AK330" s="20" t="str">
        <f>HYPERLINK("https://docs.google.com/document/d/1Lj3Corcrdfv8NhADDnB5MnFLc80Lp1cbT2jtyOaAzZg/edit?usp=drivesdk","Ruben Allen - 7/3/2019 8:30 AM")</f>
        <v>Ruben Allen - 7/3/2019 8:30 AM</v>
      </c>
      <c r="AL330" s="12" t="s">
        <v>944</v>
      </c>
    </row>
    <row r="331">
      <c r="A331" s="10">
        <f>IFERROR(__xludf.DUMMYFUNCTION("""COMPUTED_VALUE"""),43649.596777893516)</f>
        <v>43649.59678</v>
      </c>
      <c r="B331" s="11" t="str">
        <f>IFERROR(__xludf.DUMMYFUNCTION("""COMPUTED_VALUE"""),"TEST")</f>
        <v>TEST</v>
      </c>
      <c r="C331" t="str">
        <f>IFERROR(__xludf.DUMMYFUNCTION("""COMPUTED_VALUE"""),"josephine.spearman@FloridaDEP.org")</f>
        <v>josephine.spearman@FloridaDEP.org</v>
      </c>
      <c r="D331" t="str">
        <f>IFERROR(__xludf.DUMMYFUNCTION("""COMPUTED_VALUE"""),"Education")</f>
        <v>Education</v>
      </c>
      <c r="E331" t="str">
        <f>IFERROR(__xludf.DUMMYFUNCTION("""COMPUTED_VALUE"""),"TEST")</f>
        <v>TEST</v>
      </c>
      <c r="F331" s="13">
        <f>IFERROR(__xludf.DUMMYFUNCTION("""COMPUTED_VALUE"""),0.625)</f>
        <v>0.625</v>
      </c>
      <c r="G331" s="14">
        <f>IFERROR(__xludf.DUMMYFUNCTION("""COMPUTED_VALUE"""),43649.0)</f>
        <v>43649</v>
      </c>
      <c r="H331" t="str">
        <f>IFERROR(__xludf.DUMMYFUNCTION("""COMPUTED_VALUE"""),"TEST")</f>
        <v>TEST</v>
      </c>
      <c r="I331" s="15">
        <f>IFERROR(__xludf.DUMMYFUNCTION("""COMPUTED_VALUE"""),0.6458333333321207)</f>
        <v>0.6458333333</v>
      </c>
      <c r="J331" s="16">
        <f>IFERROR(__xludf.DUMMYFUNCTION("""COMPUTED_VALUE"""),43649.75)</f>
        <v>43649.75</v>
      </c>
      <c r="K331" t="str">
        <f>IFERROR(__xludf.DUMMYFUNCTION("""COMPUTED_VALUE"""),"Canoe(s)")</f>
        <v>Canoe(s)</v>
      </c>
      <c r="L331">
        <f>IFERROR(__xludf.DUMMYFUNCTION("""COMPUTED_VALUE"""),1.0)</f>
        <v>1</v>
      </c>
      <c r="M331" t="str">
        <f>IFERROR(__xludf.DUMMYFUNCTION("""COMPUTED_VALUE"""),"Ford F150 2008 - DEP18041 (SWMP Thing)")</f>
        <v>Ford F150 2008 - DEP18041 (SWMP Thing)</v>
      </c>
      <c r="N331" t="str">
        <f>IFERROR(__xludf.DUMMYFUNCTION("""COMPUTED_VALUE"""),"TEST")</f>
        <v>TEST</v>
      </c>
      <c r="O331" t="str">
        <f>IFERROR(__xludf.DUMMYFUNCTION("""COMPUTED_VALUE"""),"Josie Spearman, (386) 627-0816")</f>
        <v>Josie Spearman, (386) 627-0816</v>
      </c>
      <c r="P331" t="str">
        <f>IFERROR(__xludf.DUMMYFUNCTION("""COMPUTED_VALUE"""),"TEST")</f>
        <v>TEST</v>
      </c>
      <c r="Q331" t="str">
        <f>IFERROR(__xludf.DUMMYFUNCTION("""COMPUTED_VALUE"""),"Good")</f>
        <v>Good</v>
      </c>
      <c r="R331" t="str">
        <f>IFERROR(__xludf.DUMMYFUNCTION("""COMPUTED_VALUE"""),"Good")</f>
        <v>Good</v>
      </c>
      <c r="S331" t="str">
        <f>IFERROR(__xludf.DUMMYFUNCTION("""COMPUTED_VALUE"""),"Good")</f>
        <v>Good</v>
      </c>
      <c r="T331" t="str">
        <f>IFERROR(__xludf.DUMMYFUNCTION("""COMPUTED_VALUE"""),"Good")</f>
        <v>Good</v>
      </c>
      <c r="U331" t="str">
        <f>IFERROR(__xludf.DUMMYFUNCTION("""COMPUTED_VALUE"""),"Good")</f>
        <v>Good</v>
      </c>
      <c r="V331" t="str">
        <f>IFERROR(__xludf.DUMMYFUNCTION("""COMPUTED_VALUE"""),"Good")</f>
        <v>Good</v>
      </c>
      <c r="W331" t="str">
        <f>IFERROR(__xludf.DUMMYFUNCTION("""COMPUTED_VALUE"""),"Good")</f>
        <v>Good</v>
      </c>
      <c r="X331" t="str">
        <f>IFERROR(__xludf.DUMMYFUNCTION("""COMPUTED_VALUE"""),"Good")</f>
        <v>Good</v>
      </c>
      <c r="Y331" t="str">
        <f>IFERROR(__xludf.DUMMYFUNCTION("""COMPUTED_VALUE"""),"Good")</f>
        <v>Good</v>
      </c>
      <c r="Z331" t="str">
        <f>IFERROR(__xludf.DUMMYFUNCTION("""COMPUTED_VALUE"""),"Good")</f>
        <v>Good</v>
      </c>
      <c r="AA331" t="str">
        <f>IFERROR(__xludf.DUMMYFUNCTION("""COMPUTED_VALUE"""),"Good")</f>
        <v>Good</v>
      </c>
      <c r="AB331" t="str">
        <f>IFERROR(__xludf.DUMMYFUNCTION("""COMPUTED_VALUE"""),"Good")</f>
        <v>Good</v>
      </c>
      <c r="AC331" t="str">
        <f>IFERROR(__xludf.DUMMYFUNCTION("""COMPUTED_VALUE"""),"Good")</f>
        <v>Good</v>
      </c>
      <c r="AE331" s="11"/>
      <c r="AF331" t="s">
        <v>9</v>
      </c>
      <c r="AG331" s="17"/>
      <c r="AI331" s="12" t="s">
        <v>945</v>
      </c>
      <c r="AJ331" s="19" t="s">
        <v>946</v>
      </c>
      <c r="AK331" s="20" t="str">
        <f>HYPERLINK("https://docs.google.com/document/d/1qXtK3oH7DmcQDkV7PcKHYbDz7zDrjKI0qG6ostGLO4o/edit?usp=drivesdk","TEST - 7/3/2019 3:00 PM")</f>
        <v>TEST - 7/3/2019 3:00 PM</v>
      </c>
      <c r="AL331" s="12" t="s">
        <v>947</v>
      </c>
    </row>
    <row r="332">
      <c r="A332" s="10">
        <f>IFERROR(__xludf.DUMMYFUNCTION("""COMPUTED_VALUE"""),43654.284482685194)</f>
        <v>43654.28448</v>
      </c>
      <c r="B332" s="11" t="str">
        <f>IFERROR(__xludf.DUMMYFUNCTION("""COMPUTED_VALUE"""),"Silas Tanner")</f>
        <v>Silas Tanner</v>
      </c>
      <c r="C332" t="str">
        <f>IFERROR(__xludf.DUMMYFUNCTION("""COMPUTED_VALUE"""),"silas.tanner@dep.state.fl")</f>
        <v>silas.tanner@dep.state.fl</v>
      </c>
      <c r="D332" t="str">
        <f>IFERROR(__xludf.DUMMYFUNCTION("""COMPUTED_VALUE"""),"Research/Nikki")</f>
        <v>Research/Nikki</v>
      </c>
      <c r="E332" t="str">
        <f>IFERROR(__xludf.DUMMYFUNCTION("""COMPUTED_VALUE"""),"Usina")</f>
        <v>Usina</v>
      </c>
      <c r="F332" s="13">
        <f>IFERROR(__xludf.DUMMYFUNCTION("""COMPUTED_VALUE"""),0.2916666666678793)</f>
        <v>0.2916666667</v>
      </c>
      <c r="G332" s="14">
        <f>IFERROR(__xludf.DUMMYFUNCTION("""COMPUTED_VALUE"""),43654.0)</f>
        <v>43654</v>
      </c>
      <c r="H332" t="str">
        <f>IFERROR(__xludf.DUMMYFUNCTION("""COMPUTED_VALUE"""),"ICW Pine Island")</f>
        <v>ICW Pine Island</v>
      </c>
      <c r="I332" s="15">
        <f>IFERROR(__xludf.DUMMYFUNCTION("""COMPUTED_VALUE"""),0.625)</f>
        <v>0.625</v>
      </c>
      <c r="J332" s="16">
        <f>IFERROR(__xludf.DUMMYFUNCTION("""COMPUTED_VALUE"""),43654.63541666667)</f>
        <v>43654.63542</v>
      </c>
      <c r="K332" t="str">
        <f>IFERROR(__xludf.DUMMYFUNCTION("""COMPUTED_VALUE"""),"20ft Sea Ark FL5351SJ UNF 2015")</f>
        <v>20ft Sea Ark FL5351SJ UNF 2015</v>
      </c>
      <c r="M332" t="str">
        <f>IFERROR(__xludf.DUMMYFUNCTION("""COMPUTED_VALUE"""),"Ford F150 2015 (White) - DEP21448")</f>
        <v>Ford F150 2015 (White) - DEP21448</v>
      </c>
      <c r="N332" t="str">
        <f>IFERROR(__xludf.DUMMYFUNCTION("""COMPUTED_VALUE"""),"Silas Tanner, (904) 483-8423")</f>
        <v>Silas Tanner, (904) 483-8423</v>
      </c>
      <c r="O332" t="str">
        <f>IFERROR(__xludf.DUMMYFUNCTION("""COMPUTED_VALUE"""),"Gabriela Canas, (904) 891-9743, Melissa Southwell, Tyler Cooper-Kolb")</f>
        <v>Gabriela Canas, (904) 891-9743, Melissa Southwell, Tyler Cooper-Kolb</v>
      </c>
      <c r="P332" t="str">
        <f>IFERROR(__xludf.DUMMYFUNCTION("""COMPUTED_VALUE"""),"S. Tanner")</f>
        <v>S. Tanner</v>
      </c>
      <c r="Q332" t="str">
        <f>IFERROR(__xludf.DUMMYFUNCTION("""COMPUTED_VALUE"""),"Good")</f>
        <v>Good</v>
      </c>
      <c r="R332" t="str">
        <f>IFERROR(__xludf.DUMMYFUNCTION("""COMPUTED_VALUE"""),"Good")</f>
        <v>Good</v>
      </c>
      <c r="S332" t="str">
        <f>IFERROR(__xludf.DUMMYFUNCTION("""COMPUTED_VALUE"""),"Good")</f>
        <v>Good</v>
      </c>
      <c r="T332" t="str">
        <f>IFERROR(__xludf.DUMMYFUNCTION("""COMPUTED_VALUE"""),"Good")</f>
        <v>Good</v>
      </c>
      <c r="U332" t="str">
        <f>IFERROR(__xludf.DUMMYFUNCTION("""COMPUTED_VALUE"""),"Good")</f>
        <v>Good</v>
      </c>
      <c r="V332" t="str">
        <f>IFERROR(__xludf.DUMMYFUNCTION("""COMPUTED_VALUE"""),"Good")</f>
        <v>Good</v>
      </c>
      <c r="W332" t="str">
        <f>IFERROR(__xludf.DUMMYFUNCTION("""COMPUTED_VALUE"""),"Good")</f>
        <v>Good</v>
      </c>
      <c r="X332" t="str">
        <f>IFERROR(__xludf.DUMMYFUNCTION("""COMPUTED_VALUE"""),"Good")</f>
        <v>Good</v>
      </c>
      <c r="Y332" t="str">
        <f>IFERROR(__xludf.DUMMYFUNCTION("""COMPUTED_VALUE"""),"Good")</f>
        <v>Good</v>
      </c>
      <c r="Z332" t="str">
        <f>IFERROR(__xludf.DUMMYFUNCTION("""COMPUTED_VALUE"""),"Good")</f>
        <v>Good</v>
      </c>
      <c r="AA332" t="str">
        <f>IFERROR(__xludf.DUMMYFUNCTION("""COMPUTED_VALUE"""),"Good")</f>
        <v>Good</v>
      </c>
      <c r="AB332" t="str">
        <f>IFERROR(__xludf.DUMMYFUNCTION("""COMPUTED_VALUE"""),"Good")</f>
        <v>Good</v>
      </c>
      <c r="AC332" t="str">
        <f>IFERROR(__xludf.DUMMYFUNCTION("""COMPUTED_VALUE"""),"Good")</f>
        <v>Good</v>
      </c>
      <c r="AE332" s="11"/>
      <c r="AF332" t="s">
        <v>218</v>
      </c>
      <c r="AG332" s="17" t="s">
        <v>43</v>
      </c>
      <c r="AH332" s="12">
        <v>920.0</v>
      </c>
      <c r="AI332" s="12" t="s">
        <v>948</v>
      </c>
      <c r="AJ332" s="19" t="s">
        <v>949</v>
      </c>
      <c r="AK332" s="20" t="str">
        <f>HYPERLINK("https://docs.google.com/document/d/1Obn3valZ5ZFWEdYba74PwGZ9qtkhWraIPZUu6aHGrnU/edit?usp=drivesdk","Silas Tanner - 7/8/2019 7:00 AM")</f>
        <v>Silas Tanner - 7/8/2019 7:00 AM</v>
      </c>
      <c r="AL332" s="12" t="s">
        <v>950</v>
      </c>
    </row>
    <row r="333">
      <c r="A333" s="10">
        <f>IFERROR(__xludf.DUMMYFUNCTION("""COMPUTED_VALUE"""),43655.461362118054)</f>
        <v>43655.46136</v>
      </c>
      <c r="B333" s="11" t="str">
        <f>IFERROR(__xludf.DUMMYFUNCTION("""COMPUTED_VALUE"""),"Silas Tanner")</f>
        <v>Silas Tanner</v>
      </c>
      <c r="C333" t="str">
        <f>IFERROR(__xludf.DUMMYFUNCTION("""COMPUTED_VALUE"""),"silas.tanner@dep.state.fl")</f>
        <v>silas.tanner@dep.state.fl</v>
      </c>
      <c r="D333" t="str">
        <f>IFERROR(__xludf.DUMMYFUNCTION("""COMPUTED_VALUE"""),"Research/Nikki")</f>
        <v>Research/Nikki</v>
      </c>
      <c r="E333" t="str">
        <f>IFERROR(__xludf.DUMMYFUNCTION("""COMPUTED_VALUE"""),"Vilano landing")</f>
        <v>Vilano landing</v>
      </c>
      <c r="F333" s="13">
        <f>IFERROR(__xludf.DUMMYFUNCTION("""COMPUTED_VALUE"""),0.46527777777737356)</f>
        <v>0.4652777778</v>
      </c>
      <c r="G333" s="14">
        <f>IFERROR(__xludf.DUMMYFUNCTION("""COMPUTED_VALUE"""),43655.0)</f>
        <v>43655</v>
      </c>
      <c r="H333" t="str">
        <f>IFERROR(__xludf.DUMMYFUNCTION("""COMPUTED_VALUE"""),"ICW San Sebastian")</f>
        <v>ICW San Sebastian</v>
      </c>
      <c r="I333" s="15">
        <f>IFERROR(__xludf.DUMMYFUNCTION("""COMPUTED_VALUE"""),0.5625)</f>
        <v>0.5625</v>
      </c>
      <c r="J333" s="16">
        <f>IFERROR(__xludf.DUMMYFUNCTION("""COMPUTED_VALUE"""),43655.60416666667)</f>
        <v>43655.60417</v>
      </c>
      <c r="K333" t="str">
        <f>IFERROR(__xludf.DUMMYFUNCTION("""COMPUTED_VALUE"""),"20ft Sea Ark FL5351SJ UNF 2015")</f>
        <v>20ft Sea Ark FL5351SJ UNF 2015</v>
      </c>
      <c r="M333" t="str">
        <f>IFERROR(__xludf.DUMMYFUNCTION("""COMPUTED_VALUE"""),"Ford F150 2015 (White) - DEP21448")</f>
        <v>Ford F150 2015 (White) - DEP21448</v>
      </c>
      <c r="N333" t="str">
        <f>IFERROR(__xludf.DUMMYFUNCTION("""COMPUTED_VALUE"""),"Shannon Dunnigan, (803) 727-5734, Silas Tanner, (904) 483-8423")</f>
        <v>Shannon Dunnigan, (803) 727-5734, Silas Tanner, (904) 483-8423</v>
      </c>
      <c r="O333" t="str">
        <f>IFERROR(__xludf.DUMMYFUNCTION("""COMPUTED_VALUE"""),"Jessica Lee")</f>
        <v>Jessica Lee</v>
      </c>
      <c r="P333" t="str">
        <f>IFERROR(__xludf.DUMMYFUNCTION("""COMPUTED_VALUE"""),"S. Dunnigan")</f>
        <v>S. Dunnigan</v>
      </c>
      <c r="Q333" t="str">
        <f>IFERROR(__xludf.DUMMYFUNCTION("""COMPUTED_VALUE"""),"Good")</f>
        <v>Good</v>
      </c>
      <c r="R333" t="str">
        <f>IFERROR(__xludf.DUMMYFUNCTION("""COMPUTED_VALUE"""),"Good")</f>
        <v>Good</v>
      </c>
      <c r="S333" t="str">
        <f>IFERROR(__xludf.DUMMYFUNCTION("""COMPUTED_VALUE"""),"Good")</f>
        <v>Good</v>
      </c>
      <c r="T333" t="str">
        <f>IFERROR(__xludf.DUMMYFUNCTION("""COMPUTED_VALUE"""),"Good")</f>
        <v>Good</v>
      </c>
      <c r="U333" t="str">
        <f>IFERROR(__xludf.DUMMYFUNCTION("""COMPUTED_VALUE"""),"Good")</f>
        <v>Good</v>
      </c>
      <c r="V333" t="str">
        <f>IFERROR(__xludf.DUMMYFUNCTION("""COMPUTED_VALUE"""),"Good")</f>
        <v>Good</v>
      </c>
      <c r="W333" t="str">
        <f>IFERROR(__xludf.DUMMYFUNCTION("""COMPUTED_VALUE"""),"Good")</f>
        <v>Good</v>
      </c>
      <c r="X333" t="str">
        <f>IFERROR(__xludf.DUMMYFUNCTION("""COMPUTED_VALUE"""),"Good")</f>
        <v>Good</v>
      </c>
      <c r="Y333" t="str">
        <f>IFERROR(__xludf.DUMMYFUNCTION("""COMPUTED_VALUE"""),"Good")</f>
        <v>Good</v>
      </c>
      <c r="Z333" t="str">
        <f>IFERROR(__xludf.DUMMYFUNCTION("""COMPUTED_VALUE"""),"Good")</f>
        <v>Good</v>
      </c>
      <c r="AA333" t="str">
        <f>IFERROR(__xludf.DUMMYFUNCTION("""COMPUTED_VALUE"""),"Good")</f>
        <v>Good</v>
      </c>
      <c r="AB333" t="str">
        <f>IFERROR(__xludf.DUMMYFUNCTION("""COMPUTED_VALUE"""),"Good")</f>
        <v>Good</v>
      </c>
      <c r="AC333" t="str">
        <f>IFERROR(__xludf.DUMMYFUNCTION("""COMPUTED_VALUE"""),"Good")</f>
        <v>Good</v>
      </c>
      <c r="AE333" s="11"/>
      <c r="AF333" t="s">
        <v>218</v>
      </c>
      <c r="AG333" s="17" t="s">
        <v>43</v>
      </c>
      <c r="AH333" s="12">
        <v>1215.0</v>
      </c>
      <c r="AI333" s="12" t="s">
        <v>951</v>
      </c>
      <c r="AJ333" s="19" t="s">
        <v>952</v>
      </c>
      <c r="AK333" s="20" t="str">
        <f>HYPERLINK("https://docs.google.com/document/d/1uTQ3cRptrbH2rU6bifYJQOp03goG-mR9xEJElr8rAvw/edit?usp=drivesdk","Silas Tanner - 7/9/2019 11:10 AM")</f>
        <v>Silas Tanner - 7/9/2019 11:10 AM</v>
      </c>
      <c r="AL333" s="12" t="s">
        <v>953</v>
      </c>
    </row>
    <row r="334">
      <c r="A334" s="10">
        <f>IFERROR(__xludf.DUMMYFUNCTION("""COMPUTED_VALUE"""),43657.346283391205)</f>
        <v>43657.34628</v>
      </c>
      <c r="B334" s="11" t="str">
        <f>IFERROR(__xludf.DUMMYFUNCTION("""COMPUTED_VALUE"""),"Jimmy")</f>
        <v>Jimmy</v>
      </c>
      <c r="C334" t="str">
        <f>IFERROR(__xludf.DUMMYFUNCTION("""COMPUTED_VALUE"""),"james.tomazinis@floridadep.gov")</f>
        <v>james.tomazinis@floridadep.gov</v>
      </c>
      <c r="D334" t="str">
        <f>IFERROR(__xludf.DUMMYFUNCTION("""COMPUTED_VALUE"""),"Stewardship (Aquatic)")</f>
        <v>Stewardship (Aquatic)</v>
      </c>
      <c r="E334" t="str">
        <f>IFERROR(__xludf.DUMMYFUNCTION("""COMPUTED_VALUE"""),"Vilano")</f>
        <v>Vilano</v>
      </c>
      <c r="F334" s="13">
        <f>IFERROR(__xludf.DUMMYFUNCTION("""COMPUTED_VALUE"""),0.3854166666678793)</f>
        <v>0.3854166667</v>
      </c>
      <c r="G334" s="14">
        <f>IFERROR(__xludf.DUMMYFUNCTION("""COMPUTED_VALUE"""),43657.0)</f>
        <v>43657</v>
      </c>
      <c r="H334" t="str">
        <f>IFERROR(__xludf.DUMMYFUNCTION("""COMPUTED_VALUE"""),"Tolomato Nekton Sites")</f>
        <v>Tolomato Nekton Sites</v>
      </c>
      <c r="I334" s="15">
        <f>IFERROR(__xludf.DUMMYFUNCTION("""COMPUTED_VALUE"""),0.6875)</f>
        <v>0.6875</v>
      </c>
      <c r="J334" s="16"/>
      <c r="K334" t="str">
        <f>IFERROR(__xludf.DUMMYFUNCTION("""COMPUTED_VALUE"""),"23ft Skiff (Bertha) FL7972LJ DEP07613")</f>
        <v>23ft Skiff (Bertha) FL7972LJ DEP07613</v>
      </c>
      <c r="M334" t="str">
        <f>IFERROR(__xludf.DUMMYFUNCTION("""COMPUTED_VALUE"""),"Ford F150 2015 (White) - DEP21448")</f>
        <v>Ford F150 2015 (White) - DEP21448</v>
      </c>
      <c r="N334" t="str">
        <f>IFERROR(__xludf.DUMMYFUNCTION("""COMPUTED_VALUE"""),"Jimmy Tomazinis, (904) 547-0094")</f>
        <v>Jimmy Tomazinis, (904) 547-0094</v>
      </c>
      <c r="O334" t="str">
        <f>IFERROR(__xludf.DUMMYFUNCTION("""COMPUTED_VALUE"""),"Dickson, Amy, Jeff, Raymond")</f>
        <v>Dickson, Amy, Jeff, Raymond</v>
      </c>
      <c r="P334" t="str">
        <f>IFERROR(__xludf.DUMMYFUNCTION("""COMPUTED_VALUE"""),"Jimmy")</f>
        <v>Jimmy</v>
      </c>
      <c r="Q334" t="str">
        <f>IFERROR(__xludf.DUMMYFUNCTION("""COMPUTED_VALUE"""),"Good")</f>
        <v>Good</v>
      </c>
      <c r="R334" t="str">
        <f>IFERROR(__xludf.DUMMYFUNCTION("""COMPUTED_VALUE"""),"Good")</f>
        <v>Good</v>
      </c>
      <c r="S334" t="str">
        <f>IFERROR(__xludf.DUMMYFUNCTION("""COMPUTED_VALUE"""),"Good")</f>
        <v>Good</v>
      </c>
      <c r="T334" t="str">
        <f>IFERROR(__xludf.DUMMYFUNCTION("""COMPUTED_VALUE"""),"Good")</f>
        <v>Good</v>
      </c>
      <c r="U334" t="str">
        <f>IFERROR(__xludf.DUMMYFUNCTION("""COMPUTED_VALUE"""),"Good")</f>
        <v>Good</v>
      </c>
      <c r="V334" t="str">
        <f>IFERROR(__xludf.DUMMYFUNCTION("""COMPUTED_VALUE"""),"Good")</f>
        <v>Good</v>
      </c>
      <c r="W334" t="str">
        <f>IFERROR(__xludf.DUMMYFUNCTION("""COMPUTED_VALUE"""),"Good")</f>
        <v>Good</v>
      </c>
      <c r="X334" t="str">
        <f>IFERROR(__xludf.DUMMYFUNCTION("""COMPUTED_VALUE"""),"Good")</f>
        <v>Good</v>
      </c>
      <c r="Y334" t="str">
        <f>IFERROR(__xludf.DUMMYFUNCTION("""COMPUTED_VALUE"""),"Good")</f>
        <v>Good</v>
      </c>
      <c r="Z334" t="str">
        <f>IFERROR(__xludf.DUMMYFUNCTION("""COMPUTED_VALUE"""),"Good")</f>
        <v>Good</v>
      </c>
      <c r="AA334" t="str">
        <f>IFERROR(__xludf.DUMMYFUNCTION("""COMPUTED_VALUE"""),"Good")</f>
        <v>Good</v>
      </c>
      <c r="AB334" t="str">
        <f>IFERROR(__xludf.DUMMYFUNCTION("""COMPUTED_VALUE"""),"Good")</f>
        <v>Good</v>
      </c>
      <c r="AC334" t="str">
        <f>IFERROR(__xludf.DUMMYFUNCTION("""COMPUTED_VALUE"""),"Good")</f>
        <v>Good</v>
      </c>
      <c r="AE334" s="11"/>
      <c r="AF334" t="s">
        <v>32</v>
      </c>
      <c r="AG334" s="17" t="s">
        <v>18</v>
      </c>
      <c r="AH334" s="12">
        <v>1550.0</v>
      </c>
      <c r="AI334" s="12" t="s">
        <v>954</v>
      </c>
      <c r="AJ334" s="19" t="s">
        <v>955</v>
      </c>
      <c r="AK334" s="20" t="str">
        <f>HYPERLINK("https://docs.google.com/document/d/1aBGvsEHCirIyyRknTERtRhpAFTNHS0JnXUlFaT1v4cE/edit?usp=drivesdk","Jimmy - 7/11/2019 9:15 AM")</f>
        <v>Jimmy - 7/11/2019 9:15 AM</v>
      </c>
      <c r="AL334" s="12" t="s">
        <v>956</v>
      </c>
    </row>
    <row r="335">
      <c r="A335" s="10">
        <f>IFERROR(__xludf.DUMMYFUNCTION("""COMPUTED_VALUE"""),43657.418944791665)</f>
        <v>43657.41894</v>
      </c>
      <c r="B335" s="11" t="str">
        <f>IFERROR(__xludf.DUMMYFUNCTION("""COMPUTED_VALUE"""),"Pam Marcum")</f>
        <v>Pam Marcum</v>
      </c>
      <c r="C335" t="str">
        <f>IFERROR(__xludf.DUMMYFUNCTION("""COMPUTED_VALUE"""),"Pamela.Marcum@dep.state.fl.us")</f>
        <v>Pamela.Marcum@dep.state.fl.us</v>
      </c>
      <c r="D335" t="str">
        <f>IFERROR(__xludf.DUMMYFUNCTION("""COMPUTED_VALUE"""),"Research/Nikki")</f>
        <v>Research/Nikki</v>
      </c>
      <c r="E335" t="str">
        <f>IFERROR(__xludf.DUMMYFUNCTION("""COMPUTED_VALUE"""),"Green Rd")</f>
        <v>Green Rd</v>
      </c>
      <c r="F335" s="13">
        <f>IFERROR(__xludf.DUMMYFUNCTION("""COMPUTED_VALUE"""),0.4166666666678793)</f>
        <v>0.4166666667</v>
      </c>
      <c r="G335" s="14">
        <f>IFERROR(__xludf.DUMMYFUNCTION("""COMPUTED_VALUE"""),43657.0)</f>
        <v>43657</v>
      </c>
      <c r="H335" t="str">
        <f>IFERROR(__xludf.DUMMYFUNCTION("""COMPUTED_VALUE"""),"Devil's Elbow")</f>
        <v>Devil's Elbow</v>
      </c>
      <c r="I335" s="15">
        <f>IFERROR(__xludf.DUMMYFUNCTION("""COMPUTED_VALUE"""),0.5833333333321207)</f>
        <v>0.5833333333</v>
      </c>
      <c r="J335" s="16">
        <f>IFERROR(__xludf.DUMMYFUNCTION("""COMPUTED_VALUE"""),43657.60416666667)</f>
        <v>43657.60417</v>
      </c>
      <c r="K335" t="str">
        <f>IFERROR(__xludf.DUMMYFUNCTION("""COMPUTED_VALUE"""),"17ft Skill FL0642GW DEP07239")</f>
        <v>17ft Skill FL0642GW DEP07239</v>
      </c>
      <c r="M335" t="str">
        <f>IFERROR(__xludf.DUMMYFUNCTION("""COMPUTED_VALUE"""),"2018 F150 AP truck")</f>
        <v>2018 F150 AP truck</v>
      </c>
      <c r="N335" t="str">
        <f>IFERROR(__xludf.DUMMYFUNCTION("""COMPUTED_VALUE"""),"Pam Marcum, (480) 332-5414")</f>
        <v>Pam Marcum, (480) 332-5414</v>
      </c>
      <c r="O335" t="str">
        <f>IFERROR(__xludf.DUMMYFUNCTION("""COMPUTED_VALUE"""),"Adrienne Breef-Pilz, Nicole Peckham, David Kimbro")</f>
        <v>Adrienne Breef-Pilz, Nicole Peckham, David Kimbro</v>
      </c>
      <c r="P335" t="str">
        <f>IFERROR(__xludf.DUMMYFUNCTION("""COMPUTED_VALUE"""),"Pam")</f>
        <v>Pam</v>
      </c>
      <c r="Q335" t="str">
        <f>IFERROR(__xludf.DUMMYFUNCTION("""COMPUTED_VALUE"""),"Good")</f>
        <v>Good</v>
      </c>
      <c r="R335" t="str">
        <f>IFERROR(__xludf.DUMMYFUNCTION("""COMPUTED_VALUE"""),"Good")</f>
        <v>Good</v>
      </c>
      <c r="S335" t="str">
        <f>IFERROR(__xludf.DUMMYFUNCTION("""COMPUTED_VALUE"""),"Good")</f>
        <v>Good</v>
      </c>
      <c r="T335" t="str">
        <f>IFERROR(__xludf.DUMMYFUNCTION("""COMPUTED_VALUE"""),"Good")</f>
        <v>Good</v>
      </c>
      <c r="U335" t="str">
        <f>IFERROR(__xludf.DUMMYFUNCTION("""COMPUTED_VALUE"""),"Good")</f>
        <v>Good</v>
      </c>
      <c r="V335" t="str">
        <f>IFERROR(__xludf.DUMMYFUNCTION("""COMPUTED_VALUE"""),"Good")</f>
        <v>Good</v>
      </c>
      <c r="W335" t="str">
        <f>IFERROR(__xludf.DUMMYFUNCTION("""COMPUTED_VALUE"""),"Good")</f>
        <v>Good</v>
      </c>
      <c r="X335" t="str">
        <f>IFERROR(__xludf.DUMMYFUNCTION("""COMPUTED_VALUE"""),"Good")</f>
        <v>Good</v>
      </c>
      <c r="Y335" t="str">
        <f>IFERROR(__xludf.DUMMYFUNCTION("""COMPUTED_VALUE"""),"Good")</f>
        <v>Good</v>
      </c>
      <c r="Z335" t="str">
        <f>IFERROR(__xludf.DUMMYFUNCTION("""COMPUTED_VALUE"""),"Good")</f>
        <v>Good</v>
      </c>
      <c r="AA335" t="str">
        <f>IFERROR(__xludf.DUMMYFUNCTION("""COMPUTED_VALUE"""),"Good")</f>
        <v>Good</v>
      </c>
      <c r="AB335" t="str">
        <f>IFERROR(__xludf.DUMMYFUNCTION("""COMPUTED_VALUE"""),"Good")</f>
        <v>Good</v>
      </c>
      <c r="AC335" t="str">
        <f>IFERROR(__xludf.DUMMYFUNCTION("""COMPUTED_VALUE"""),"Good")</f>
        <v>Good</v>
      </c>
      <c r="AE335" s="11"/>
      <c r="AF335" t="s">
        <v>218</v>
      </c>
      <c r="AG335" s="17" t="s">
        <v>128</v>
      </c>
      <c r="AH335" s="12">
        <v>1450.0</v>
      </c>
      <c r="AI335" s="12" t="s">
        <v>957</v>
      </c>
      <c r="AJ335" s="19" t="s">
        <v>958</v>
      </c>
      <c r="AK335" s="20" t="str">
        <f>HYPERLINK("https://docs.google.com/document/d/1i930KaeCQlWUDAixF0akElGqD6KN0UM1R3AMA3CzBgU/edit?usp=drivesdk","Pam Marcum - 7/11/2019 10:00 AM")</f>
        <v>Pam Marcum - 7/11/2019 10:00 AM</v>
      </c>
      <c r="AL335" s="12" t="s">
        <v>959</v>
      </c>
    </row>
    <row r="336">
      <c r="A336" s="10">
        <f>IFERROR(__xludf.DUMMYFUNCTION("""COMPUTED_VALUE"""),43658.41978898148)</f>
        <v>43658.41979</v>
      </c>
      <c r="B336" s="11" t="str">
        <f>IFERROR(__xludf.DUMMYFUNCTION("""COMPUTED_VALUE"""),"Pamela Marcum")</f>
        <v>Pamela Marcum</v>
      </c>
      <c r="C336" t="str">
        <f>IFERROR(__xludf.DUMMYFUNCTION("""COMPUTED_VALUE"""),"pamela.marcum@Floridadep.gov")</f>
        <v>pamela.marcum@Floridadep.gov</v>
      </c>
      <c r="D336" t="str">
        <f>IFERROR(__xludf.DUMMYFUNCTION("""COMPUTED_VALUE"""),"Research/Nikki")</f>
        <v>Research/Nikki</v>
      </c>
      <c r="E336" t="str">
        <f>IFERROR(__xludf.DUMMYFUNCTION("""COMPUTED_VALUE"""),"Green rd")</f>
        <v>Green rd</v>
      </c>
      <c r="F336" s="13">
        <f>IFERROR(__xludf.DUMMYFUNCTION("""COMPUTED_VALUE"""),0.4166666666678793)</f>
        <v>0.4166666667</v>
      </c>
      <c r="G336" s="14">
        <f>IFERROR(__xludf.DUMMYFUNCTION("""COMPUTED_VALUE"""),43658.0)</f>
        <v>43658</v>
      </c>
      <c r="H336" t="str">
        <f>IFERROR(__xludf.DUMMYFUNCTION("""COMPUTED_VALUE"""),"Moses flats")</f>
        <v>Moses flats</v>
      </c>
      <c r="I336" s="15">
        <f>IFERROR(__xludf.DUMMYFUNCTION("""COMPUTED_VALUE"""),0.6666666666678793)</f>
        <v>0.6666666667</v>
      </c>
      <c r="J336" s="16">
        <f>IFERROR(__xludf.DUMMYFUNCTION("""COMPUTED_VALUE"""),43658.6875)</f>
        <v>43658.6875</v>
      </c>
      <c r="K336" t="str">
        <f>IFERROR(__xludf.DUMMYFUNCTION("""COMPUTED_VALUE"""),"17ft Skill FL0642GW DEP07239")</f>
        <v>17ft Skill FL0642GW DEP07239</v>
      </c>
      <c r="M336" t="str">
        <f>IFERROR(__xludf.DUMMYFUNCTION("""COMPUTED_VALUE"""),"2018 f150 AP")</f>
        <v>2018 f150 AP</v>
      </c>
      <c r="N336" t="str">
        <f>IFERROR(__xludf.DUMMYFUNCTION("""COMPUTED_VALUE"""),"Pam Marcum, (480) 332-5414")</f>
        <v>Pam Marcum, (480) 332-5414</v>
      </c>
      <c r="O336" t="str">
        <f>IFERROR(__xludf.DUMMYFUNCTION("""COMPUTED_VALUE"""),"Nicole Peckham, Adrienne Breef-Pilz, David Kimbro, Allison Noble")</f>
        <v>Nicole Peckham, Adrienne Breef-Pilz, David Kimbro, Allison Noble</v>
      </c>
      <c r="P336" t="str">
        <f>IFERROR(__xludf.DUMMYFUNCTION("""COMPUTED_VALUE"""),"Pam")</f>
        <v>Pam</v>
      </c>
      <c r="Q336" t="str">
        <f>IFERROR(__xludf.DUMMYFUNCTION("""COMPUTED_VALUE"""),"Good")</f>
        <v>Good</v>
      </c>
      <c r="R336" t="str">
        <f>IFERROR(__xludf.DUMMYFUNCTION("""COMPUTED_VALUE"""),"Good")</f>
        <v>Good</v>
      </c>
      <c r="S336" t="str">
        <f>IFERROR(__xludf.DUMMYFUNCTION("""COMPUTED_VALUE"""),"Good")</f>
        <v>Good</v>
      </c>
      <c r="T336" t="str">
        <f>IFERROR(__xludf.DUMMYFUNCTION("""COMPUTED_VALUE"""),"Good")</f>
        <v>Good</v>
      </c>
      <c r="U336" t="str">
        <f>IFERROR(__xludf.DUMMYFUNCTION("""COMPUTED_VALUE"""),"Good")</f>
        <v>Good</v>
      </c>
      <c r="V336" t="str">
        <f>IFERROR(__xludf.DUMMYFUNCTION("""COMPUTED_VALUE"""),"Good")</f>
        <v>Good</v>
      </c>
      <c r="W336" t="str">
        <f>IFERROR(__xludf.DUMMYFUNCTION("""COMPUTED_VALUE"""),"Good")</f>
        <v>Good</v>
      </c>
      <c r="X336" t="str">
        <f>IFERROR(__xludf.DUMMYFUNCTION("""COMPUTED_VALUE"""),"Good")</f>
        <v>Good</v>
      </c>
      <c r="Y336" t="str">
        <f>IFERROR(__xludf.DUMMYFUNCTION("""COMPUTED_VALUE"""),"Good")</f>
        <v>Good</v>
      </c>
      <c r="Z336" t="str">
        <f>IFERROR(__xludf.DUMMYFUNCTION("""COMPUTED_VALUE"""),"Good")</f>
        <v>Good</v>
      </c>
      <c r="AA336" t="str">
        <f>IFERROR(__xludf.DUMMYFUNCTION("""COMPUTED_VALUE"""),"Good")</f>
        <v>Good</v>
      </c>
      <c r="AB336" t="str">
        <f>IFERROR(__xludf.DUMMYFUNCTION("""COMPUTED_VALUE"""),"Good")</f>
        <v>Good</v>
      </c>
      <c r="AC336" t="str">
        <f>IFERROR(__xludf.DUMMYFUNCTION("""COMPUTED_VALUE"""),"Good")</f>
        <v>Good</v>
      </c>
      <c r="AE336" s="11"/>
      <c r="AF336" t="s">
        <v>218</v>
      </c>
      <c r="AG336" s="17" t="s">
        <v>128</v>
      </c>
      <c r="AH336" s="12">
        <v>1435.0</v>
      </c>
      <c r="AI336" s="12" t="s">
        <v>960</v>
      </c>
      <c r="AJ336" s="19" t="s">
        <v>961</v>
      </c>
      <c r="AK336" s="20" t="str">
        <f>HYPERLINK("https://docs.google.com/document/d/1fsp2VE6J3eq1qlBaOs9_c3VwCKjWu0Kv5nHjHXrgkIw/edit?usp=drivesdk","Pamela Marcum - 7/12/2019 10:00 AM")</f>
        <v>Pamela Marcum - 7/12/2019 10:00 AM</v>
      </c>
      <c r="AL336" s="12" t="s">
        <v>962</v>
      </c>
    </row>
    <row r="337">
      <c r="A337" s="10">
        <f>IFERROR(__xludf.DUMMYFUNCTION("""COMPUTED_VALUE"""),43661.31049437499)</f>
        <v>43661.31049</v>
      </c>
      <c r="B337" s="11" t="str">
        <f>IFERROR(__xludf.DUMMYFUNCTION("""COMPUTED_VALUE"""),"S. Tanner")</f>
        <v>S. Tanner</v>
      </c>
      <c r="C337" t="str">
        <f>IFERROR(__xludf.DUMMYFUNCTION("""COMPUTED_VALUE"""),"silas.tanner@floridadep.gov")</f>
        <v>silas.tanner@floridadep.gov</v>
      </c>
      <c r="D337" t="str">
        <f>IFERROR(__xludf.DUMMYFUNCTION("""COMPUTED_VALUE"""),"Research/Nikki")</f>
        <v>Research/Nikki</v>
      </c>
      <c r="E337" t="str">
        <f>IFERROR(__xludf.DUMMYFUNCTION("""COMPUTED_VALUE"""),"Vilano landing")</f>
        <v>Vilano landing</v>
      </c>
      <c r="F337" s="13">
        <f>IFERROR(__xludf.DUMMYFUNCTION("""COMPUTED_VALUE"""),0.32986111110949423)</f>
        <v>0.3298611111</v>
      </c>
      <c r="G337" s="14">
        <f>IFERROR(__xludf.DUMMYFUNCTION("""COMPUTED_VALUE"""),43661.0)</f>
        <v>43661</v>
      </c>
      <c r="H337" t="str">
        <f>IFERROR(__xludf.DUMMYFUNCTION("""COMPUTED_VALUE"""),"ICW SWMP sites")</f>
        <v>ICW SWMP sites</v>
      </c>
      <c r="I337" s="15">
        <f>IFERROR(__xludf.DUMMYFUNCTION("""COMPUTED_VALUE"""),0.5416666666678793)</f>
        <v>0.5416666667</v>
      </c>
      <c r="J337" s="16">
        <f>IFERROR(__xludf.DUMMYFUNCTION("""COMPUTED_VALUE"""),43661.5625)</f>
        <v>43661.5625</v>
      </c>
      <c r="K337" t="str">
        <f>IFERROR(__xludf.DUMMYFUNCTION("""COMPUTED_VALUE"""),"23ft Skiff (Bertha) FL7972LJ DEP07613")</f>
        <v>23ft Skiff (Bertha) FL7972LJ DEP07613</v>
      </c>
      <c r="M337" t="str">
        <f>IFERROR(__xludf.DUMMYFUNCTION("""COMPUTED_VALUE"""),"Ford F150 2015 (White) - DEP21448")</f>
        <v>Ford F150 2015 (White) - DEP21448</v>
      </c>
      <c r="N337" t="str">
        <f>IFERROR(__xludf.DUMMYFUNCTION("""COMPUTED_VALUE"""),"Silas Tanner, (904) 483-8423")</f>
        <v>Silas Tanner, (904) 483-8423</v>
      </c>
      <c r="O337" t="str">
        <f>IFERROR(__xludf.DUMMYFUNCTION("""COMPUTED_VALUE"""),"Alee Kneoll, Jeff Finnan")</f>
        <v>Alee Kneoll, Jeff Finnan</v>
      </c>
      <c r="P337" t="str">
        <f>IFERROR(__xludf.DUMMYFUNCTION("""COMPUTED_VALUE"""),"S. Tanner")</f>
        <v>S. Tanner</v>
      </c>
      <c r="Q337" t="str">
        <f>IFERROR(__xludf.DUMMYFUNCTION("""COMPUTED_VALUE"""),"Good")</f>
        <v>Good</v>
      </c>
      <c r="R337" t="str">
        <f>IFERROR(__xludf.DUMMYFUNCTION("""COMPUTED_VALUE"""),"Good")</f>
        <v>Good</v>
      </c>
      <c r="S337" t="str">
        <f>IFERROR(__xludf.DUMMYFUNCTION("""COMPUTED_VALUE"""),"Good")</f>
        <v>Good</v>
      </c>
      <c r="T337" t="str">
        <f>IFERROR(__xludf.DUMMYFUNCTION("""COMPUTED_VALUE"""),"Good")</f>
        <v>Good</v>
      </c>
      <c r="U337" t="str">
        <f>IFERROR(__xludf.DUMMYFUNCTION("""COMPUTED_VALUE"""),"Good")</f>
        <v>Good</v>
      </c>
      <c r="V337" t="str">
        <f>IFERROR(__xludf.DUMMYFUNCTION("""COMPUTED_VALUE"""),"Good")</f>
        <v>Good</v>
      </c>
      <c r="W337" t="str">
        <f>IFERROR(__xludf.DUMMYFUNCTION("""COMPUTED_VALUE"""),"Good")</f>
        <v>Good</v>
      </c>
      <c r="X337" t="str">
        <f>IFERROR(__xludf.DUMMYFUNCTION("""COMPUTED_VALUE"""),"Good")</f>
        <v>Good</v>
      </c>
      <c r="Y337" t="str">
        <f>IFERROR(__xludf.DUMMYFUNCTION("""COMPUTED_VALUE"""),"Good")</f>
        <v>Good</v>
      </c>
      <c r="Z337" t="str">
        <f>IFERROR(__xludf.DUMMYFUNCTION("""COMPUTED_VALUE"""),"Good")</f>
        <v>Good</v>
      </c>
      <c r="AA337" t="str">
        <f>IFERROR(__xludf.DUMMYFUNCTION("""COMPUTED_VALUE"""),"Good")</f>
        <v>Good</v>
      </c>
      <c r="AB337" t="str">
        <f>IFERROR(__xludf.DUMMYFUNCTION("""COMPUTED_VALUE"""),"Good")</f>
        <v>Good</v>
      </c>
      <c r="AC337" t="str">
        <f>IFERROR(__xludf.DUMMYFUNCTION("""COMPUTED_VALUE"""),"Good")</f>
        <v>Good</v>
      </c>
      <c r="AE337" s="11"/>
      <c r="AF337" t="s">
        <v>218</v>
      </c>
      <c r="AG337" s="17" t="s">
        <v>18</v>
      </c>
      <c r="AH337" s="12">
        <v>1230.0</v>
      </c>
      <c r="AI337" s="12" t="s">
        <v>963</v>
      </c>
      <c r="AJ337" s="19" t="s">
        <v>964</v>
      </c>
      <c r="AK337" s="20" t="str">
        <f>HYPERLINK("https://docs.google.com/document/d/1qfBh_O_GEYX9iCz3WJwlITP89zxKCd3VjFTCB8EEAZE/edit?usp=drivesdk","S. Tanner - 7/15/2019 7:55 AM")</f>
        <v>S. Tanner - 7/15/2019 7:55 AM</v>
      </c>
      <c r="AL337" s="12" t="s">
        <v>965</v>
      </c>
    </row>
    <row r="338">
      <c r="A338" s="10">
        <f>IFERROR(__xludf.DUMMYFUNCTION("""COMPUTED_VALUE"""),43662.61286083333)</f>
        <v>43662.61286</v>
      </c>
      <c r="B338" s="11" t="str">
        <f>IFERROR(__xludf.DUMMYFUNCTION("""COMPUTED_VALUE"""),"Jimmy")</f>
        <v>Jimmy</v>
      </c>
      <c r="C338" t="str">
        <f>IFERROR(__xludf.DUMMYFUNCTION("""COMPUTED_VALUE"""),"james.tomazinis@floridadep.gov")</f>
        <v>james.tomazinis@floridadep.gov</v>
      </c>
      <c r="D338" t="str">
        <f>IFERROR(__xludf.DUMMYFUNCTION("""COMPUTED_VALUE"""),"Stewardship (Aquatic)")</f>
        <v>Stewardship (Aquatic)</v>
      </c>
      <c r="E338" t="str">
        <f>IFERROR(__xludf.DUMMYFUNCTION("""COMPUTED_VALUE"""),"Goffinsville and Dee Dee Bartels")</f>
        <v>Goffinsville and Dee Dee Bartels</v>
      </c>
      <c r="F338" s="13">
        <f>IFERROR(__xludf.DUMMYFUNCTION("""COMPUTED_VALUE"""),0.40625)</f>
        <v>0.40625</v>
      </c>
      <c r="G338" s="14">
        <f>IFERROR(__xludf.DUMMYFUNCTION("""COMPUTED_VALUE"""),43662.0)</f>
        <v>43662</v>
      </c>
      <c r="H338" t="str">
        <f>IFERROR(__xludf.DUMMYFUNCTION("""COMPUTED_VALUE"""),"NEAP WQ sites")</f>
        <v>NEAP WQ sites</v>
      </c>
      <c r="I338" s="15">
        <f>IFERROR(__xludf.DUMMYFUNCTION("""COMPUTED_VALUE"""),0.6666666666678793)</f>
        <v>0.6666666667</v>
      </c>
      <c r="J338" s="16"/>
      <c r="K338" t="str">
        <f>IFERROR(__xludf.DUMMYFUNCTION("""COMPUTED_VALUE"""),"23ft Skiff (Bertha) FL7972LJ DEP07613")</f>
        <v>23ft Skiff (Bertha) FL7972LJ DEP07613</v>
      </c>
      <c r="M338" t="str">
        <f>IFERROR(__xludf.DUMMYFUNCTION("""COMPUTED_VALUE"""),"Ford F150 2015 (White) - DEP21448")</f>
        <v>Ford F150 2015 (White) - DEP21448</v>
      </c>
      <c r="N338" t="str">
        <f>IFERROR(__xludf.DUMMYFUNCTION("""COMPUTED_VALUE"""),"Jimmy Tomazinis, (904) 547-0094")</f>
        <v>Jimmy Tomazinis, (904) 547-0094</v>
      </c>
      <c r="O338" t="str">
        <f>IFERROR(__xludf.DUMMYFUNCTION("""COMPUTED_VALUE"""),"Mike Darragh")</f>
        <v>Mike Darragh</v>
      </c>
      <c r="P338" t="str">
        <f>IFERROR(__xludf.DUMMYFUNCTION("""COMPUTED_VALUE"""),"Jimmy")</f>
        <v>Jimmy</v>
      </c>
      <c r="Q338" t="str">
        <f>IFERROR(__xludf.DUMMYFUNCTION("""COMPUTED_VALUE"""),"Good")</f>
        <v>Good</v>
      </c>
      <c r="R338" t="str">
        <f>IFERROR(__xludf.DUMMYFUNCTION("""COMPUTED_VALUE"""),"Good")</f>
        <v>Good</v>
      </c>
      <c r="S338" t="str">
        <f>IFERROR(__xludf.DUMMYFUNCTION("""COMPUTED_VALUE"""),"Good")</f>
        <v>Good</v>
      </c>
      <c r="T338" t="str">
        <f>IFERROR(__xludf.DUMMYFUNCTION("""COMPUTED_VALUE"""),"Good")</f>
        <v>Good</v>
      </c>
      <c r="U338" t="str">
        <f>IFERROR(__xludf.DUMMYFUNCTION("""COMPUTED_VALUE"""),"Good")</f>
        <v>Good</v>
      </c>
      <c r="V338" t="str">
        <f>IFERROR(__xludf.DUMMYFUNCTION("""COMPUTED_VALUE"""),"Good")</f>
        <v>Good</v>
      </c>
      <c r="W338" t="str">
        <f>IFERROR(__xludf.DUMMYFUNCTION("""COMPUTED_VALUE"""),"Good")</f>
        <v>Good</v>
      </c>
      <c r="X338" t="str">
        <f>IFERROR(__xludf.DUMMYFUNCTION("""COMPUTED_VALUE"""),"Good")</f>
        <v>Good</v>
      </c>
      <c r="Y338" t="str">
        <f>IFERROR(__xludf.DUMMYFUNCTION("""COMPUTED_VALUE"""),"Good")</f>
        <v>Good</v>
      </c>
      <c r="Z338" t="str">
        <f>IFERROR(__xludf.DUMMYFUNCTION("""COMPUTED_VALUE"""),"Good")</f>
        <v>Good</v>
      </c>
      <c r="AA338" t="str">
        <f>IFERROR(__xludf.DUMMYFUNCTION("""COMPUTED_VALUE"""),"Good")</f>
        <v>Good</v>
      </c>
      <c r="AB338" t="str">
        <f>IFERROR(__xludf.DUMMYFUNCTION("""COMPUTED_VALUE"""),"Good")</f>
        <v>Good</v>
      </c>
      <c r="AC338" t="str">
        <f>IFERROR(__xludf.DUMMYFUNCTION("""COMPUTED_VALUE"""),"Good")</f>
        <v>Good</v>
      </c>
      <c r="AE338" s="11"/>
      <c r="AF338" t="s">
        <v>32</v>
      </c>
      <c r="AG338" s="18"/>
      <c r="AI338" s="12" t="s">
        <v>966</v>
      </c>
      <c r="AJ338" s="19" t="s">
        <v>967</v>
      </c>
      <c r="AK338" s="20" t="str">
        <f>HYPERLINK("https://docs.google.com/document/d/1ZCXGxgcM0SMf47GDz2P2nEKQwWPen_IopWAdo9gZUe8/edit?usp=drivesdk","Jimmy - 7/16/2019 9:45 AM")</f>
        <v>Jimmy - 7/16/2019 9:45 AM</v>
      </c>
      <c r="AL338" s="12" t="s">
        <v>968</v>
      </c>
    </row>
    <row r="339">
      <c r="A339" s="10">
        <f>IFERROR(__xludf.DUMMYFUNCTION("""COMPUTED_VALUE"""),43662.6170340162)</f>
        <v>43662.61703</v>
      </c>
      <c r="B339" s="11" t="str">
        <f>IFERROR(__xludf.DUMMYFUNCTION("""COMPUTED_VALUE"""),"Jimmy")</f>
        <v>Jimmy</v>
      </c>
      <c r="C339" t="str">
        <f>IFERROR(__xludf.DUMMYFUNCTION("""COMPUTED_VALUE"""),"james.tomazinis@floridadep.gov")</f>
        <v>james.tomazinis@floridadep.gov</v>
      </c>
      <c r="D339" t="str">
        <f>IFERROR(__xludf.DUMMYFUNCTION("""COMPUTED_VALUE"""),"Stewardship (Aquatic)")</f>
        <v>Stewardship (Aquatic)</v>
      </c>
      <c r="E339" t="str">
        <f>IFERROR(__xludf.DUMMYFUNCTION("""COMPUTED_VALUE"""),"Goffinsville and Dee Dee Bartels")</f>
        <v>Goffinsville and Dee Dee Bartels</v>
      </c>
      <c r="F339" s="13">
        <f>IFERROR(__xludf.DUMMYFUNCTION("""COMPUTED_VALUE"""),0.40625)</f>
        <v>0.40625</v>
      </c>
      <c r="G339" s="14">
        <f>IFERROR(__xludf.DUMMYFUNCTION("""COMPUTED_VALUE"""),43663.0)</f>
        <v>43663</v>
      </c>
      <c r="H339" t="str">
        <f>IFERROR(__xludf.DUMMYFUNCTION("""COMPUTED_VALUE"""),"NEAP WQ sites")</f>
        <v>NEAP WQ sites</v>
      </c>
      <c r="I339" s="15">
        <f>IFERROR(__xludf.DUMMYFUNCTION("""COMPUTED_VALUE"""),0.6666666666678793)</f>
        <v>0.6666666667</v>
      </c>
      <c r="J339" s="16"/>
      <c r="K339" t="str">
        <f>IFERROR(__xludf.DUMMYFUNCTION("""COMPUTED_VALUE"""),"23ft Skiff (Bertha) FL7972LJ DEP07613")</f>
        <v>23ft Skiff (Bertha) FL7972LJ DEP07613</v>
      </c>
      <c r="M339" t="str">
        <f>IFERROR(__xludf.DUMMYFUNCTION("""COMPUTED_VALUE"""),"Ford F150 2015 (White) - DEP21448")</f>
        <v>Ford F150 2015 (White) - DEP21448</v>
      </c>
      <c r="N339" t="str">
        <f>IFERROR(__xludf.DUMMYFUNCTION("""COMPUTED_VALUE"""),"Jimmy Tomazinis, (904) 547-0094")</f>
        <v>Jimmy Tomazinis, (904) 547-0094</v>
      </c>
      <c r="O339" t="str">
        <f>IFERROR(__xludf.DUMMYFUNCTION("""COMPUTED_VALUE"""),"Mike Darragh")</f>
        <v>Mike Darragh</v>
      </c>
      <c r="P339" t="str">
        <f>IFERROR(__xludf.DUMMYFUNCTION("""COMPUTED_VALUE"""),"Jimmy")</f>
        <v>Jimmy</v>
      </c>
      <c r="Q339" t="str">
        <f>IFERROR(__xludf.DUMMYFUNCTION("""COMPUTED_VALUE"""),"Good")</f>
        <v>Good</v>
      </c>
      <c r="R339" t="str">
        <f>IFERROR(__xludf.DUMMYFUNCTION("""COMPUTED_VALUE"""),"Good")</f>
        <v>Good</v>
      </c>
      <c r="S339" t="str">
        <f>IFERROR(__xludf.DUMMYFUNCTION("""COMPUTED_VALUE"""),"Good")</f>
        <v>Good</v>
      </c>
      <c r="T339" t="str">
        <f>IFERROR(__xludf.DUMMYFUNCTION("""COMPUTED_VALUE"""),"Good")</f>
        <v>Good</v>
      </c>
      <c r="U339" t="str">
        <f>IFERROR(__xludf.DUMMYFUNCTION("""COMPUTED_VALUE"""),"Good")</f>
        <v>Good</v>
      </c>
      <c r="V339" t="str">
        <f>IFERROR(__xludf.DUMMYFUNCTION("""COMPUTED_VALUE"""),"Good")</f>
        <v>Good</v>
      </c>
      <c r="W339" t="str">
        <f>IFERROR(__xludf.DUMMYFUNCTION("""COMPUTED_VALUE"""),"Good")</f>
        <v>Good</v>
      </c>
      <c r="X339" t="str">
        <f>IFERROR(__xludf.DUMMYFUNCTION("""COMPUTED_VALUE"""),"Good")</f>
        <v>Good</v>
      </c>
      <c r="Y339" t="str">
        <f>IFERROR(__xludf.DUMMYFUNCTION("""COMPUTED_VALUE"""),"Good")</f>
        <v>Good</v>
      </c>
      <c r="Z339" t="str">
        <f>IFERROR(__xludf.DUMMYFUNCTION("""COMPUTED_VALUE"""),"Good")</f>
        <v>Good</v>
      </c>
      <c r="AA339" t="str">
        <f>IFERROR(__xludf.DUMMYFUNCTION("""COMPUTED_VALUE"""),"Good")</f>
        <v>Good</v>
      </c>
      <c r="AB339" t="str">
        <f>IFERROR(__xludf.DUMMYFUNCTION("""COMPUTED_VALUE"""),"Good")</f>
        <v>Good</v>
      </c>
      <c r="AC339" t="str">
        <f>IFERROR(__xludf.DUMMYFUNCTION("""COMPUTED_VALUE"""),"Good")</f>
        <v>Good</v>
      </c>
      <c r="AE339" s="11"/>
      <c r="AF339" t="s">
        <v>32</v>
      </c>
      <c r="AG339" s="17" t="s">
        <v>18</v>
      </c>
      <c r="AH339" s="12">
        <v>1400.0</v>
      </c>
      <c r="AI339" s="12" t="s">
        <v>969</v>
      </c>
      <c r="AJ339" s="19" t="s">
        <v>970</v>
      </c>
      <c r="AK339" s="20" t="str">
        <f>HYPERLINK("https://docs.google.com/document/d/1fe-2hVqu4qRXiK7uZpdjNWbt09bbNO2CMjpLNLRqic4/edit?usp=drivesdk","Jimmy - 7/17/2019 9:45 AM")</f>
        <v>Jimmy - 7/17/2019 9:45 AM</v>
      </c>
      <c r="AL339" s="12" t="s">
        <v>971</v>
      </c>
    </row>
    <row r="340">
      <c r="A340" s="10">
        <f>IFERROR(__xludf.DUMMYFUNCTION("""COMPUTED_VALUE"""),43668.730862627315)</f>
        <v>43668.73086</v>
      </c>
      <c r="B340" s="11" t="str">
        <f>IFERROR(__xludf.DUMMYFUNCTION("""COMPUTED_VALUE"""),"Jimmy")</f>
        <v>Jimmy</v>
      </c>
      <c r="C340" t="str">
        <f>IFERROR(__xludf.DUMMYFUNCTION("""COMPUTED_VALUE"""),"james.tomazinis@floridadep.gov")</f>
        <v>james.tomazinis@floridadep.gov</v>
      </c>
      <c r="D340" t="str">
        <f>IFERROR(__xludf.DUMMYFUNCTION("""COMPUTED_VALUE"""),"Stewardship (Aquatic)")</f>
        <v>Stewardship (Aquatic)</v>
      </c>
      <c r="E340" t="str">
        <f>IFERROR(__xludf.DUMMYFUNCTION("""COMPUTED_VALUE"""),"Goffinsville Park")</f>
        <v>Goffinsville Park</v>
      </c>
      <c r="F340" s="13">
        <f>IFERROR(__xludf.DUMMYFUNCTION("""COMPUTED_VALUE"""),0.375)</f>
        <v>0.375</v>
      </c>
      <c r="G340" s="14">
        <f>IFERROR(__xludf.DUMMYFUNCTION("""COMPUTED_VALUE"""),43668.0)</f>
        <v>43668</v>
      </c>
      <c r="H340" t="str">
        <f>IFERROR(__xludf.DUMMYFUNCTION("""COMPUTED_VALUE"""),"Berg dock reef")</f>
        <v>Berg dock reef</v>
      </c>
      <c r="I340" s="15">
        <f>IFERROR(__xludf.DUMMYFUNCTION("""COMPUTED_VALUE"""),0.4791666666678793)</f>
        <v>0.4791666667</v>
      </c>
      <c r="J340" s="16"/>
      <c r="K340" t="str">
        <f>IFERROR(__xludf.DUMMYFUNCTION("""COMPUTED_VALUE"""),"Jon Boat FL0484NP DEP06819")</f>
        <v>Jon Boat FL0484NP DEP06819</v>
      </c>
      <c r="M340" t="str">
        <f>IFERROR(__xludf.DUMMYFUNCTION("""COMPUTED_VALUE"""),"Ford F150 2015 (White) - DEP21448")</f>
        <v>Ford F150 2015 (White) - DEP21448</v>
      </c>
      <c r="N340" t="str">
        <f>IFERROR(__xludf.DUMMYFUNCTION("""COMPUTED_VALUE"""),"Jimmy Tomazinis, (904) 547-0094")</f>
        <v>Jimmy Tomazinis, (904) 547-0094</v>
      </c>
      <c r="O340" t="str">
        <f>IFERROR(__xludf.DUMMYFUNCTION("""COMPUTED_VALUE"""),"Cameron Ramsey")</f>
        <v>Cameron Ramsey</v>
      </c>
      <c r="P340" t="str">
        <f>IFERROR(__xludf.DUMMYFUNCTION("""COMPUTED_VALUE"""),"Jimmy")</f>
        <v>Jimmy</v>
      </c>
      <c r="Q340" t="str">
        <f>IFERROR(__xludf.DUMMYFUNCTION("""COMPUTED_VALUE"""),"Good")</f>
        <v>Good</v>
      </c>
      <c r="R340" t="str">
        <f>IFERROR(__xludf.DUMMYFUNCTION("""COMPUTED_VALUE"""),"Good")</f>
        <v>Good</v>
      </c>
      <c r="S340" t="str">
        <f>IFERROR(__xludf.DUMMYFUNCTION("""COMPUTED_VALUE"""),"Good")</f>
        <v>Good</v>
      </c>
      <c r="T340" t="str">
        <f>IFERROR(__xludf.DUMMYFUNCTION("""COMPUTED_VALUE"""),"Good")</f>
        <v>Good</v>
      </c>
      <c r="U340" t="str">
        <f>IFERROR(__xludf.DUMMYFUNCTION("""COMPUTED_VALUE"""),"Good")</f>
        <v>Good</v>
      </c>
      <c r="V340" t="str">
        <f>IFERROR(__xludf.DUMMYFUNCTION("""COMPUTED_VALUE"""),"Good")</f>
        <v>Good</v>
      </c>
      <c r="W340" t="str">
        <f>IFERROR(__xludf.DUMMYFUNCTION("""COMPUTED_VALUE"""),"Good")</f>
        <v>Good</v>
      </c>
      <c r="X340" t="str">
        <f>IFERROR(__xludf.DUMMYFUNCTION("""COMPUTED_VALUE"""),"Good")</f>
        <v>Good</v>
      </c>
      <c r="Y340" t="str">
        <f>IFERROR(__xludf.DUMMYFUNCTION("""COMPUTED_VALUE"""),"Good")</f>
        <v>Good</v>
      </c>
      <c r="Z340" t="str">
        <f>IFERROR(__xludf.DUMMYFUNCTION("""COMPUTED_VALUE"""),"Good")</f>
        <v>Good</v>
      </c>
      <c r="AA340" t="str">
        <f>IFERROR(__xludf.DUMMYFUNCTION("""COMPUTED_VALUE"""),"Good")</f>
        <v>Good</v>
      </c>
      <c r="AB340" t="str">
        <f>IFERROR(__xludf.DUMMYFUNCTION("""COMPUTED_VALUE"""),"Good")</f>
        <v>Good</v>
      </c>
      <c r="AC340" t="str">
        <f>IFERROR(__xludf.DUMMYFUNCTION("""COMPUTED_VALUE"""),"Good")</f>
        <v>Good</v>
      </c>
      <c r="AE340" s="11"/>
      <c r="AF340" t="s">
        <v>32</v>
      </c>
      <c r="AG340" s="17" t="s">
        <v>18</v>
      </c>
      <c r="AH340" s="12">
        <v>1050.0</v>
      </c>
      <c r="AI340" s="12" t="s">
        <v>972</v>
      </c>
      <c r="AJ340" s="19" t="s">
        <v>973</v>
      </c>
      <c r="AK340" s="20" t="str">
        <f>HYPERLINK("https://docs.google.com/document/d/1MyR0KwbVK6DLOQXHSWopn30pPwPKufzUXd-DVwHJfoc/edit?usp=drivesdk","Jimmy - 7/22/2019 9:00 AM")</f>
        <v>Jimmy - 7/22/2019 9:00 AM</v>
      </c>
      <c r="AL340" s="12" t="s">
        <v>974</v>
      </c>
    </row>
    <row r="341">
      <c r="A341" s="10">
        <f>IFERROR(__xludf.DUMMYFUNCTION("""COMPUTED_VALUE"""),43670.28175126157)</f>
        <v>43670.28175</v>
      </c>
      <c r="B341" s="11" t="str">
        <f>IFERROR(__xludf.DUMMYFUNCTION("""COMPUTED_VALUE"""),"Pamela Marcum")</f>
        <v>Pamela Marcum</v>
      </c>
      <c r="C341" t="str">
        <f>IFERROR(__xludf.DUMMYFUNCTION("""COMPUTED_VALUE"""),"Pamela.Marcum@FloridaDEP.gov")</f>
        <v>Pamela.Marcum@FloridaDEP.gov</v>
      </c>
      <c r="D341" t="str">
        <f>IFERROR(__xludf.DUMMYFUNCTION("""COMPUTED_VALUE"""),"Research/Nikki")</f>
        <v>Research/Nikki</v>
      </c>
      <c r="E341" t="str">
        <f>IFERROR(__xludf.DUMMYFUNCTION("""COMPUTED_VALUE"""),"Aunt Kate's")</f>
        <v>Aunt Kate's</v>
      </c>
      <c r="F341" s="13">
        <f>IFERROR(__xludf.DUMMYFUNCTION("""COMPUTED_VALUE"""),0.2916666666678793)</f>
        <v>0.2916666667</v>
      </c>
      <c r="G341" s="14">
        <f>IFERROR(__xludf.DUMMYFUNCTION("""COMPUTED_VALUE"""),43670.0)</f>
        <v>43670</v>
      </c>
      <c r="H341" t="str">
        <f>IFERROR(__xludf.DUMMYFUNCTION("""COMPUTED_VALUE"""),"Guana/Tolomato Rivers")</f>
        <v>Guana/Tolomato Rivers</v>
      </c>
      <c r="I341" s="15">
        <f>IFERROR(__xludf.DUMMYFUNCTION("""COMPUTED_VALUE"""),0.5833333333321207)</f>
        <v>0.5833333333</v>
      </c>
      <c r="J341" s="16">
        <f>IFERROR(__xludf.DUMMYFUNCTION("""COMPUTED_VALUE"""),43670.60416666667)</f>
        <v>43670.60417</v>
      </c>
      <c r="K341" t="str">
        <f>IFERROR(__xludf.DUMMYFUNCTION("""COMPUTED_VALUE"""),"17ft Skill FL0642GW DEP07239")</f>
        <v>17ft Skill FL0642GW DEP07239</v>
      </c>
      <c r="M341" t="str">
        <f>IFERROR(__xludf.DUMMYFUNCTION("""COMPUTED_VALUE"""),"Ford F250 2017 (Moby Dix) - DEP0021578")</f>
        <v>Ford F250 2017 (Moby Dix) - DEP0021578</v>
      </c>
      <c r="N341" t="str">
        <f>IFERROR(__xludf.DUMMYFUNCTION("""COMPUTED_VALUE"""),"Pam Marcum, (480) 332-5414")</f>
        <v>Pam Marcum, (480) 332-5414</v>
      </c>
      <c r="O341" t="str">
        <f>IFERROR(__xludf.DUMMYFUNCTION("""COMPUTED_VALUE"""),"David Kimbro, Adrienne Breef-Pilz, Nicole Peckham, Allison Noble")</f>
        <v>David Kimbro, Adrienne Breef-Pilz, Nicole Peckham, Allison Noble</v>
      </c>
      <c r="P341" t="str">
        <f>IFERROR(__xludf.DUMMYFUNCTION("""COMPUTED_VALUE"""),"Pam")</f>
        <v>Pam</v>
      </c>
      <c r="Q341" t="str">
        <f>IFERROR(__xludf.DUMMYFUNCTION("""COMPUTED_VALUE"""),"Good")</f>
        <v>Good</v>
      </c>
      <c r="R341" t="str">
        <f>IFERROR(__xludf.DUMMYFUNCTION("""COMPUTED_VALUE"""),"Good")</f>
        <v>Good</v>
      </c>
      <c r="S341" t="str">
        <f>IFERROR(__xludf.DUMMYFUNCTION("""COMPUTED_VALUE"""),"Good")</f>
        <v>Good</v>
      </c>
      <c r="T341" t="str">
        <f>IFERROR(__xludf.DUMMYFUNCTION("""COMPUTED_VALUE"""),"Good")</f>
        <v>Good</v>
      </c>
      <c r="U341" t="str">
        <f>IFERROR(__xludf.DUMMYFUNCTION("""COMPUTED_VALUE"""),"Good")</f>
        <v>Good</v>
      </c>
      <c r="V341" t="str">
        <f>IFERROR(__xludf.DUMMYFUNCTION("""COMPUTED_VALUE"""),"Good")</f>
        <v>Good</v>
      </c>
      <c r="W341" t="str">
        <f>IFERROR(__xludf.DUMMYFUNCTION("""COMPUTED_VALUE"""),"Good")</f>
        <v>Good</v>
      </c>
      <c r="X341" t="str">
        <f>IFERROR(__xludf.DUMMYFUNCTION("""COMPUTED_VALUE"""),"Good")</f>
        <v>Good</v>
      </c>
      <c r="Y341" t="str">
        <f>IFERROR(__xludf.DUMMYFUNCTION("""COMPUTED_VALUE"""),"Good")</f>
        <v>Good</v>
      </c>
      <c r="Z341" t="str">
        <f>IFERROR(__xludf.DUMMYFUNCTION("""COMPUTED_VALUE"""),"Good")</f>
        <v>Good</v>
      </c>
      <c r="AA341" t="str">
        <f>IFERROR(__xludf.DUMMYFUNCTION("""COMPUTED_VALUE"""),"Good")</f>
        <v>Good</v>
      </c>
      <c r="AB341" t="str">
        <f>IFERROR(__xludf.DUMMYFUNCTION("""COMPUTED_VALUE"""),"Good")</f>
        <v>Good</v>
      </c>
      <c r="AC341" t="str">
        <f>IFERROR(__xludf.DUMMYFUNCTION("""COMPUTED_VALUE"""),"Good")</f>
        <v>Good</v>
      </c>
      <c r="AE341" s="11"/>
      <c r="AF341" t="s">
        <v>218</v>
      </c>
      <c r="AG341" s="17" t="s">
        <v>18</v>
      </c>
      <c r="AH341" s="12">
        <v>1120.0</v>
      </c>
      <c r="AI341" s="12" t="s">
        <v>975</v>
      </c>
      <c r="AJ341" s="19" t="s">
        <v>976</v>
      </c>
      <c r="AK341" s="20" t="str">
        <f>HYPERLINK("https://docs.google.com/document/d/1DEEZagV5EBkLzROR_9oxeIWIQiNWeE6h9eGZvDKJGBc/edit?usp=drivesdk","Pamela Marcum - 7/24/2019 7:00 AM")</f>
        <v>Pamela Marcum - 7/24/2019 7:00 AM</v>
      </c>
      <c r="AL341" s="12" t="s">
        <v>977</v>
      </c>
    </row>
    <row r="342">
      <c r="A342" s="10">
        <f>IFERROR(__xludf.DUMMYFUNCTION("""COMPUTED_VALUE"""),43671.32020392361)</f>
        <v>43671.3202</v>
      </c>
      <c r="B342" s="11" t="str">
        <f>IFERROR(__xludf.DUMMYFUNCTION("""COMPUTED_VALUE"""),"Pamela Marcum")</f>
        <v>Pamela Marcum</v>
      </c>
      <c r="C342" t="str">
        <f>IFERROR(__xludf.DUMMYFUNCTION("""COMPUTED_VALUE"""),"Pamela.Marcum@FloridaDEP.gov")</f>
        <v>Pamela.Marcum@FloridaDEP.gov</v>
      </c>
      <c r="D342" t="str">
        <f>IFERROR(__xludf.DUMMYFUNCTION("""COMPUTED_VALUE"""),"Research/Nikki")</f>
        <v>Research/Nikki</v>
      </c>
      <c r="E342" t="str">
        <f>IFERROR(__xludf.DUMMYFUNCTION("""COMPUTED_VALUE"""),"Aunt Kate's")</f>
        <v>Aunt Kate's</v>
      </c>
      <c r="F342" s="13">
        <f>IFERROR(__xludf.DUMMYFUNCTION("""COMPUTED_VALUE"""),0.3333333333321207)</f>
        <v>0.3333333333</v>
      </c>
      <c r="G342" s="14">
        <f>IFERROR(__xludf.DUMMYFUNCTION("""COMPUTED_VALUE"""),43671.0)</f>
        <v>43671</v>
      </c>
      <c r="H342" t="str">
        <f>IFERROR(__xludf.DUMMYFUNCTION("""COMPUTED_VALUE"""),"Guana River")</f>
        <v>Guana River</v>
      </c>
      <c r="I342" s="15">
        <f>IFERROR(__xludf.DUMMYFUNCTION("""COMPUTED_VALUE"""),0.5416666666678793)</f>
        <v>0.5416666667</v>
      </c>
      <c r="J342" s="16">
        <f>IFERROR(__xludf.DUMMYFUNCTION("""COMPUTED_VALUE"""),43671.5625)</f>
        <v>43671.5625</v>
      </c>
      <c r="K342" t="str">
        <f>IFERROR(__xludf.DUMMYFUNCTION("""COMPUTED_VALUE"""),"17ft Skill FL0642GW DEP07239")</f>
        <v>17ft Skill FL0642GW DEP07239</v>
      </c>
      <c r="M342" t="str">
        <f>IFERROR(__xludf.DUMMYFUNCTION("""COMPUTED_VALUE"""),"Ford F250 2017 (Moby Dix) - DEP0021578")</f>
        <v>Ford F250 2017 (Moby Dix) - DEP0021578</v>
      </c>
      <c r="N342" t="str">
        <f>IFERROR(__xludf.DUMMYFUNCTION("""COMPUTED_VALUE"""),"Pam Marcum, (480) 332-5414")</f>
        <v>Pam Marcum, (480) 332-5414</v>
      </c>
      <c r="O342" t="str">
        <f>IFERROR(__xludf.DUMMYFUNCTION("""COMPUTED_VALUE"""),"David Kimbro, Nicole Peckham, Adrienne Breef-Pilz, Allison Noble")</f>
        <v>David Kimbro, Nicole Peckham, Adrienne Breef-Pilz, Allison Noble</v>
      </c>
      <c r="P342" t="str">
        <f>IFERROR(__xludf.DUMMYFUNCTION("""COMPUTED_VALUE"""),"Pam")</f>
        <v>Pam</v>
      </c>
      <c r="Q342" t="str">
        <f>IFERROR(__xludf.DUMMYFUNCTION("""COMPUTED_VALUE"""),"Good")</f>
        <v>Good</v>
      </c>
      <c r="R342" t="str">
        <f>IFERROR(__xludf.DUMMYFUNCTION("""COMPUTED_VALUE"""),"Good")</f>
        <v>Good</v>
      </c>
      <c r="S342" t="str">
        <f>IFERROR(__xludf.DUMMYFUNCTION("""COMPUTED_VALUE"""),"Good")</f>
        <v>Good</v>
      </c>
      <c r="T342" t="str">
        <f>IFERROR(__xludf.DUMMYFUNCTION("""COMPUTED_VALUE"""),"Good")</f>
        <v>Good</v>
      </c>
      <c r="U342" t="str">
        <f>IFERROR(__xludf.DUMMYFUNCTION("""COMPUTED_VALUE"""),"Good")</f>
        <v>Good</v>
      </c>
      <c r="V342" t="str">
        <f>IFERROR(__xludf.DUMMYFUNCTION("""COMPUTED_VALUE"""),"Good")</f>
        <v>Good</v>
      </c>
      <c r="W342" t="str">
        <f>IFERROR(__xludf.DUMMYFUNCTION("""COMPUTED_VALUE"""),"Good")</f>
        <v>Good</v>
      </c>
      <c r="X342" t="str">
        <f>IFERROR(__xludf.DUMMYFUNCTION("""COMPUTED_VALUE"""),"Good")</f>
        <v>Good</v>
      </c>
      <c r="Y342" t="str">
        <f>IFERROR(__xludf.DUMMYFUNCTION("""COMPUTED_VALUE"""),"Good")</f>
        <v>Good</v>
      </c>
      <c r="Z342" t="str">
        <f>IFERROR(__xludf.DUMMYFUNCTION("""COMPUTED_VALUE"""),"Good")</f>
        <v>Good</v>
      </c>
      <c r="AA342" t="str">
        <f>IFERROR(__xludf.DUMMYFUNCTION("""COMPUTED_VALUE"""),"Good")</f>
        <v>Good</v>
      </c>
      <c r="AB342" t="str">
        <f>IFERROR(__xludf.DUMMYFUNCTION("""COMPUTED_VALUE"""),"Good")</f>
        <v>Good</v>
      </c>
      <c r="AC342" t="str">
        <f>IFERROR(__xludf.DUMMYFUNCTION("""COMPUTED_VALUE"""),"Good")</f>
        <v>Good</v>
      </c>
      <c r="AE342" s="11"/>
      <c r="AF342" t="s">
        <v>218</v>
      </c>
      <c r="AG342" s="17" t="s">
        <v>448</v>
      </c>
      <c r="AH342" s="12">
        <v>1145.0</v>
      </c>
      <c r="AI342" s="12" t="s">
        <v>978</v>
      </c>
      <c r="AJ342" s="19" t="s">
        <v>979</v>
      </c>
      <c r="AK342" s="20" t="str">
        <f>HYPERLINK("https://docs.google.com/document/d/1iIShRcHBMX9s2p9ixcmfD63N4BNpzZOhUMopEgZXVXU/edit?usp=drivesdk","Pamela Marcum - 7/25/2019 8:00 AM")</f>
        <v>Pamela Marcum - 7/25/2019 8:00 AM</v>
      </c>
      <c r="AL342" s="12" t="s">
        <v>980</v>
      </c>
    </row>
    <row r="343">
      <c r="A343" s="10">
        <f>IFERROR(__xludf.DUMMYFUNCTION("""COMPUTED_VALUE"""),43672.43747729166)</f>
        <v>43672.43748</v>
      </c>
      <c r="B343" s="11" t="str">
        <f>IFERROR(__xludf.DUMMYFUNCTION("""COMPUTED_VALUE"""),"Gabriela Canas")</f>
        <v>Gabriela Canas</v>
      </c>
      <c r="C343" t="str">
        <f>IFERROR(__xludf.DUMMYFUNCTION("""COMPUTED_VALUE"""),"gabriela.canas@dwp.state.fl.us")</f>
        <v>gabriela.canas@dwp.state.fl.us</v>
      </c>
      <c r="D343" t="str">
        <f>IFERROR(__xludf.DUMMYFUNCTION("""COMPUTED_VALUE"""),"Research/Nikki")</f>
        <v>Research/Nikki</v>
      </c>
      <c r="E343" t="str">
        <f>IFERROR(__xludf.DUMMYFUNCTION("""COMPUTED_VALUE"""),"Douglas crane")</f>
        <v>Douglas crane</v>
      </c>
      <c r="F343" s="13">
        <f>IFERROR(__xludf.DUMMYFUNCTION("""COMPUTED_VALUE"""),0.4375)</f>
        <v>0.4375</v>
      </c>
      <c r="G343" s="14">
        <f>IFERROR(__xludf.DUMMYFUNCTION("""COMPUTED_VALUE"""),43672.0)</f>
        <v>43672</v>
      </c>
      <c r="H343" t="str">
        <f>IFERROR(__xludf.DUMMYFUNCTION("""COMPUTED_VALUE"""),"Icw")</f>
        <v>Icw</v>
      </c>
      <c r="I343" s="15">
        <f>IFERROR(__xludf.DUMMYFUNCTION("""COMPUTED_VALUE"""),0.5833333333321207)</f>
        <v>0.5833333333</v>
      </c>
      <c r="J343" s="16">
        <f>IFERROR(__xludf.DUMMYFUNCTION("""COMPUTED_VALUE"""),43672.125)</f>
        <v>43672.125</v>
      </c>
      <c r="K343" t="str">
        <f>IFERROR(__xludf.DUMMYFUNCTION("""COMPUTED_VALUE"""),"17ft Skill FL0642GW DEP07239")</f>
        <v>17ft Skill FL0642GW DEP07239</v>
      </c>
      <c r="M343" t="str">
        <f>IFERROR(__xludf.DUMMYFUNCTION("""COMPUTED_VALUE"""),"Ford F250 2017 (Moby Dix) - DEP0021578")</f>
        <v>Ford F250 2017 (Moby Dix) - DEP0021578</v>
      </c>
      <c r="N343" t="str">
        <f>IFERROR(__xludf.DUMMYFUNCTION("""COMPUTED_VALUE"""),"Pam Marcum, (480) 332-5414")</f>
        <v>Pam Marcum, (480) 332-5414</v>
      </c>
      <c r="O343" t="str">
        <f>IFERROR(__xludf.DUMMYFUNCTION("""COMPUTED_VALUE"""),"Gabriela Canas, (904) 891-9743, Alee knoell")</f>
        <v>Gabriela Canas, (904) 891-9743, Alee knoell</v>
      </c>
      <c r="P343" t="str">
        <f>IFERROR(__xludf.DUMMYFUNCTION("""COMPUTED_VALUE"""),"Pam marcum")</f>
        <v>Pam marcum</v>
      </c>
      <c r="Q343" t="str">
        <f>IFERROR(__xludf.DUMMYFUNCTION("""COMPUTED_VALUE"""),"Good")</f>
        <v>Good</v>
      </c>
      <c r="R343" t="str">
        <f>IFERROR(__xludf.DUMMYFUNCTION("""COMPUTED_VALUE"""),"Good")</f>
        <v>Good</v>
      </c>
      <c r="S343" t="str">
        <f>IFERROR(__xludf.DUMMYFUNCTION("""COMPUTED_VALUE"""),"Good")</f>
        <v>Good</v>
      </c>
      <c r="T343" t="str">
        <f>IFERROR(__xludf.DUMMYFUNCTION("""COMPUTED_VALUE"""),"Good")</f>
        <v>Good</v>
      </c>
      <c r="U343" t="str">
        <f>IFERROR(__xludf.DUMMYFUNCTION("""COMPUTED_VALUE"""),"Good")</f>
        <v>Good</v>
      </c>
      <c r="V343" t="str">
        <f>IFERROR(__xludf.DUMMYFUNCTION("""COMPUTED_VALUE"""),"Good")</f>
        <v>Good</v>
      </c>
      <c r="W343" t="str">
        <f>IFERROR(__xludf.DUMMYFUNCTION("""COMPUTED_VALUE"""),"Good")</f>
        <v>Good</v>
      </c>
      <c r="X343" t="str">
        <f>IFERROR(__xludf.DUMMYFUNCTION("""COMPUTED_VALUE"""),"Good")</f>
        <v>Good</v>
      </c>
      <c r="Y343" t="str">
        <f>IFERROR(__xludf.DUMMYFUNCTION("""COMPUTED_VALUE"""),"Good")</f>
        <v>Good</v>
      </c>
      <c r="Z343" t="str">
        <f>IFERROR(__xludf.DUMMYFUNCTION("""COMPUTED_VALUE"""),"Good")</f>
        <v>Good</v>
      </c>
      <c r="AA343" t="str">
        <f>IFERROR(__xludf.DUMMYFUNCTION("""COMPUTED_VALUE"""),"Good")</f>
        <v>Good</v>
      </c>
      <c r="AB343" t="str">
        <f>IFERROR(__xludf.DUMMYFUNCTION("""COMPUTED_VALUE"""),"Good")</f>
        <v>Good</v>
      </c>
      <c r="AC343" t="str">
        <f>IFERROR(__xludf.DUMMYFUNCTION("""COMPUTED_VALUE"""),"Good")</f>
        <v>Good</v>
      </c>
      <c r="AD343" t="str">
        <f>IFERROR(__xludf.DUMMYFUNCTION("""COMPUTED_VALUE"""),"Partly cloudy")</f>
        <v>Partly cloudy</v>
      </c>
      <c r="AE343" s="11" t="str">
        <f>IFERROR(__xludf.DUMMYFUNCTION("""COMPUTED_VALUE"""),"11:30low")</f>
        <v>11:30low</v>
      </c>
      <c r="AF343" t="s">
        <v>218</v>
      </c>
      <c r="AG343" s="17" t="s">
        <v>56</v>
      </c>
      <c r="AH343" s="12" t="s">
        <v>981</v>
      </c>
      <c r="AI343" s="12" t="s">
        <v>982</v>
      </c>
      <c r="AJ343" s="19" t="s">
        <v>983</v>
      </c>
      <c r="AK343" s="20" t="str">
        <f>HYPERLINK("https://docs.google.com/document/d/19iCCJZ_O23GPhy55Pb4Tax0fp71UZC6HAdOjd8p_lds/edit?usp=drivesdk","Gabriela Canas - 7/26/2019 10:30 AM")</f>
        <v>Gabriela Canas - 7/26/2019 10:30 AM</v>
      </c>
      <c r="AL343" s="12" t="s">
        <v>984</v>
      </c>
    </row>
    <row r="344">
      <c r="A344" s="10">
        <f>IFERROR(__xludf.DUMMYFUNCTION("""COMPUTED_VALUE"""),43675.724482592595)</f>
        <v>43675.72448</v>
      </c>
      <c r="B344" s="11" t="str">
        <f>IFERROR(__xludf.DUMMYFUNCTION("""COMPUTED_VALUE"""),"Silas Tanner")</f>
        <v>Silas Tanner</v>
      </c>
      <c r="C344" t="str">
        <f>IFERROR(__xludf.DUMMYFUNCTION("""COMPUTED_VALUE"""),"silas.tanner@floridadep.gov")</f>
        <v>silas.tanner@floridadep.gov</v>
      </c>
      <c r="D344" t="str">
        <f>IFERROR(__xludf.DUMMYFUNCTION("""COMPUTED_VALUE"""),"Research/Nikki")</f>
        <v>Research/Nikki</v>
      </c>
      <c r="E344" t="str">
        <f>IFERROR(__xludf.DUMMYFUNCTION("""COMPUTED_VALUE"""),"Vilano landing")</f>
        <v>Vilano landing</v>
      </c>
      <c r="F344" s="13">
        <f>IFERROR(__xludf.DUMMYFUNCTION("""COMPUTED_VALUE"""),0.3229166666678793)</f>
        <v>0.3229166667</v>
      </c>
      <c r="G344" s="14">
        <f>IFERROR(__xludf.DUMMYFUNCTION("""COMPUTED_VALUE"""),43676.0)</f>
        <v>43676</v>
      </c>
      <c r="H344" t="str">
        <f>IFERROR(__xludf.DUMMYFUNCTION("""COMPUTED_VALUE"""),"ICW SWMP sites &amp; spat oyster trees")</f>
        <v>ICW SWMP sites &amp; spat oyster trees</v>
      </c>
      <c r="I344" s="15">
        <f>IFERROR(__xludf.DUMMYFUNCTION("""COMPUTED_VALUE"""),0.6979166666678793)</f>
        <v>0.6979166667</v>
      </c>
      <c r="J344" s="16">
        <f>IFERROR(__xludf.DUMMYFUNCTION("""COMPUTED_VALUE"""),43676.70833333333)</f>
        <v>43676.70833</v>
      </c>
      <c r="K344" t="str">
        <f>IFERROR(__xludf.DUMMYFUNCTION("""COMPUTED_VALUE"""),"23ft Skiff (Bertha) FL7972LJ DEP07613")</f>
        <v>23ft Skiff (Bertha) FL7972LJ DEP07613</v>
      </c>
      <c r="M344" t="str">
        <f>IFERROR(__xludf.DUMMYFUNCTION("""COMPUTED_VALUE"""),"Ford F250 2017 (Moby Dix) - DEP0021578")</f>
        <v>Ford F250 2017 (Moby Dix) - DEP0021578</v>
      </c>
      <c r="N344" t="str">
        <f>IFERROR(__xludf.DUMMYFUNCTION("""COMPUTED_VALUE"""),"Silas Tanner, (904) 483-8423")</f>
        <v>Silas Tanner, (904) 483-8423</v>
      </c>
      <c r="O344" t="str">
        <f>IFERROR(__xludf.DUMMYFUNCTION("""COMPUTED_VALUE"""),"Alee Knowles")</f>
        <v>Alee Knowles</v>
      </c>
      <c r="P344" t="str">
        <f>IFERROR(__xludf.DUMMYFUNCTION("""COMPUTED_VALUE"""),"S. Tanner")</f>
        <v>S. Tanner</v>
      </c>
      <c r="Q344" t="str">
        <f>IFERROR(__xludf.DUMMYFUNCTION("""COMPUTED_VALUE"""),"Good")</f>
        <v>Good</v>
      </c>
      <c r="R344" t="str">
        <f>IFERROR(__xludf.DUMMYFUNCTION("""COMPUTED_VALUE"""),"Good")</f>
        <v>Good</v>
      </c>
      <c r="S344" t="str">
        <f>IFERROR(__xludf.DUMMYFUNCTION("""COMPUTED_VALUE"""),"Good")</f>
        <v>Good</v>
      </c>
      <c r="T344" t="str">
        <f>IFERROR(__xludf.DUMMYFUNCTION("""COMPUTED_VALUE"""),"Good")</f>
        <v>Good</v>
      </c>
      <c r="U344" t="str">
        <f>IFERROR(__xludf.DUMMYFUNCTION("""COMPUTED_VALUE"""),"Good")</f>
        <v>Good</v>
      </c>
      <c r="V344" t="str">
        <f>IFERROR(__xludf.DUMMYFUNCTION("""COMPUTED_VALUE"""),"Good")</f>
        <v>Good</v>
      </c>
      <c r="W344" t="str">
        <f>IFERROR(__xludf.DUMMYFUNCTION("""COMPUTED_VALUE"""),"Good")</f>
        <v>Good</v>
      </c>
      <c r="X344" t="str">
        <f>IFERROR(__xludf.DUMMYFUNCTION("""COMPUTED_VALUE"""),"Good")</f>
        <v>Good</v>
      </c>
      <c r="Y344" t="str">
        <f>IFERROR(__xludf.DUMMYFUNCTION("""COMPUTED_VALUE"""),"Good")</f>
        <v>Good</v>
      </c>
      <c r="Z344" t="str">
        <f>IFERROR(__xludf.DUMMYFUNCTION("""COMPUTED_VALUE"""),"Good")</f>
        <v>Good</v>
      </c>
      <c r="AA344" t="str">
        <f>IFERROR(__xludf.DUMMYFUNCTION("""COMPUTED_VALUE"""),"Good")</f>
        <v>Good</v>
      </c>
      <c r="AB344" t="str">
        <f>IFERROR(__xludf.DUMMYFUNCTION("""COMPUTED_VALUE"""),"Good")</f>
        <v>Good</v>
      </c>
      <c r="AC344" t="str">
        <f>IFERROR(__xludf.DUMMYFUNCTION("""COMPUTED_VALUE"""),"Good")</f>
        <v>Good</v>
      </c>
      <c r="AE344" s="11"/>
      <c r="AF344" t="s">
        <v>218</v>
      </c>
      <c r="AG344" s="17" t="s">
        <v>18</v>
      </c>
      <c r="AH344" s="12">
        <v>1530.0</v>
      </c>
      <c r="AI344" s="12" t="s">
        <v>985</v>
      </c>
      <c r="AJ344" s="19" t="s">
        <v>986</v>
      </c>
      <c r="AK344" s="20" t="str">
        <f>HYPERLINK("https://docs.google.com/document/d/1i6f7kHhOK6gs1CovzkHGRW2qcF_O4PSMw6GEfKJFoiI/edit?usp=drivesdk","Silas Tanner - 7/30/2019 7:45 AM")</f>
        <v>Silas Tanner - 7/30/2019 7:45 AM</v>
      </c>
      <c r="AL344" s="12" t="s">
        <v>987</v>
      </c>
    </row>
    <row r="345">
      <c r="A345" s="10">
        <f>IFERROR(__xludf.DUMMYFUNCTION("""COMPUTED_VALUE"""),43676.46167386574)</f>
        <v>43676.46167</v>
      </c>
      <c r="B345" s="11" t="str">
        <f>IFERROR(__xludf.DUMMYFUNCTION("""COMPUTED_VALUE"""),"Pamela Marcum")</f>
        <v>Pamela Marcum</v>
      </c>
      <c r="C345" t="str">
        <f>IFERROR(__xludf.DUMMYFUNCTION("""COMPUTED_VALUE"""),"pamela.marcum@floridadep.gov")</f>
        <v>pamela.marcum@floridadep.gov</v>
      </c>
      <c r="D345" t="str">
        <f>IFERROR(__xludf.DUMMYFUNCTION("""COMPUTED_VALUE"""),"Administration")</f>
        <v>Administration</v>
      </c>
      <c r="E345" t="str">
        <f>IFERROR(__xludf.DUMMYFUNCTION("""COMPUTED_VALUE"""),"Guana Dam")</f>
        <v>Guana Dam</v>
      </c>
      <c r="F345" s="13">
        <f>IFERROR(__xludf.DUMMYFUNCTION("""COMPUTED_VALUE"""),0.4583333333321207)</f>
        <v>0.4583333333</v>
      </c>
      <c r="G345" s="14">
        <f>IFERROR(__xludf.DUMMYFUNCTION("""COMPUTED_VALUE"""),43676.0)</f>
        <v>43676</v>
      </c>
      <c r="H345" t="str">
        <f>IFERROR(__xludf.DUMMYFUNCTION("""COMPUTED_VALUE"""),"Guana tolomato rivers")</f>
        <v>Guana tolomato rivers</v>
      </c>
      <c r="I345" s="15">
        <f>IFERROR(__xludf.DUMMYFUNCTION("""COMPUTED_VALUE"""),0.5833333333321207)</f>
        <v>0.5833333333</v>
      </c>
      <c r="J345" s="16">
        <f>IFERROR(__xludf.DUMMYFUNCTION("""COMPUTED_VALUE"""),43676.58333333333)</f>
        <v>43676.58333</v>
      </c>
      <c r="K345" t="str">
        <f>IFERROR(__xludf.DUMMYFUNCTION("""COMPUTED_VALUE"""),"Jon Boat FL0484NP DEP06819")</f>
        <v>Jon Boat FL0484NP DEP06819</v>
      </c>
      <c r="M345" t="str">
        <f>IFERROR(__xludf.DUMMYFUNCTION("""COMPUTED_VALUE"""),"Ford F150 2008 - DEP18041 (SWMP Thing)")</f>
        <v>Ford F150 2008 - DEP18041 (SWMP Thing)</v>
      </c>
      <c r="N345" t="str">
        <f>IFERROR(__xludf.DUMMYFUNCTION("""COMPUTED_VALUE"""),"Nikki Dix, (352) 219-4079, Pam Marcum, (480) 332-5414")</f>
        <v>Nikki Dix, (352) 219-4079, Pam Marcum, (480) 332-5414</v>
      </c>
      <c r="P345" t="str">
        <f>IFERROR(__xludf.DUMMYFUNCTION("""COMPUTED_VALUE"""),"Pam")</f>
        <v>Pam</v>
      </c>
      <c r="Q345" t="str">
        <f>IFERROR(__xludf.DUMMYFUNCTION("""COMPUTED_VALUE"""),"Good")</f>
        <v>Good</v>
      </c>
      <c r="R345" t="str">
        <f>IFERROR(__xludf.DUMMYFUNCTION("""COMPUTED_VALUE"""),"Good")</f>
        <v>Good</v>
      </c>
      <c r="S345" t="str">
        <f>IFERROR(__xludf.DUMMYFUNCTION("""COMPUTED_VALUE"""),"Good")</f>
        <v>Good</v>
      </c>
      <c r="T345" t="str">
        <f>IFERROR(__xludf.DUMMYFUNCTION("""COMPUTED_VALUE"""),"Good")</f>
        <v>Good</v>
      </c>
      <c r="U345" t="str">
        <f>IFERROR(__xludf.DUMMYFUNCTION("""COMPUTED_VALUE"""),"Good")</f>
        <v>Good</v>
      </c>
      <c r="V345" t="str">
        <f>IFERROR(__xludf.DUMMYFUNCTION("""COMPUTED_VALUE"""),"Good")</f>
        <v>Good</v>
      </c>
      <c r="W345" t="str">
        <f>IFERROR(__xludf.DUMMYFUNCTION("""COMPUTED_VALUE"""),"Good")</f>
        <v>Good</v>
      </c>
      <c r="X345" t="str">
        <f>IFERROR(__xludf.DUMMYFUNCTION("""COMPUTED_VALUE"""),"Good")</f>
        <v>Good</v>
      </c>
      <c r="Y345" t="str">
        <f>IFERROR(__xludf.DUMMYFUNCTION("""COMPUTED_VALUE"""),"Good")</f>
        <v>Good</v>
      </c>
      <c r="Z345" t="str">
        <f>IFERROR(__xludf.DUMMYFUNCTION("""COMPUTED_VALUE"""),"Good")</f>
        <v>Good</v>
      </c>
      <c r="AA345" t="str">
        <f>IFERROR(__xludf.DUMMYFUNCTION("""COMPUTED_VALUE"""),"Good")</f>
        <v>Good</v>
      </c>
      <c r="AB345" t="str">
        <f>IFERROR(__xludf.DUMMYFUNCTION("""COMPUTED_VALUE"""),"Good")</f>
        <v>Good</v>
      </c>
      <c r="AC345" t="str">
        <f>IFERROR(__xludf.DUMMYFUNCTION("""COMPUTED_VALUE"""),"Good")</f>
        <v>Good</v>
      </c>
      <c r="AE345" s="11"/>
      <c r="AF345" t="s">
        <v>668</v>
      </c>
      <c r="AG345" s="17" t="s">
        <v>18</v>
      </c>
      <c r="AH345" s="12">
        <v>1300.0</v>
      </c>
      <c r="AI345" s="12" t="s">
        <v>988</v>
      </c>
      <c r="AJ345" s="19" t="s">
        <v>989</v>
      </c>
      <c r="AK345" s="20" t="str">
        <f>HYPERLINK("https://docs.google.com/document/d/1Id6Jld1KzxQlELFCsAZGsrQF5n3rtGtVgl9NJOHfP_4/edit?usp=drivesdk","Pamela Marcum - 7/30/2019 11:00 AM")</f>
        <v>Pamela Marcum - 7/30/2019 11:00 AM</v>
      </c>
      <c r="AL345" s="12" t="s">
        <v>990</v>
      </c>
    </row>
    <row r="346">
      <c r="A346" s="10">
        <f>IFERROR(__xludf.DUMMYFUNCTION("""COMPUTED_VALUE"""),43677.35346140046)</f>
        <v>43677.35346</v>
      </c>
      <c r="B346" s="11" t="str">
        <f>IFERROR(__xludf.DUMMYFUNCTION("""COMPUTED_VALUE"""),"James Tomazinis")</f>
        <v>James Tomazinis</v>
      </c>
      <c r="C346" t="str">
        <f>IFERROR(__xludf.DUMMYFUNCTION("""COMPUTED_VALUE"""),"james.tomazinis@floridadep.gov")</f>
        <v>james.tomazinis@floridadep.gov</v>
      </c>
      <c r="D346" t="str">
        <f>IFERROR(__xludf.DUMMYFUNCTION("""COMPUTED_VALUE"""),"Stewardship (Aquatic)")</f>
        <v>Stewardship (Aquatic)</v>
      </c>
      <c r="E346" t="str">
        <f>IFERROR(__xludf.DUMMYFUNCTION("""COMPUTED_VALUE"""),"Vilano")</f>
        <v>Vilano</v>
      </c>
      <c r="F346" s="13">
        <f>IFERROR(__xludf.DUMMYFUNCTION("""COMPUTED_VALUE"""),0.3854166666678793)</f>
        <v>0.3854166667</v>
      </c>
      <c r="G346" s="14">
        <f>IFERROR(__xludf.DUMMYFUNCTION("""COMPUTED_VALUE"""),43677.0)</f>
        <v>43677</v>
      </c>
      <c r="H346" t="str">
        <f>IFERROR(__xludf.DUMMYFUNCTION("""COMPUTED_VALUE"""),"Matanzas nekton sites")</f>
        <v>Matanzas nekton sites</v>
      </c>
      <c r="I346" s="15">
        <f>IFERROR(__xludf.DUMMYFUNCTION("""COMPUTED_VALUE"""),0.7083333333321207)</f>
        <v>0.7083333333</v>
      </c>
      <c r="J346" s="16"/>
      <c r="K346" t="str">
        <f>IFERROR(__xludf.DUMMYFUNCTION("""COMPUTED_VALUE"""),"23ft Skiff (Bertha) FL7972LJ DEP07613")</f>
        <v>23ft Skiff (Bertha) FL7972LJ DEP07613</v>
      </c>
      <c r="M346" t="str">
        <f>IFERROR(__xludf.DUMMYFUNCTION("""COMPUTED_VALUE"""),"Ford F250 2017 (Moby Dix) - DEP0021578")</f>
        <v>Ford F250 2017 (Moby Dix) - DEP0021578</v>
      </c>
      <c r="N346" t="str">
        <f>IFERROR(__xludf.DUMMYFUNCTION("""COMPUTED_VALUE"""),"Jimmy Tomazinis, (904) 547-0094")</f>
        <v>Jimmy Tomazinis, (904) 547-0094</v>
      </c>
      <c r="O346" t="str">
        <f>IFERROR(__xludf.DUMMYFUNCTION("""COMPUTED_VALUE"""),"Amy Brownfield, Alicia Bishop, Suzi Porterfield, Cameron Rumsey")</f>
        <v>Amy Brownfield, Alicia Bishop, Suzi Porterfield, Cameron Rumsey</v>
      </c>
      <c r="P346" t="str">
        <f>IFERROR(__xludf.DUMMYFUNCTION("""COMPUTED_VALUE"""),"Jimmy")</f>
        <v>Jimmy</v>
      </c>
      <c r="Q346" t="str">
        <f>IFERROR(__xludf.DUMMYFUNCTION("""COMPUTED_VALUE"""),"Good")</f>
        <v>Good</v>
      </c>
      <c r="R346" t="str">
        <f>IFERROR(__xludf.DUMMYFUNCTION("""COMPUTED_VALUE"""),"Good")</f>
        <v>Good</v>
      </c>
      <c r="S346" t="str">
        <f>IFERROR(__xludf.DUMMYFUNCTION("""COMPUTED_VALUE"""),"Good")</f>
        <v>Good</v>
      </c>
      <c r="T346" t="str">
        <f>IFERROR(__xludf.DUMMYFUNCTION("""COMPUTED_VALUE"""),"Good")</f>
        <v>Good</v>
      </c>
      <c r="U346" t="str">
        <f>IFERROR(__xludf.DUMMYFUNCTION("""COMPUTED_VALUE"""),"Good")</f>
        <v>Good</v>
      </c>
      <c r="V346" t="str">
        <f>IFERROR(__xludf.DUMMYFUNCTION("""COMPUTED_VALUE"""),"Good")</f>
        <v>Good</v>
      </c>
      <c r="W346" t="str">
        <f>IFERROR(__xludf.DUMMYFUNCTION("""COMPUTED_VALUE"""),"Good")</f>
        <v>Good</v>
      </c>
      <c r="X346" t="str">
        <f>IFERROR(__xludf.DUMMYFUNCTION("""COMPUTED_VALUE"""),"Good")</f>
        <v>Good</v>
      </c>
      <c r="Y346" t="str">
        <f>IFERROR(__xludf.DUMMYFUNCTION("""COMPUTED_VALUE"""),"Good")</f>
        <v>Good</v>
      </c>
      <c r="Z346" t="str">
        <f>IFERROR(__xludf.DUMMYFUNCTION("""COMPUTED_VALUE"""),"Good")</f>
        <v>Good</v>
      </c>
      <c r="AA346" t="str">
        <f>IFERROR(__xludf.DUMMYFUNCTION("""COMPUTED_VALUE"""),"Good")</f>
        <v>Good</v>
      </c>
      <c r="AB346" t="str">
        <f>IFERROR(__xludf.DUMMYFUNCTION("""COMPUTED_VALUE"""),"Good")</f>
        <v>Good</v>
      </c>
      <c r="AC346" t="str">
        <f>IFERROR(__xludf.DUMMYFUNCTION("""COMPUTED_VALUE"""),"Good")</f>
        <v>Good</v>
      </c>
      <c r="AE346" s="11"/>
      <c r="AF346" t="s">
        <v>32</v>
      </c>
      <c r="AG346" s="17" t="s">
        <v>22</v>
      </c>
      <c r="AH346" s="12">
        <v>1800.0</v>
      </c>
      <c r="AI346" s="12" t="s">
        <v>991</v>
      </c>
      <c r="AJ346" s="19" t="s">
        <v>992</v>
      </c>
      <c r="AK346" s="20" t="str">
        <f>HYPERLINK("https://docs.google.com/document/d/1dcxw6xlXtPDlo4G3zVliHM7eYEMWU9U5ZU03DGzm4Y4/edit?usp=drivesdk","James Tomazinis - 7/31/2019 9:15 AM")</f>
        <v>James Tomazinis - 7/31/2019 9:15 AM</v>
      </c>
      <c r="AL346" s="12" t="s">
        <v>993</v>
      </c>
    </row>
    <row r="347">
      <c r="A347" s="10">
        <f>IFERROR(__xludf.DUMMYFUNCTION("""COMPUTED_VALUE"""),43678.59821619213)</f>
        <v>43678.59822</v>
      </c>
      <c r="B347" s="11" t="str">
        <f>IFERROR(__xludf.DUMMYFUNCTION("""COMPUTED_VALUE"""),"Pam Marcum")</f>
        <v>Pam Marcum</v>
      </c>
      <c r="C347" t="str">
        <f>IFERROR(__xludf.DUMMYFUNCTION("""COMPUTED_VALUE"""),"Pamela.Marcum@floridadep.gov")</f>
        <v>Pamela.Marcum@floridadep.gov</v>
      </c>
      <c r="D347" t="str">
        <f>IFERROR(__xludf.DUMMYFUNCTION("""COMPUTED_VALUE"""),"Research/Nikki")</f>
        <v>Research/Nikki</v>
      </c>
      <c r="E347" t="str">
        <f>IFERROR(__xludf.DUMMYFUNCTION("""COMPUTED_VALUE"""),"Aunt Kate's")</f>
        <v>Aunt Kate's</v>
      </c>
      <c r="F347" s="13">
        <f>IFERROR(__xludf.DUMMYFUNCTION("""COMPUTED_VALUE"""),0.625)</f>
        <v>0.625</v>
      </c>
      <c r="G347" s="14">
        <f>IFERROR(__xludf.DUMMYFUNCTION("""COMPUTED_VALUE"""),43678.0)</f>
        <v>43678</v>
      </c>
      <c r="H347" t="str">
        <f>IFERROR(__xludf.DUMMYFUNCTION("""COMPUTED_VALUE"""),"Guana and Tolomato Rivers")</f>
        <v>Guana and Tolomato Rivers</v>
      </c>
      <c r="I347" s="15">
        <f>IFERROR(__xludf.DUMMYFUNCTION("""COMPUTED_VALUE"""),0.7916666666678793)</f>
        <v>0.7916666667</v>
      </c>
      <c r="J347" s="16">
        <f>IFERROR(__xludf.DUMMYFUNCTION("""COMPUTED_VALUE"""),43678.8125)</f>
        <v>43678.8125</v>
      </c>
      <c r="K347" t="str">
        <f>IFERROR(__xludf.DUMMYFUNCTION("""COMPUTED_VALUE"""),"23ft Skiff (Bertha) FL7972LJ DEP07613")</f>
        <v>23ft Skiff (Bertha) FL7972LJ DEP07613</v>
      </c>
      <c r="M347" t="str">
        <f>IFERROR(__xludf.DUMMYFUNCTION("""COMPUTED_VALUE"""),"Ford F250 2017 (Moby Dix) - DEP0021578")</f>
        <v>Ford F250 2017 (Moby Dix) - DEP0021578</v>
      </c>
      <c r="N347" t="str">
        <f>IFERROR(__xludf.DUMMYFUNCTION("""COMPUTED_VALUE"""),"Pam Marcum, (480) 332-5414")</f>
        <v>Pam Marcum, (480) 332-5414</v>
      </c>
      <c r="O347" t="str">
        <f>IFERROR(__xludf.DUMMYFUNCTION("""COMPUTED_VALUE"""),"Adrienne Breef-Pilz, Nicole Peckham, Allison Noble")</f>
        <v>Adrienne Breef-Pilz, Nicole Peckham, Allison Noble</v>
      </c>
      <c r="P347" t="str">
        <f>IFERROR(__xludf.DUMMYFUNCTION("""COMPUTED_VALUE"""),"Pam")</f>
        <v>Pam</v>
      </c>
      <c r="Q347" t="str">
        <f>IFERROR(__xludf.DUMMYFUNCTION("""COMPUTED_VALUE"""),"Good")</f>
        <v>Good</v>
      </c>
      <c r="R347" t="str">
        <f>IFERROR(__xludf.DUMMYFUNCTION("""COMPUTED_VALUE"""),"Good")</f>
        <v>Good</v>
      </c>
      <c r="S347" t="str">
        <f>IFERROR(__xludf.DUMMYFUNCTION("""COMPUTED_VALUE"""),"Good")</f>
        <v>Good</v>
      </c>
      <c r="T347" t="str">
        <f>IFERROR(__xludf.DUMMYFUNCTION("""COMPUTED_VALUE"""),"Good")</f>
        <v>Good</v>
      </c>
      <c r="U347" t="str">
        <f>IFERROR(__xludf.DUMMYFUNCTION("""COMPUTED_VALUE"""),"Good")</f>
        <v>Good</v>
      </c>
      <c r="V347" t="str">
        <f>IFERROR(__xludf.DUMMYFUNCTION("""COMPUTED_VALUE"""),"Good")</f>
        <v>Good</v>
      </c>
      <c r="W347" t="str">
        <f>IFERROR(__xludf.DUMMYFUNCTION("""COMPUTED_VALUE"""),"Good")</f>
        <v>Good</v>
      </c>
      <c r="X347" t="str">
        <f>IFERROR(__xludf.DUMMYFUNCTION("""COMPUTED_VALUE"""),"Good")</f>
        <v>Good</v>
      </c>
      <c r="Y347" t="str">
        <f>IFERROR(__xludf.DUMMYFUNCTION("""COMPUTED_VALUE"""),"Good")</f>
        <v>Good</v>
      </c>
      <c r="Z347" t="str">
        <f>IFERROR(__xludf.DUMMYFUNCTION("""COMPUTED_VALUE"""),"Good")</f>
        <v>Good</v>
      </c>
      <c r="AA347" t="str">
        <f>IFERROR(__xludf.DUMMYFUNCTION("""COMPUTED_VALUE"""),"Good")</f>
        <v>Good</v>
      </c>
      <c r="AB347" t="str">
        <f>IFERROR(__xludf.DUMMYFUNCTION("""COMPUTED_VALUE"""),"Good")</f>
        <v>Good</v>
      </c>
      <c r="AC347" t="str">
        <f>IFERROR(__xludf.DUMMYFUNCTION("""COMPUTED_VALUE"""),"Good")</f>
        <v>Good</v>
      </c>
      <c r="AE347" s="11"/>
      <c r="AF347" t="s">
        <v>218</v>
      </c>
      <c r="AG347" s="17" t="s">
        <v>43</v>
      </c>
      <c r="AH347" s="12">
        <v>1820.0</v>
      </c>
      <c r="AI347" s="12" t="s">
        <v>994</v>
      </c>
      <c r="AJ347" s="19" t="s">
        <v>995</v>
      </c>
      <c r="AK347" s="20" t="str">
        <f>HYPERLINK("https://docs.google.com/document/d/1jxJbOyJ-efuz4tHXDy8L3GTN2d42synPAf0a9KwhPj4/edit?usp=drivesdk","Pam Marcum - 8/1/2019 3:00 PM")</f>
        <v>Pam Marcum - 8/1/2019 3:00 PM</v>
      </c>
      <c r="AL347" s="12" t="s">
        <v>996</v>
      </c>
    </row>
    <row r="348">
      <c r="A348" s="10">
        <f>IFERROR(__xludf.DUMMYFUNCTION("""COMPUTED_VALUE"""),43682.594893298614)</f>
        <v>43682.59489</v>
      </c>
      <c r="B348" s="11" t="str">
        <f>IFERROR(__xludf.DUMMYFUNCTION("""COMPUTED_VALUE"""),"Jimmy")</f>
        <v>Jimmy</v>
      </c>
      <c r="C348" t="str">
        <f>IFERROR(__xludf.DUMMYFUNCTION("""COMPUTED_VALUE"""),"james.tomazinis@floridadep.gov")</f>
        <v>james.tomazinis@floridadep.gov</v>
      </c>
      <c r="D348" t="str">
        <f>IFERROR(__xludf.DUMMYFUNCTION("""COMPUTED_VALUE"""),"Stewardship (Aquatic)")</f>
        <v>Stewardship (Aquatic)</v>
      </c>
      <c r="E348" t="str">
        <f>IFERROR(__xludf.DUMMYFUNCTION("""COMPUTED_VALUE"""),"Vilano")</f>
        <v>Vilano</v>
      </c>
      <c r="F348" s="13">
        <f>IFERROR(__xludf.DUMMYFUNCTION("""COMPUTED_VALUE"""),0.375)</f>
        <v>0.375</v>
      </c>
      <c r="G348" s="14">
        <f>IFERROR(__xludf.DUMMYFUNCTION("""COMPUTED_VALUE"""),43683.0)</f>
        <v>43683</v>
      </c>
      <c r="H348" t="str">
        <f>IFERROR(__xludf.DUMMYFUNCTION("""COMPUTED_VALUE"""),"Tolomato Nekton sites")</f>
        <v>Tolomato Nekton sites</v>
      </c>
      <c r="I348" s="15">
        <f>IFERROR(__xludf.DUMMYFUNCTION("""COMPUTED_VALUE"""),0.6666666666678793)</f>
        <v>0.6666666667</v>
      </c>
      <c r="J348" s="16"/>
      <c r="K348" t="str">
        <f>IFERROR(__xludf.DUMMYFUNCTION("""COMPUTED_VALUE"""),"23ft Skiff (Bertha) FL7972LJ DEP07613")</f>
        <v>23ft Skiff (Bertha) FL7972LJ DEP07613</v>
      </c>
      <c r="M348" t="str">
        <f>IFERROR(__xludf.DUMMYFUNCTION("""COMPUTED_VALUE"""),"Ford F150 2015 (White) - DEP21448")</f>
        <v>Ford F150 2015 (White) - DEP21448</v>
      </c>
      <c r="N348" t="str">
        <f>IFERROR(__xludf.DUMMYFUNCTION("""COMPUTED_VALUE"""),"Jimmy Tomazinis, (904) 547-0094")</f>
        <v>Jimmy Tomazinis, (904) 547-0094</v>
      </c>
      <c r="O348" t="str">
        <f>IFERROR(__xludf.DUMMYFUNCTION("""COMPUTED_VALUE"""),"Suzi, Matthew, Will, Andy, Molly, Cameron")</f>
        <v>Suzi, Matthew, Will, Andy, Molly, Cameron</v>
      </c>
      <c r="P348" t="str">
        <f>IFERROR(__xludf.DUMMYFUNCTION("""COMPUTED_VALUE"""),"Jimmy")</f>
        <v>Jimmy</v>
      </c>
      <c r="Q348" t="str">
        <f>IFERROR(__xludf.DUMMYFUNCTION("""COMPUTED_VALUE"""),"Good")</f>
        <v>Good</v>
      </c>
      <c r="R348" t="str">
        <f>IFERROR(__xludf.DUMMYFUNCTION("""COMPUTED_VALUE"""),"Good")</f>
        <v>Good</v>
      </c>
      <c r="S348" t="str">
        <f>IFERROR(__xludf.DUMMYFUNCTION("""COMPUTED_VALUE"""),"Good")</f>
        <v>Good</v>
      </c>
      <c r="T348" t="str">
        <f>IFERROR(__xludf.DUMMYFUNCTION("""COMPUTED_VALUE"""),"Good")</f>
        <v>Good</v>
      </c>
      <c r="U348" t="str">
        <f>IFERROR(__xludf.DUMMYFUNCTION("""COMPUTED_VALUE"""),"Good")</f>
        <v>Good</v>
      </c>
      <c r="V348" t="str">
        <f>IFERROR(__xludf.DUMMYFUNCTION("""COMPUTED_VALUE"""),"Good")</f>
        <v>Good</v>
      </c>
      <c r="W348" t="str">
        <f>IFERROR(__xludf.DUMMYFUNCTION("""COMPUTED_VALUE"""),"Good")</f>
        <v>Good</v>
      </c>
      <c r="X348" t="str">
        <f>IFERROR(__xludf.DUMMYFUNCTION("""COMPUTED_VALUE"""),"Good")</f>
        <v>Good</v>
      </c>
      <c r="Y348" t="str">
        <f>IFERROR(__xludf.DUMMYFUNCTION("""COMPUTED_VALUE"""),"Good")</f>
        <v>Good</v>
      </c>
      <c r="Z348" t="str">
        <f>IFERROR(__xludf.DUMMYFUNCTION("""COMPUTED_VALUE"""),"Good")</f>
        <v>Good</v>
      </c>
      <c r="AA348" t="str">
        <f>IFERROR(__xludf.DUMMYFUNCTION("""COMPUTED_VALUE"""),"Good")</f>
        <v>Good</v>
      </c>
      <c r="AB348" t="str">
        <f>IFERROR(__xludf.DUMMYFUNCTION("""COMPUTED_VALUE"""),"Good")</f>
        <v>Good</v>
      </c>
      <c r="AC348" t="str">
        <f>IFERROR(__xludf.DUMMYFUNCTION("""COMPUTED_VALUE"""),"Good")</f>
        <v>Good</v>
      </c>
      <c r="AE348" s="11"/>
      <c r="AF348" t="s">
        <v>32</v>
      </c>
      <c r="AG348" s="18"/>
      <c r="AI348" s="12" t="s">
        <v>997</v>
      </c>
      <c r="AJ348" s="19" t="s">
        <v>998</v>
      </c>
      <c r="AK348" s="20" t="str">
        <f>HYPERLINK("https://docs.google.com/document/d/1E9aNIH6mCOOIwAQV51kZmcxa6B48JuJxjrm7UDpXd2w/edit?usp=drivesdk","Jimmy - 8/6/2019 9:00 AM")</f>
        <v>Jimmy - 8/6/2019 9:00 AM</v>
      </c>
      <c r="AL348" s="12" t="s">
        <v>999</v>
      </c>
    </row>
    <row r="349">
      <c r="A349" s="10">
        <f>IFERROR(__xludf.DUMMYFUNCTION("""COMPUTED_VALUE"""),43683.28529314815)</f>
        <v>43683.28529</v>
      </c>
      <c r="B349" s="11" t="str">
        <f>IFERROR(__xludf.DUMMYFUNCTION("""COMPUTED_VALUE"""),"Pam Marcum")</f>
        <v>Pam Marcum</v>
      </c>
      <c r="C349" t="str">
        <f>IFERROR(__xludf.DUMMYFUNCTION("""COMPUTED_VALUE"""),"Pamela.Marcum@floridadep.gov")</f>
        <v>Pamela.Marcum@floridadep.gov</v>
      </c>
      <c r="D349" t="str">
        <f>IFERROR(__xludf.DUMMYFUNCTION("""COMPUTED_VALUE"""),"Research/Nikki")</f>
        <v>Research/Nikki</v>
      </c>
      <c r="E349" t="str">
        <f>IFERROR(__xludf.DUMMYFUNCTION("""COMPUTED_VALUE"""),"Shore Dr")</f>
        <v>Shore Dr</v>
      </c>
      <c r="F349" s="13">
        <f>IFERROR(__xludf.DUMMYFUNCTION("""COMPUTED_VALUE"""),0.2916666666678793)</f>
        <v>0.2916666667</v>
      </c>
      <c r="G349" s="14">
        <f>IFERROR(__xludf.DUMMYFUNCTION("""COMPUTED_VALUE"""),43683.0)</f>
        <v>43683</v>
      </c>
      <c r="H349" t="str">
        <f>IFERROR(__xludf.DUMMYFUNCTION("""COMPUTED_VALUE"""),"Gabby/marsh creek")</f>
        <v>Gabby/marsh creek</v>
      </c>
      <c r="I349" s="15">
        <f>IFERROR(__xludf.DUMMYFUNCTION("""COMPUTED_VALUE"""),0.5833333333321207)</f>
        <v>0.5833333333</v>
      </c>
      <c r="J349" s="16">
        <f>IFERROR(__xludf.DUMMYFUNCTION("""COMPUTED_VALUE"""),43683.625)</f>
        <v>43683.625</v>
      </c>
      <c r="K349" t="str">
        <f>IFERROR(__xludf.DUMMYFUNCTION("""COMPUTED_VALUE"""),"17ft Skill FL0642GW DEP07239")</f>
        <v>17ft Skill FL0642GW DEP07239</v>
      </c>
      <c r="M349" t="str">
        <f>IFERROR(__xludf.DUMMYFUNCTION("""COMPUTED_VALUE"""),"Ford F250 2017 (Moby Dix) - DEP0021578")</f>
        <v>Ford F250 2017 (Moby Dix) - DEP0021578</v>
      </c>
      <c r="N349" t="str">
        <f>IFERROR(__xludf.DUMMYFUNCTION("""COMPUTED_VALUE"""),"Pam Marcum, (480) 332-5414")</f>
        <v>Pam Marcum, (480) 332-5414</v>
      </c>
      <c r="O349" t="str">
        <f>IFERROR(__xludf.DUMMYFUNCTION("""COMPUTED_VALUE"""),"Alee Knoell, Gabby Canas, Therese Adgie, Emily Geoghegan")</f>
        <v>Alee Knoell, Gabby Canas, Therese Adgie, Emily Geoghegan</v>
      </c>
      <c r="P349" t="str">
        <f>IFERROR(__xludf.DUMMYFUNCTION("""COMPUTED_VALUE"""),"Pam")</f>
        <v>Pam</v>
      </c>
      <c r="Q349" t="str">
        <f>IFERROR(__xludf.DUMMYFUNCTION("""COMPUTED_VALUE"""),"Good")</f>
        <v>Good</v>
      </c>
      <c r="R349" t="str">
        <f>IFERROR(__xludf.DUMMYFUNCTION("""COMPUTED_VALUE"""),"Good")</f>
        <v>Good</v>
      </c>
      <c r="S349" t="str">
        <f>IFERROR(__xludf.DUMMYFUNCTION("""COMPUTED_VALUE"""),"Good")</f>
        <v>Good</v>
      </c>
      <c r="T349" t="str">
        <f>IFERROR(__xludf.DUMMYFUNCTION("""COMPUTED_VALUE"""),"Good")</f>
        <v>Good</v>
      </c>
      <c r="U349" t="str">
        <f>IFERROR(__xludf.DUMMYFUNCTION("""COMPUTED_VALUE"""),"Good")</f>
        <v>Good</v>
      </c>
      <c r="V349" t="str">
        <f>IFERROR(__xludf.DUMMYFUNCTION("""COMPUTED_VALUE"""),"Good")</f>
        <v>Good</v>
      </c>
      <c r="W349" t="str">
        <f>IFERROR(__xludf.DUMMYFUNCTION("""COMPUTED_VALUE"""),"Good")</f>
        <v>Good</v>
      </c>
      <c r="X349" t="str">
        <f>IFERROR(__xludf.DUMMYFUNCTION("""COMPUTED_VALUE"""),"Good")</f>
        <v>Good</v>
      </c>
      <c r="Y349" t="str">
        <f>IFERROR(__xludf.DUMMYFUNCTION("""COMPUTED_VALUE"""),"Good")</f>
        <v>Good</v>
      </c>
      <c r="Z349" t="str">
        <f>IFERROR(__xludf.DUMMYFUNCTION("""COMPUTED_VALUE"""),"Good")</f>
        <v>Good</v>
      </c>
      <c r="AA349" t="str">
        <f>IFERROR(__xludf.DUMMYFUNCTION("""COMPUTED_VALUE"""),"Good")</f>
        <v>Good</v>
      </c>
      <c r="AB349" t="str">
        <f>IFERROR(__xludf.DUMMYFUNCTION("""COMPUTED_VALUE"""),"Good")</f>
        <v>Good</v>
      </c>
      <c r="AC349" t="str">
        <f>IFERROR(__xludf.DUMMYFUNCTION("""COMPUTED_VALUE"""),"Good")</f>
        <v>Good</v>
      </c>
      <c r="AE349" s="11"/>
      <c r="AF349" t="s">
        <v>218</v>
      </c>
      <c r="AG349" s="17" t="s">
        <v>128</v>
      </c>
      <c r="AH349" s="12">
        <v>1358.0</v>
      </c>
      <c r="AI349" s="12" t="s">
        <v>1000</v>
      </c>
      <c r="AJ349" s="19" t="s">
        <v>1001</v>
      </c>
      <c r="AK349" s="20" t="str">
        <f>HYPERLINK("https://docs.google.com/document/d/1UHxq4c6sGkIXHA_Cj_Kx_dd2yABgFStnfCZ4va8AwCQ/edit?usp=drivesdk","Pam Marcum - 8/6/2019 7:00 AM")</f>
        <v>Pam Marcum - 8/6/2019 7:00 AM</v>
      </c>
      <c r="AL349" s="12" t="s">
        <v>1002</v>
      </c>
    </row>
    <row r="350">
      <c r="A350" s="10">
        <f>IFERROR(__xludf.DUMMYFUNCTION("""COMPUTED_VALUE"""),43683.70210596065)</f>
        <v>43683.70211</v>
      </c>
      <c r="B350" s="11" t="str">
        <f>IFERROR(__xludf.DUMMYFUNCTION("""COMPUTED_VALUE"""),"Jimmy")</f>
        <v>Jimmy</v>
      </c>
      <c r="C350" t="str">
        <f>IFERROR(__xludf.DUMMYFUNCTION("""COMPUTED_VALUE"""),"james.tomazinis@floridadep.gov")</f>
        <v>james.tomazinis@floridadep.gov</v>
      </c>
      <c r="D350" t="str">
        <f>IFERROR(__xludf.DUMMYFUNCTION("""COMPUTED_VALUE"""),"Stewardship (Aquatic)")</f>
        <v>Stewardship (Aquatic)</v>
      </c>
      <c r="E350" t="str">
        <f>IFERROR(__xludf.DUMMYFUNCTION("""COMPUTED_VALUE"""),"Vilano")</f>
        <v>Vilano</v>
      </c>
      <c r="F350" s="13">
        <f>IFERROR(__xludf.DUMMYFUNCTION("""COMPUTED_VALUE"""),0.3854166666678793)</f>
        <v>0.3854166667</v>
      </c>
      <c r="G350" s="14">
        <f>IFERROR(__xludf.DUMMYFUNCTION("""COMPUTED_VALUE"""),43684.0)</f>
        <v>43684</v>
      </c>
      <c r="H350" t="str">
        <f>IFERROR(__xludf.DUMMYFUNCTION("""COMPUTED_VALUE"""),"Tolomato and Matanzas Nekton Sites")</f>
        <v>Tolomato and Matanzas Nekton Sites</v>
      </c>
      <c r="I350" s="15">
        <f>IFERROR(__xludf.DUMMYFUNCTION("""COMPUTED_VALUE"""),0.6666666666678793)</f>
        <v>0.6666666667</v>
      </c>
      <c r="J350" s="16"/>
      <c r="K350" t="str">
        <f>IFERROR(__xludf.DUMMYFUNCTION("""COMPUTED_VALUE"""),"23ft Skiff (Bertha) FL7972LJ DEP07613")</f>
        <v>23ft Skiff (Bertha) FL7972LJ DEP07613</v>
      </c>
      <c r="M350" t="str">
        <f>IFERROR(__xludf.DUMMYFUNCTION("""COMPUTED_VALUE"""),"Ford F150 2015 (White) - DEP21448")</f>
        <v>Ford F150 2015 (White) - DEP21448</v>
      </c>
      <c r="N350" t="str">
        <f>IFERROR(__xludf.DUMMYFUNCTION("""COMPUTED_VALUE"""),"Jimmy Tomazinis, (904) 547-0094")</f>
        <v>Jimmy Tomazinis, (904) 547-0094</v>
      </c>
      <c r="O350" t="str">
        <f>IFERROR(__xludf.DUMMYFUNCTION("""COMPUTED_VALUE"""),"Scott Eastman, (904) 501-9267, Suzi, Cameron, Zach, Jeff, Jim")</f>
        <v>Scott Eastman, (904) 501-9267, Suzi, Cameron, Zach, Jeff, Jim</v>
      </c>
      <c r="P350" t="str">
        <f>IFERROR(__xludf.DUMMYFUNCTION("""COMPUTED_VALUE"""),"Jimmy")</f>
        <v>Jimmy</v>
      </c>
      <c r="Q350" t="str">
        <f>IFERROR(__xludf.DUMMYFUNCTION("""COMPUTED_VALUE"""),"Good")</f>
        <v>Good</v>
      </c>
      <c r="R350" t="str">
        <f>IFERROR(__xludf.DUMMYFUNCTION("""COMPUTED_VALUE"""),"Good")</f>
        <v>Good</v>
      </c>
      <c r="S350" t="str">
        <f>IFERROR(__xludf.DUMMYFUNCTION("""COMPUTED_VALUE"""),"Good")</f>
        <v>Good</v>
      </c>
      <c r="T350" t="str">
        <f>IFERROR(__xludf.DUMMYFUNCTION("""COMPUTED_VALUE"""),"Good")</f>
        <v>Good</v>
      </c>
      <c r="U350" t="str">
        <f>IFERROR(__xludf.DUMMYFUNCTION("""COMPUTED_VALUE"""),"Good")</f>
        <v>Good</v>
      </c>
      <c r="V350" t="str">
        <f>IFERROR(__xludf.DUMMYFUNCTION("""COMPUTED_VALUE"""),"Good")</f>
        <v>Good</v>
      </c>
      <c r="W350" t="str">
        <f>IFERROR(__xludf.DUMMYFUNCTION("""COMPUTED_VALUE"""),"Good")</f>
        <v>Good</v>
      </c>
      <c r="X350" t="str">
        <f>IFERROR(__xludf.DUMMYFUNCTION("""COMPUTED_VALUE"""),"Good")</f>
        <v>Good</v>
      </c>
      <c r="Y350" t="str">
        <f>IFERROR(__xludf.DUMMYFUNCTION("""COMPUTED_VALUE"""),"Good")</f>
        <v>Good</v>
      </c>
      <c r="Z350" t="str">
        <f>IFERROR(__xludf.DUMMYFUNCTION("""COMPUTED_VALUE"""),"Good")</f>
        <v>Good</v>
      </c>
      <c r="AA350" t="str">
        <f>IFERROR(__xludf.DUMMYFUNCTION("""COMPUTED_VALUE"""),"Good")</f>
        <v>Good</v>
      </c>
      <c r="AB350" t="str">
        <f>IFERROR(__xludf.DUMMYFUNCTION("""COMPUTED_VALUE"""),"Good")</f>
        <v>Good</v>
      </c>
      <c r="AC350" t="str">
        <f>IFERROR(__xludf.DUMMYFUNCTION("""COMPUTED_VALUE"""),"Good")</f>
        <v>Good</v>
      </c>
      <c r="AE350" s="11"/>
      <c r="AF350" t="s">
        <v>32</v>
      </c>
      <c r="AG350" s="17" t="s">
        <v>18</v>
      </c>
      <c r="AH350" s="12">
        <v>1430.0</v>
      </c>
      <c r="AI350" s="12" t="s">
        <v>1003</v>
      </c>
      <c r="AJ350" s="19" t="s">
        <v>1004</v>
      </c>
      <c r="AK350" s="20" t="str">
        <f>HYPERLINK("https://docs.google.com/document/d/1nsjrzaiK-XGxSSZHB42jsZNNYxbyV3RJtQXB9v-oEB4/edit?usp=drivesdk","Jimmy - 8/7/2019 9:15 AM")</f>
        <v>Jimmy - 8/7/2019 9:15 AM</v>
      </c>
      <c r="AL350" s="12" t="s">
        <v>1005</v>
      </c>
    </row>
    <row r="351">
      <c r="A351" s="10">
        <f>IFERROR(__xludf.DUMMYFUNCTION("""COMPUTED_VALUE"""),43684.68938728009)</f>
        <v>43684.68939</v>
      </c>
      <c r="B351" s="11" t="str">
        <f>IFERROR(__xludf.DUMMYFUNCTION("""COMPUTED_VALUE"""),"Jimmy")</f>
        <v>Jimmy</v>
      </c>
      <c r="C351" t="str">
        <f>IFERROR(__xludf.DUMMYFUNCTION("""COMPUTED_VALUE"""),"james.tomazinis@floridadep.gov")</f>
        <v>james.tomazinis@floridadep.gov</v>
      </c>
      <c r="D351" t="str">
        <f>IFERROR(__xludf.DUMMYFUNCTION("""COMPUTED_VALUE"""),"Stewardship (Aquatic)")</f>
        <v>Stewardship (Aquatic)</v>
      </c>
      <c r="E351" t="str">
        <f>IFERROR(__xludf.DUMMYFUNCTION("""COMPUTED_VALUE"""),"Bings")</f>
        <v>Bings</v>
      </c>
      <c r="F351" s="13">
        <f>IFERROR(__xludf.DUMMYFUNCTION("""COMPUTED_VALUE"""),0.4166666666678793)</f>
        <v>0.4166666667</v>
      </c>
      <c r="G351" s="14">
        <f>IFERROR(__xludf.DUMMYFUNCTION("""COMPUTED_VALUE"""),43685.0)</f>
        <v>43685</v>
      </c>
      <c r="H351" t="str">
        <f>IFERROR(__xludf.DUMMYFUNCTION("""COMPUTED_VALUE"""),"Matanzas Nekton sites")</f>
        <v>Matanzas Nekton sites</v>
      </c>
      <c r="I351" s="15">
        <f>IFERROR(__xludf.DUMMYFUNCTION("""COMPUTED_VALUE"""),0.6666666666678793)</f>
        <v>0.6666666667</v>
      </c>
      <c r="J351" s="16"/>
      <c r="K351" t="str">
        <f>IFERROR(__xludf.DUMMYFUNCTION("""COMPUTED_VALUE"""),"23ft Skiff (Bertha) FL7972LJ DEP07613")</f>
        <v>23ft Skiff (Bertha) FL7972LJ DEP07613</v>
      </c>
      <c r="M351" t="str">
        <f>IFERROR(__xludf.DUMMYFUNCTION("""COMPUTED_VALUE"""),"Ford F150 2015 (White) - DEP21448")</f>
        <v>Ford F150 2015 (White) - DEP21448</v>
      </c>
      <c r="N351" t="str">
        <f>IFERROR(__xludf.DUMMYFUNCTION("""COMPUTED_VALUE"""),"Jimmy Tomazinis, (904) 547-0094")</f>
        <v>Jimmy Tomazinis, (904) 547-0094</v>
      </c>
      <c r="O351" t="str">
        <f>IFERROR(__xludf.DUMMYFUNCTION("""COMPUTED_VALUE"""),"Scott Eastman, (904) 501-9267, Suzi, Andy, Jeff, Cameron, ")</f>
        <v>Scott Eastman, (904) 501-9267, Suzi, Andy, Jeff, Cameron, </v>
      </c>
      <c r="P351" t="str">
        <f>IFERROR(__xludf.DUMMYFUNCTION("""COMPUTED_VALUE"""),"Jimmy")</f>
        <v>Jimmy</v>
      </c>
      <c r="Q351" t="str">
        <f>IFERROR(__xludf.DUMMYFUNCTION("""COMPUTED_VALUE"""),"Good")</f>
        <v>Good</v>
      </c>
      <c r="R351" t="str">
        <f>IFERROR(__xludf.DUMMYFUNCTION("""COMPUTED_VALUE"""),"Good")</f>
        <v>Good</v>
      </c>
      <c r="S351" t="str">
        <f>IFERROR(__xludf.DUMMYFUNCTION("""COMPUTED_VALUE"""),"Good")</f>
        <v>Good</v>
      </c>
      <c r="T351" t="str">
        <f>IFERROR(__xludf.DUMMYFUNCTION("""COMPUTED_VALUE"""),"Good")</f>
        <v>Good</v>
      </c>
      <c r="U351" t="str">
        <f>IFERROR(__xludf.DUMMYFUNCTION("""COMPUTED_VALUE"""),"Good")</f>
        <v>Good</v>
      </c>
      <c r="V351" t="str">
        <f>IFERROR(__xludf.DUMMYFUNCTION("""COMPUTED_VALUE"""),"Good")</f>
        <v>Good</v>
      </c>
      <c r="W351" t="str">
        <f>IFERROR(__xludf.DUMMYFUNCTION("""COMPUTED_VALUE"""),"Good")</f>
        <v>Good</v>
      </c>
      <c r="X351" t="str">
        <f>IFERROR(__xludf.DUMMYFUNCTION("""COMPUTED_VALUE"""),"Good")</f>
        <v>Good</v>
      </c>
      <c r="Y351" t="str">
        <f>IFERROR(__xludf.DUMMYFUNCTION("""COMPUTED_VALUE"""),"Good")</f>
        <v>Good</v>
      </c>
      <c r="Z351" t="str">
        <f>IFERROR(__xludf.DUMMYFUNCTION("""COMPUTED_VALUE"""),"Good")</f>
        <v>Good</v>
      </c>
      <c r="AA351" t="str">
        <f>IFERROR(__xludf.DUMMYFUNCTION("""COMPUTED_VALUE"""),"Good")</f>
        <v>Good</v>
      </c>
      <c r="AB351" t="str">
        <f>IFERROR(__xludf.DUMMYFUNCTION("""COMPUTED_VALUE"""),"Good")</f>
        <v>Good</v>
      </c>
      <c r="AC351" t="str">
        <f>IFERROR(__xludf.DUMMYFUNCTION("""COMPUTED_VALUE"""),"Good")</f>
        <v>Good</v>
      </c>
      <c r="AE351" s="11"/>
      <c r="AF351" t="s">
        <v>32</v>
      </c>
      <c r="AG351" s="18"/>
      <c r="AI351" s="12" t="s">
        <v>1006</v>
      </c>
      <c r="AJ351" s="19" t="s">
        <v>1007</v>
      </c>
      <c r="AK351" s="20" t="str">
        <f>HYPERLINK("https://docs.google.com/document/d/1tLgUiv4bcn2V_cgRKNu_zZ5FGT2YBAuPzKuqiAXm0co/edit?usp=drivesdk","Jimmy - 8/8/2019 10:00 AM")</f>
        <v>Jimmy - 8/8/2019 10:00 AM</v>
      </c>
      <c r="AL351" s="12" t="s">
        <v>1008</v>
      </c>
    </row>
    <row r="352">
      <c r="A352" s="10">
        <f>IFERROR(__xludf.DUMMYFUNCTION("""COMPUTED_VALUE"""),43685.291886273146)</f>
        <v>43685.29189</v>
      </c>
      <c r="B352" s="11" t="str">
        <f>IFERROR(__xludf.DUMMYFUNCTION("""COMPUTED_VALUE"""),"Pamela Marcum")</f>
        <v>Pamela Marcum</v>
      </c>
      <c r="C352" t="str">
        <f>IFERROR(__xludf.DUMMYFUNCTION("""COMPUTED_VALUE"""),"pamela.marcum@floridadep.gov")</f>
        <v>pamela.marcum@floridadep.gov</v>
      </c>
      <c r="D352" t="str">
        <f>IFERROR(__xludf.DUMMYFUNCTION("""COMPUTED_VALUE"""),"Research/Nikki")</f>
        <v>Research/Nikki</v>
      </c>
      <c r="E352" t="str">
        <f>IFERROR(__xludf.DUMMYFUNCTION("""COMPUTED_VALUE"""),"210/Palm valley")</f>
        <v>210/Palm valley</v>
      </c>
      <c r="F352" s="13">
        <f>IFERROR(__xludf.DUMMYFUNCTION("""COMPUTED_VALUE"""),0.2916666666678793)</f>
        <v>0.2916666667</v>
      </c>
      <c r="G352" s="14">
        <f>IFERROR(__xludf.DUMMYFUNCTION("""COMPUTED_VALUE"""),43685.0)</f>
        <v>43685</v>
      </c>
      <c r="H352" t="str">
        <f>IFERROR(__xludf.DUMMYFUNCTION("""COMPUTED_VALUE"""),"Pine island marsh site")</f>
        <v>Pine island marsh site</v>
      </c>
      <c r="I352" s="15">
        <f>IFERROR(__xludf.DUMMYFUNCTION("""COMPUTED_VALUE"""),0.5833333333321207)</f>
        <v>0.5833333333</v>
      </c>
      <c r="J352" s="16">
        <f>IFERROR(__xludf.DUMMYFUNCTION("""COMPUTED_VALUE"""),43685.60416666667)</f>
        <v>43685.60417</v>
      </c>
      <c r="K352" t="str">
        <f>IFERROR(__xludf.DUMMYFUNCTION("""COMPUTED_VALUE"""),"17ft Skill FL0642GW DEP07239")</f>
        <v>17ft Skill FL0642GW DEP07239</v>
      </c>
      <c r="M352" t="str">
        <f>IFERROR(__xludf.DUMMYFUNCTION("""COMPUTED_VALUE"""),"Ford F250 2017 (Moby Dix) - DEP0021578")</f>
        <v>Ford F250 2017 (Moby Dix) - DEP0021578</v>
      </c>
      <c r="N352" t="str">
        <f>IFERROR(__xludf.DUMMYFUNCTION("""COMPUTED_VALUE"""),"Pam Marcum, (480) 332-5414")</f>
        <v>Pam Marcum, (480) 332-5414</v>
      </c>
      <c r="P352" t="str">
        <f>IFERROR(__xludf.DUMMYFUNCTION("""COMPUTED_VALUE"""),"Pam")</f>
        <v>Pam</v>
      </c>
      <c r="Q352" t="str">
        <f>IFERROR(__xludf.DUMMYFUNCTION("""COMPUTED_VALUE"""),"Good")</f>
        <v>Good</v>
      </c>
      <c r="R352" t="str">
        <f>IFERROR(__xludf.DUMMYFUNCTION("""COMPUTED_VALUE"""),"Good")</f>
        <v>Good</v>
      </c>
      <c r="S352" t="str">
        <f>IFERROR(__xludf.DUMMYFUNCTION("""COMPUTED_VALUE"""),"Good")</f>
        <v>Good</v>
      </c>
      <c r="T352" t="str">
        <f>IFERROR(__xludf.DUMMYFUNCTION("""COMPUTED_VALUE"""),"Good")</f>
        <v>Good</v>
      </c>
      <c r="U352" t="str">
        <f>IFERROR(__xludf.DUMMYFUNCTION("""COMPUTED_VALUE"""),"Good")</f>
        <v>Good</v>
      </c>
      <c r="V352" t="str">
        <f>IFERROR(__xludf.DUMMYFUNCTION("""COMPUTED_VALUE"""),"Good")</f>
        <v>Good</v>
      </c>
      <c r="W352" t="str">
        <f>IFERROR(__xludf.DUMMYFUNCTION("""COMPUTED_VALUE"""),"Good")</f>
        <v>Good</v>
      </c>
      <c r="X352" t="str">
        <f>IFERROR(__xludf.DUMMYFUNCTION("""COMPUTED_VALUE"""),"Good")</f>
        <v>Good</v>
      </c>
      <c r="Y352" t="str">
        <f>IFERROR(__xludf.DUMMYFUNCTION("""COMPUTED_VALUE"""),"Good")</f>
        <v>Good</v>
      </c>
      <c r="Z352" t="str">
        <f>IFERROR(__xludf.DUMMYFUNCTION("""COMPUTED_VALUE"""),"Good")</f>
        <v>Good</v>
      </c>
      <c r="AA352" t="str">
        <f>IFERROR(__xludf.DUMMYFUNCTION("""COMPUTED_VALUE"""),"Good")</f>
        <v>Good</v>
      </c>
      <c r="AB352" t="str">
        <f>IFERROR(__xludf.DUMMYFUNCTION("""COMPUTED_VALUE"""),"Good")</f>
        <v>Good</v>
      </c>
      <c r="AC352" t="str">
        <f>IFERROR(__xludf.DUMMYFUNCTION("""COMPUTED_VALUE"""),"Good")</f>
        <v>Good</v>
      </c>
      <c r="AE352" s="11"/>
      <c r="AF352" t="s">
        <v>218</v>
      </c>
      <c r="AG352" s="17" t="s">
        <v>18</v>
      </c>
      <c r="AH352" s="12">
        <v>1415.0</v>
      </c>
      <c r="AI352" s="12" t="s">
        <v>1009</v>
      </c>
      <c r="AJ352" s="19" t="s">
        <v>1010</v>
      </c>
      <c r="AK352" s="20" t="str">
        <f>HYPERLINK("https://docs.google.com/document/d/1l4E_ZfLzH_eFlbh_M4aNR8syJtRhBDp7zPqitvKaIG0/edit?usp=drivesdk","Pamela Marcum - 8/8/2019 7:00 AM")</f>
        <v>Pamela Marcum - 8/8/2019 7:00 AM</v>
      </c>
      <c r="AL352" s="12" t="s">
        <v>1011</v>
      </c>
    </row>
    <row r="353">
      <c r="A353" s="10">
        <f>IFERROR(__xludf.DUMMYFUNCTION("""COMPUTED_VALUE"""),43686.46241310185)</f>
        <v>43686.46241</v>
      </c>
      <c r="B353" s="11" t="str">
        <f>IFERROR(__xludf.DUMMYFUNCTION("""COMPUTED_VALUE"""),"Pam Marcum")</f>
        <v>Pam Marcum</v>
      </c>
      <c r="C353" t="str">
        <f>IFERROR(__xludf.DUMMYFUNCTION("""COMPUTED_VALUE"""),"Pamela.Marcum@FloridaDEP.gov")</f>
        <v>Pamela.Marcum@FloridaDEP.gov</v>
      </c>
      <c r="D353" t="str">
        <f>IFERROR(__xludf.DUMMYFUNCTION("""COMPUTED_VALUE"""),"Research/Nikki")</f>
        <v>Research/Nikki</v>
      </c>
      <c r="E353" t="str">
        <f>IFERROR(__xludf.DUMMYFUNCTION("""COMPUTED_VALUE"""),"Palm Valley/201 Bridge")</f>
        <v>Palm Valley/201 Bridge</v>
      </c>
      <c r="F353" s="13">
        <f>IFERROR(__xludf.DUMMYFUNCTION("""COMPUTED_VALUE"""),0.4791666666678793)</f>
        <v>0.4791666667</v>
      </c>
      <c r="G353" s="14">
        <f>IFERROR(__xludf.DUMMYFUNCTION("""COMPUTED_VALUE"""),43686.0)</f>
        <v>43686</v>
      </c>
      <c r="H353" t="str">
        <f>IFERROR(__xludf.DUMMYFUNCTION("""COMPUTED_VALUE"""),"Pine Island Marsh Site")</f>
        <v>Pine Island Marsh Site</v>
      </c>
      <c r="I353" s="15">
        <f>IFERROR(__xludf.DUMMYFUNCTION("""COMPUTED_VALUE"""),0.7083333333321207)</f>
        <v>0.7083333333</v>
      </c>
      <c r="J353" s="16">
        <f>IFERROR(__xludf.DUMMYFUNCTION("""COMPUTED_VALUE"""),43686.72916666667)</f>
        <v>43686.72917</v>
      </c>
      <c r="K353" t="str">
        <f>IFERROR(__xludf.DUMMYFUNCTION("""COMPUTED_VALUE"""),"17ft Skill FL0642GW DEP07239")</f>
        <v>17ft Skill FL0642GW DEP07239</v>
      </c>
      <c r="M353" t="str">
        <f>IFERROR(__xludf.DUMMYFUNCTION("""COMPUTED_VALUE"""),"Ford F250 2017 (Moby Dix) - DEP0021578")</f>
        <v>Ford F250 2017 (Moby Dix) - DEP0021578</v>
      </c>
      <c r="N353" t="str">
        <f>IFERROR(__xludf.DUMMYFUNCTION("""COMPUTED_VALUE"""),"Pam Marcum, (480) 332-5414, Shannon Dunnigan, (803) 727-5734")</f>
        <v>Pam Marcum, (480) 332-5414, Shannon Dunnigan, (803) 727-5734</v>
      </c>
      <c r="P353" t="str">
        <f>IFERROR(__xludf.DUMMYFUNCTION("""COMPUTED_VALUE"""),"Pam")</f>
        <v>Pam</v>
      </c>
      <c r="Q353" t="str">
        <f>IFERROR(__xludf.DUMMYFUNCTION("""COMPUTED_VALUE"""),"Good")</f>
        <v>Good</v>
      </c>
      <c r="R353" t="str">
        <f>IFERROR(__xludf.DUMMYFUNCTION("""COMPUTED_VALUE"""),"Good")</f>
        <v>Good</v>
      </c>
      <c r="S353" t="str">
        <f>IFERROR(__xludf.DUMMYFUNCTION("""COMPUTED_VALUE"""),"Good")</f>
        <v>Good</v>
      </c>
      <c r="T353" t="str">
        <f>IFERROR(__xludf.DUMMYFUNCTION("""COMPUTED_VALUE"""),"Good")</f>
        <v>Good</v>
      </c>
      <c r="U353" t="str">
        <f>IFERROR(__xludf.DUMMYFUNCTION("""COMPUTED_VALUE"""),"Good")</f>
        <v>Good</v>
      </c>
      <c r="V353" t="str">
        <f>IFERROR(__xludf.DUMMYFUNCTION("""COMPUTED_VALUE"""),"Good")</f>
        <v>Good</v>
      </c>
      <c r="W353" t="str">
        <f>IFERROR(__xludf.DUMMYFUNCTION("""COMPUTED_VALUE"""),"Good")</f>
        <v>Good</v>
      </c>
      <c r="X353" t="str">
        <f>IFERROR(__xludf.DUMMYFUNCTION("""COMPUTED_VALUE"""),"Good")</f>
        <v>Good</v>
      </c>
      <c r="Y353" t="str">
        <f>IFERROR(__xludf.DUMMYFUNCTION("""COMPUTED_VALUE"""),"Good")</f>
        <v>Good</v>
      </c>
      <c r="Z353" t="str">
        <f>IFERROR(__xludf.DUMMYFUNCTION("""COMPUTED_VALUE"""),"Good")</f>
        <v>Good</v>
      </c>
      <c r="AA353" t="str">
        <f>IFERROR(__xludf.DUMMYFUNCTION("""COMPUTED_VALUE"""),"Good")</f>
        <v>Good</v>
      </c>
      <c r="AB353" t="str">
        <f>IFERROR(__xludf.DUMMYFUNCTION("""COMPUTED_VALUE"""),"Good")</f>
        <v>Good</v>
      </c>
      <c r="AC353" t="str">
        <f>IFERROR(__xludf.DUMMYFUNCTION("""COMPUTED_VALUE"""),"Good")</f>
        <v>Good</v>
      </c>
      <c r="AE353" s="11"/>
      <c r="AF353" t="s">
        <v>218</v>
      </c>
      <c r="AG353" s="17" t="s">
        <v>43</v>
      </c>
      <c r="AH353" s="12">
        <v>1620.0</v>
      </c>
      <c r="AI353" s="12" t="s">
        <v>1012</v>
      </c>
      <c r="AJ353" s="19" t="s">
        <v>1013</v>
      </c>
      <c r="AK353" s="20" t="str">
        <f>HYPERLINK("https://docs.google.com/document/d/1YMJWkZrunPkqcijQlnoJEDDw7X8P59lFxv9qbVzbaSY/edit?usp=drivesdk","Pam Marcum - 8/9/2019 11:30 AM")</f>
        <v>Pam Marcum - 8/9/2019 11:30 AM</v>
      </c>
      <c r="AL353" s="12" t="s">
        <v>1014</v>
      </c>
    </row>
    <row r="354">
      <c r="A354" s="10">
        <f>IFERROR(__xludf.DUMMYFUNCTION("""COMPUTED_VALUE"""),43689.32989282408)</f>
        <v>43689.32989</v>
      </c>
      <c r="B354" s="11" t="str">
        <f>IFERROR(__xludf.DUMMYFUNCTION("""COMPUTED_VALUE"""),"Jimmy")</f>
        <v>Jimmy</v>
      </c>
      <c r="C354" t="str">
        <f>IFERROR(__xludf.DUMMYFUNCTION("""COMPUTED_VALUE"""),"james.tomazinis@floridadep.gov")</f>
        <v>james.tomazinis@floridadep.gov</v>
      </c>
      <c r="D354" t="str">
        <f>IFERROR(__xludf.DUMMYFUNCTION("""COMPUTED_VALUE"""),"Stewardship (Aquatic)")</f>
        <v>Stewardship (Aquatic)</v>
      </c>
      <c r="E354" t="str">
        <f>IFERROR(__xludf.DUMMYFUNCTION("""COMPUTED_VALUE"""),"Guana Dam")</f>
        <v>Guana Dam</v>
      </c>
      <c r="F354" s="13">
        <f>IFERROR(__xludf.DUMMYFUNCTION("""COMPUTED_VALUE"""),0.3541666666678793)</f>
        <v>0.3541666667</v>
      </c>
      <c r="G354" s="14">
        <f>IFERROR(__xludf.DUMMYFUNCTION("""COMPUTED_VALUE"""),43689.0)</f>
        <v>43689</v>
      </c>
      <c r="H354" t="str">
        <f>IFERROR(__xludf.DUMMYFUNCTION("""COMPUTED_VALUE"""),"Guana River WQ sites")</f>
        <v>Guana River WQ sites</v>
      </c>
      <c r="I354" s="15">
        <f>IFERROR(__xludf.DUMMYFUNCTION("""COMPUTED_VALUE"""),0.9583333333321207)</f>
        <v>0.9583333333</v>
      </c>
      <c r="J354" s="16"/>
      <c r="K354" t="str">
        <f>IFERROR(__xludf.DUMMYFUNCTION("""COMPUTED_VALUE"""),"Jon Boat FL0484NP DEP06819")</f>
        <v>Jon Boat FL0484NP DEP06819</v>
      </c>
      <c r="M354" t="str">
        <f>IFERROR(__xludf.DUMMYFUNCTION("""COMPUTED_VALUE"""),"Ford F150 2015 (White) - DEP21448")</f>
        <v>Ford F150 2015 (White) - DEP21448</v>
      </c>
      <c r="N354" t="str">
        <f>IFERROR(__xludf.DUMMYFUNCTION("""COMPUTED_VALUE"""),"Jimmy Tomazinis, (904) 547-0094")</f>
        <v>Jimmy Tomazinis, (904) 547-0094</v>
      </c>
      <c r="O354" t="str">
        <f>IFERROR(__xludf.DUMMYFUNCTION("""COMPUTED_VALUE"""),"Jessica Lee")</f>
        <v>Jessica Lee</v>
      </c>
      <c r="P354" t="str">
        <f>IFERROR(__xludf.DUMMYFUNCTION("""COMPUTED_VALUE"""),"Jimmy")</f>
        <v>Jimmy</v>
      </c>
      <c r="Q354" t="str">
        <f>IFERROR(__xludf.DUMMYFUNCTION("""COMPUTED_VALUE"""),"Good")</f>
        <v>Good</v>
      </c>
      <c r="R354" t="str">
        <f>IFERROR(__xludf.DUMMYFUNCTION("""COMPUTED_VALUE"""),"Good")</f>
        <v>Good</v>
      </c>
      <c r="S354" t="str">
        <f>IFERROR(__xludf.DUMMYFUNCTION("""COMPUTED_VALUE"""),"Good")</f>
        <v>Good</v>
      </c>
      <c r="T354" t="str">
        <f>IFERROR(__xludf.DUMMYFUNCTION("""COMPUTED_VALUE"""),"Good")</f>
        <v>Good</v>
      </c>
      <c r="U354" t="str">
        <f>IFERROR(__xludf.DUMMYFUNCTION("""COMPUTED_VALUE"""),"Good")</f>
        <v>Good</v>
      </c>
      <c r="V354" t="str">
        <f>IFERROR(__xludf.DUMMYFUNCTION("""COMPUTED_VALUE"""),"Good")</f>
        <v>Good</v>
      </c>
      <c r="W354" t="str">
        <f>IFERROR(__xludf.DUMMYFUNCTION("""COMPUTED_VALUE"""),"Good")</f>
        <v>Good</v>
      </c>
      <c r="X354" t="str">
        <f>IFERROR(__xludf.DUMMYFUNCTION("""COMPUTED_VALUE"""),"Good")</f>
        <v>Good</v>
      </c>
      <c r="Y354" t="str">
        <f>IFERROR(__xludf.DUMMYFUNCTION("""COMPUTED_VALUE"""),"Good")</f>
        <v>Good</v>
      </c>
      <c r="Z354" t="str">
        <f>IFERROR(__xludf.DUMMYFUNCTION("""COMPUTED_VALUE"""),"Good")</f>
        <v>Good</v>
      </c>
      <c r="AA354" t="str">
        <f>IFERROR(__xludf.DUMMYFUNCTION("""COMPUTED_VALUE"""),"Good")</f>
        <v>Good</v>
      </c>
      <c r="AB354" t="str">
        <f>IFERROR(__xludf.DUMMYFUNCTION("""COMPUTED_VALUE"""),"Good")</f>
        <v>Good</v>
      </c>
      <c r="AC354" t="str">
        <f>IFERROR(__xludf.DUMMYFUNCTION("""COMPUTED_VALUE"""),"Good")</f>
        <v>Good</v>
      </c>
      <c r="AE354" s="11"/>
      <c r="AF354" t="s">
        <v>32</v>
      </c>
      <c r="AG354" s="17" t="s">
        <v>448</v>
      </c>
      <c r="AH354" s="12">
        <v>1000.0</v>
      </c>
      <c r="AI354" s="12" t="s">
        <v>1015</v>
      </c>
      <c r="AJ354" s="19" t="s">
        <v>1016</v>
      </c>
      <c r="AK354" s="20" t="str">
        <f>HYPERLINK("https://docs.google.com/document/d/1mAuPt1x3SC6PF8ujlRcp2_FSebhAGV02h612BkmlcNs/edit?usp=drivesdk","Jimmy - 8/12/2019 8:30 AM")</f>
        <v>Jimmy - 8/12/2019 8:30 AM</v>
      </c>
      <c r="AL354" s="12" t="s">
        <v>1017</v>
      </c>
    </row>
    <row r="355">
      <c r="A355" s="10">
        <f>IFERROR(__xludf.DUMMYFUNCTION("""COMPUTED_VALUE"""),43689.69758003472)</f>
        <v>43689.69758</v>
      </c>
      <c r="B355" s="11" t="str">
        <f>IFERROR(__xludf.DUMMYFUNCTION("""COMPUTED_VALUE"""),"Jimmy")</f>
        <v>Jimmy</v>
      </c>
      <c r="C355" t="str">
        <f>IFERROR(__xludf.DUMMYFUNCTION("""COMPUTED_VALUE"""),"james.tomazinis@floridadep.gov")</f>
        <v>james.tomazinis@floridadep.gov</v>
      </c>
      <c r="D355" t="str">
        <f>IFERROR(__xludf.DUMMYFUNCTION("""COMPUTED_VALUE"""),"Stewardship (Aquatic)")</f>
        <v>Stewardship (Aquatic)</v>
      </c>
      <c r="E355" t="str">
        <f>IFERROR(__xludf.DUMMYFUNCTION("""COMPUTED_VALUE"""),"Dee Dee Bartels and Goffinsville Park")</f>
        <v>Dee Dee Bartels and Goffinsville Park</v>
      </c>
      <c r="F355" s="13">
        <f>IFERROR(__xludf.DUMMYFUNCTION("""COMPUTED_VALUE"""),0.2916666666678793)</f>
        <v>0.2916666667</v>
      </c>
      <c r="G355" s="14">
        <f>IFERROR(__xludf.DUMMYFUNCTION("""COMPUTED_VALUE"""),43690.0)</f>
        <v>43690</v>
      </c>
      <c r="H355" t="str">
        <f>IFERROR(__xludf.DUMMYFUNCTION("""COMPUTED_VALUE"""),"NEAP WQ sites")</f>
        <v>NEAP WQ sites</v>
      </c>
      <c r="I355" s="15">
        <f>IFERROR(__xludf.DUMMYFUNCTION("""COMPUTED_VALUE"""),0.5)</f>
        <v>0.5</v>
      </c>
      <c r="J355" s="16"/>
      <c r="K355" t="str">
        <f>IFERROR(__xludf.DUMMYFUNCTION("""COMPUTED_VALUE"""),"17ft Skill FL0642GW DEP07239")</f>
        <v>17ft Skill FL0642GW DEP07239</v>
      </c>
      <c r="M355" t="str">
        <f>IFERROR(__xludf.DUMMYFUNCTION("""COMPUTED_VALUE"""),"Ford F150 2008 - DEP18041 (SWMP Thing)")</f>
        <v>Ford F150 2008 - DEP18041 (SWMP Thing)</v>
      </c>
      <c r="N355" t="str">
        <f>IFERROR(__xludf.DUMMYFUNCTION("""COMPUTED_VALUE"""),"Jimmy Tomazinis, (904) 547-0094")</f>
        <v>Jimmy Tomazinis, (904) 547-0094</v>
      </c>
      <c r="O355" t="str">
        <f>IFERROR(__xludf.DUMMYFUNCTION("""COMPUTED_VALUE"""),"TBD")</f>
        <v>TBD</v>
      </c>
      <c r="P355" t="str">
        <f>IFERROR(__xludf.DUMMYFUNCTION("""COMPUTED_VALUE"""),"Jimmy")</f>
        <v>Jimmy</v>
      </c>
      <c r="Q355" t="str">
        <f>IFERROR(__xludf.DUMMYFUNCTION("""COMPUTED_VALUE"""),"Good")</f>
        <v>Good</v>
      </c>
      <c r="R355" t="str">
        <f>IFERROR(__xludf.DUMMYFUNCTION("""COMPUTED_VALUE"""),"Good")</f>
        <v>Good</v>
      </c>
      <c r="S355" t="str">
        <f>IFERROR(__xludf.DUMMYFUNCTION("""COMPUTED_VALUE"""),"Good")</f>
        <v>Good</v>
      </c>
      <c r="T355" t="str">
        <f>IFERROR(__xludf.DUMMYFUNCTION("""COMPUTED_VALUE"""),"Good")</f>
        <v>Good</v>
      </c>
      <c r="U355" t="str">
        <f>IFERROR(__xludf.DUMMYFUNCTION("""COMPUTED_VALUE"""),"Good")</f>
        <v>Good</v>
      </c>
      <c r="V355" t="str">
        <f>IFERROR(__xludf.DUMMYFUNCTION("""COMPUTED_VALUE"""),"Good")</f>
        <v>Good</v>
      </c>
      <c r="W355" t="str">
        <f>IFERROR(__xludf.DUMMYFUNCTION("""COMPUTED_VALUE"""),"Good")</f>
        <v>Good</v>
      </c>
      <c r="X355" t="str">
        <f>IFERROR(__xludf.DUMMYFUNCTION("""COMPUTED_VALUE"""),"Good")</f>
        <v>Good</v>
      </c>
      <c r="Y355" t="str">
        <f>IFERROR(__xludf.DUMMYFUNCTION("""COMPUTED_VALUE"""),"Good")</f>
        <v>Good</v>
      </c>
      <c r="Z355" t="str">
        <f>IFERROR(__xludf.DUMMYFUNCTION("""COMPUTED_VALUE"""),"Good")</f>
        <v>Good</v>
      </c>
      <c r="AA355" t="str">
        <f>IFERROR(__xludf.DUMMYFUNCTION("""COMPUTED_VALUE"""),"Good")</f>
        <v>Good</v>
      </c>
      <c r="AB355" t="str">
        <f>IFERROR(__xludf.DUMMYFUNCTION("""COMPUTED_VALUE"""),"Good")</f>
        <v>Good</v>
      </c>
      <c r="AC355" t="str">
        <f>IFERROR(__xludf.DUMMYFUNCTION("""COMPUTED_VALUE"""),"Good")</f>
        <v>Good</v>
      </c>
      <c r="AE355" s="11"/>
      <c r="AF355" t="s">
        <v>32</v>
      </c>
      <c r="AG355" s="17" t="s">
        <v>18</v>
      </c>
      <c r="AH355" s="12">
        <v>1215.0</v>
      </c>
      <c r="AI355" s="12" t="s">
        <v>1018</v>
      </c>
      <c r="AJ355" s="19" t="s">
        <v>1019</v>
      </c>
      <c r="AK355" s="20" t="str">
        <f>HYPERLINK("https://docs.google.com/a/gtmnerr.org/document/d/11Q1zngHv0-P5AsO1ZgZYteXWIjY4Pp94rg3HG76Vfhk/edit?usp=drivesdk","Jimmy - 8/13/2019 7:00 AM")</f>
        <v>Jimmy - 8/13/2019 7:00 AM</v>
      </c>
      <c r="AL355" s="12" t="s">
        <v>1020</v>
      </c>
    </row>
    <row r="356">
      <c r="A356" s="10">
        <f>IFERROR(__xludf.DUMMYFUNCTION("""COMPUTED_VALUE"""),43689.74812228009)</f>
        <v>43689.74812</v>
      </c>
      <c r="B356" s="11" t="str">
        <f>IFERROR(__xludf.DUMMYFUNCTION("""COMPUTED_VALUE"""),"Silas Tanner")</f>
        <v>Silas Tanner</v>
      </c>
      <c r="C356" t="str">
        <f>IFERROR(__xludf.DUMMYFUNCTION("""COMPUTED_VALUE"""),"silas.tanner@floridadep.gov")</f>
        <v>silas.tanner@floridadep.gov</v>
      </c>
      <c r="D356" t="str">
        <f>IFERROR(__xludf.DUMMYFUNCTION("""COMPUTED_VALUE"""),"Research/Nikki")</f>
        <v>Research/Nikki</v>
      </c>
      <c r="E356" t="str">
        <f>IFERROR(__xludf.DUMMYFUNCTION("""COMPUTED_VALUE"""),"Vilano Landing")</f>
        <v>Vilano Landing</v>
      </c>
      <c r="F356" s="13">
        <f>IFERROR(__xludf.DUMMYFUNCTION("""COMPUTED_VALUE"""),0.3020833333321207)</f>
        <v>0.3020833333</v>
      </c>
      <c r="G356" s="14">
        <f>IFERROR(__xludf.DUMMYFUNCTION("""COMPUTED_VALUE"""),43690.0)</f>
        <v>43690</v>
      </c>
      <c r="H356" t="str">
        <f>IFERROR(__xludf.DUMMYFUNCTION("""COMPUTED_VALUE"""),"ICW SWMP sites")</f>
        <v>ICW SWMP sites</v>
      </c>
      <c r="I356" s="15">
        <f>IFERROR(__xludf.DUMMYFUNCTION("""COMPUTED_VALUE"""),0.5520833333321207)</f>
        <v>0.5520833333</v>
      </c>
      <c r="J356" s="16">
        <f>IFERROR(__xludf.DUMMYFUNCTION("""COMPUTED_VALUE"""),43690.57291666667)</f>
        <v>43690.57292</v>
      </c>
      <c r="K356" t="str">
        <f>IFERROR(__xludf.DUMMYFUNCTION("""COMPUTED_VALUE"""),"23ft Skiff (Bertha) FL7972LJ DEP07613")</f>
        <v>23ft Skiff (Bertha) FL7972LJ DEP07613</v>
      </c>
      <c r="M356" t="str">
        <f>IFERROR(__xludf.DUMMYFUNCTION("""COMPUTED_VALUE"""),"Ford F250 2017 (Moby Dix) - DEP0021578")</f>
        <v>Ford F250 2017 (Moby Dix) - DEP0021578</v>
      </c>
      <c r="N356" t="str">
        <f>IFERROR(__xludf.DUMMYFUNCTION("""COMPUTED_VALUE"""),"Silas Tanner, (904) 483-8423")</f>
        <v>Silas Tanner, (904) 483-8423</v>
      </c>
      <c r="O356" t="str">
        <f>IFERROR(__xludf.DUMMYFUNCTION("""COMPUTED_VALUE"""),"Alee Knoell, Jeff Finnan")</f>
        <v>Alee Knoell, Jeff Finnan</v>
      </c>
      <c r="P356" t="str">
        <f>IFERROR(__xludf.DUMMYFUNCTION("""COMPUTED_VALUE"""),"S. Tanner")</f>
        <v>S. Tanner</v>
      </c>
      <c r="Q356" t="str">
        <f>IFERROR(__xludf.DUMMYFUNCTION("""COMPUTED_VALUE"""),"Good")</f>
        <v>Good</v>
      </c>
      <c r="R356" t="str">
        <f>IFERROR(__xludf.DUMMYFUNCTION("""COMPUTED_VALUE"""),"Good")</f>
        <v>Good</v>
      </c>
      <c r="S356" t="str">
        <f>IFERROR(__xludf.DUMMYFUNCTION("""COMPUTED_VALUE"""),"Good")</f>
        <v>Good</v>
      </c>
      <c r="T356" t="str">
        <f>IFERROR(__xludf.DUMMYFUNCTION("""COMPUTED_VALUE"""),"Good")</f>
        <v>Good</v>
      </c>
      <c r="U356" t="str">
        <f>IFERROR(__xludf.DUMMYFUNCTION("""COMPUTED_VALUE"""),"Good")</f>
        <v>Good</v>
      </c>
      <c r="V356" t="str">
        <f>IFERROR(__xludf.DUMMYFUNCTION("""COMPUTED_VALUE"""),"Good")</f>
        <v>Good</v>
      </c>
      <c r="W356" t="str">
        <f>IFERROR(__xludf.DUMMYFUNCTION("""COMPUTED_VALUE"""),"Good")</f>
        <v>Good</v>
      </c>
      <c r="X356" t="str">
        <f>IFERROR(__xludf.DUMMYFUNCTION("""COMPUTED_VALUE"""),"Good")</f>
        <v>Good</v>
      </c>
      <c r="Y356" t="str">
        <f>IFERROR(__xludf.DUMMYFUNCTION("""COMPUTED_VALUE"""),"Good")</f>
        <v>Good</v>
      </c>
      <c r="Z356" t="str">
        <f>IFERROR(__xludf.DUMMYFUNCTION("""COMPUTED_VALUE"""),"Good")</f>
        <v>Good</v>
      </c>
      <c r="AA356" t="str">
        <f>IFERROR(__xludf.DUMMYFUNCTION("""COMPUTED_VALUE"""),"Good")</f>
        <v>Good</v>
      </c>
      <c r="AB356" t="str">
        <f>IFERROR(__xludf.DUMMYFUNCTION("""COMPUTED_VALUE"""),"Good")</f>
        <v>Good</v>
      </c>
      <c r="AC356" t="str">
        <f>IFERROR(__xludf.DUMMYFUNCTION("""COMPUTED_VALUE"""),"Good")</f>
        <v>Good</v>
      </c>
      <c r="AE356" s="11"/>
      <c r="AF356" t="s">
        <v>218</v>
      </c>
      <c r="AG356" s="17" t="s">
        <v>43</v>
      </c>
      <c r="AH356" s="12">
        <v>1152.0</v>
      </c>
      <c r="AI356" s="12" t="s">
        <v>1021</v>
      </c>
      <c r="AJ356" s="19" t="s">
        <v>1022</v>
      </c>
      <c r="AK356" s="20" t="str">
        <f>HYPERLINK("https://docs.google.com/document/d/1PSs6PJxfHNvQL0Gdx2FpaTy-9EKgmxmmCEUvK9qcJiU/edit?usp=drivesdk","Silas Tanner - 8/13/2019 7:15 AM")</f>
        <v>Silas Tanner - 8/13/2019 7:15 AM</v>
      </c>
      <c r="AL356" s="12" t="s">
        <v>1023</v>
      </c>
    </row>
    <row r="357">
      <c r="A357" s="10">
        <f>IFERROR(__xludf.DUMMYFUNCTION("""COMPUTED_VALUE"""),43697.275023553244)</f>
        <v>43697.27502</v>
      </c>
      <c r="B357" s="11" t="str">
        <f>IFERROR(__xludf.DUMMYFUNCTION("""COMPUTED_VALUE"""),"Pam Marcum")</f>
        <v>Pam Marcum</v>
      </c>
      <c r="C357" t="str">
        <f>IFERROR(__xludf.DUMMYFUNCTION("""COMPUTED_VALUE"""),"pamela.marcum@floridadep.gov")</f>
        <v>pamela.marcum@floridadep.gov</v>
      </c>
      <c r="D357" t="str">
        <f>IFERROR(__xludf.DUMMYFUNCTION("""COMPUTED_VALUE"""),"Research/Nikki")</f>
        <v>Research/Nikki</v>
      </c>
      <c r="E357" t="str">
        <f>IFERROR(__xludf.DUMMYFUNCTION("""COMPUTED_VALUE"""),"Shore")</f>
        <v>Shore</v>
      </c>
      <c r="F357" s="13">
        <f>IFERROR(__xludf.DUMMYFUNCTION("""COMPUTED_VALUE"""),0.2708333333321207)</f>
        <v>0.2708333333</v>
      </c>
      <c r="G357" s="14">
        <f>IFERROR(__xludf.DUMMYFUNCTION("""COMPUTED_VALUE"""),43697.0)</f>
        <v>43697</v>
      </c>
      <c r="H357" t="str">
        <f>IFERROR(__xludf.DUMMYFUNCTION("""COMPUTED_VALUE"""),"Site 22")</f>
        <v>Site 22</v>
      </c>
      <c r="I357" s="15">
        <f>IFERROR(__xludf.DUMMYFUNCTION("""COMPUTED_VALUE"""),0.3333333333321207)</f>
        <v>0.3333333333</v>
      </c>
      <c r="J357" s="16">
        <f>IFERROR(__xludf.DUMMYFUNCTION("""COMPUTED_VALUE"""),43697.33333333333)</f>
        <v>43697.33333</v>
      </c>
      <c r="K357" t="str">
        <f>IFERROR(__xludf.DUMMYFUNCTION("""COMPUTED_VALUE"""),"17ft Skill FL0642GW DEP07239")</f>
        <v>17ft Skill FL0642GW DEP07239</v>
      </c>
      <c r="M357" t="str">
        <f>IFERROR(__xludf.DUMMYFUNCTION("""COMPUTED_VALUE"""),"Ford F250 2017 (Moby Dix) - DEP0021578")</f>
        <v>Ford F250 2017 (Moby Dix) - DEP0021578</v>
      </c>
      <c r="N357" t="str">
        <f>IFERROR(__xludf.DUMMYFUNCTION("""COMPUTED_VALUE"""),"Pam Marcum, (480) 332-5414, Remo Mondazzi")</f>
        <v>Pam Marcum, (480) 332-5414, Remo Mondazzi</v>
      </c>
      <c r="P357" t="str">
        <f>IFERROR(__xludf.DUMMYFUNCTION("""COMPUTED_VALUE"""),"Pam")</f>
        <v>Pam</v>
      </c>
      <c r="Q357" t="str">
        <f>IFERROR(__xludf.DUMMYFUNCTION("""COMPUTED_VALUE"""),"Good")</f>
        <v>Good</v>
      </c>
      <c r="R357" t="str">
        <f>IFERROR(__xludf.DUMMYFUNCTION("""COMPUTED_VALUE"""),"Good")</f>
        <v>Good</v>
      </c>
      <c r="S357" t="str">
        <f>IFERROR(__xludf.DUMMYFUNCTION("""COMPUTED_VALUE"""),"Good")</f>
        <v>Good</v>
      </c>
      <c r="T357" t="str">
        <f>IFERROR(__xludf.DUMMYFUNCTION("""COMPUTED_VALUE"""),"Good")</f>
        <v>Good</v>
      </c>
      <c r="U357" t="str">
        <f>IFERROR(__xludf.DUMMYFUNCTION("""COMPUTED_VALUE"""),"Good")</f>
        <v>Good</v>
      </c>
      <c r="V357" t="str">
        <f>IFERROR(__xludf.DUMMYFUNCTION("""COMPUTED_VALUE"""),"Good")</f>
        <v>Good</v>
      </c>
      <c r="W357" t="str">
        <f>IFERROR(__xludf.DUMMYFUNCTION("""COMPUTED_VALUE"""),"Good")</f>
        <v>Good</v>
      </c>
      <c r="X357" t="str">
        <f>IFERROR(__xludf.DUMMYFUNCTION("""COMPUTED_VALUE"""),"Good")</f>
        <v>Good</v>
      </c>
      <c r="Y357" t="str">
        <f>IFERROR(__xludf.DUMMYFUNCTION("""COMPUTED_VALUE"""),"Good")</f>
        <v>Good</v>
      </c>
      <c r="Z357" t="str">
        <f>IFERROR(__xludf.DUMMYFUNCTION("""COMPUTED_VALUE"""),"Good")</f>
        <v>Good</v>
      </c>
      <c r="AA357" t="str">
        <f>IFERROR(__xludf.DUMMYFUNCTION("""COMPUTED_VALUE"""),"Good")</f>
        <v>Good</v>
      </c>
      <c r="AB357" t="str">
        <f>IFERROR(__xludf.DUMMYFUNCTION("""COMPUTED_VALUE"""),"Good")</f>
        <v>Good</v>
      </c>
      <c r="AC357" t="str">
        <f>IFERROR(__xludf.DUMMYFUNCTION("""COMPUTED_VALUE"""),"Good")</f>
        <v>Good</v>
      </c>
      <c r="AE357" s="11"/>
      <c r="AF357" t="s">
        <v>218</v>
      </c>
      <c r="AG357" s="17" t="s">
        <v>18</v>
      </c>
      <c r="AH357" s="12">
        <v>850.0</v>
      </c>
      <c r="AI357" s="12" t="s">
        <v>1024</v>
      </c>
      <c r="AJ357" s="19" t="s">
        <v>1025</v>
      </c>
      <c r="AK357" s="20" t="str">
        <f>HYPERLINK("https://docs.google.com/document/d/1RWIKtoOaMeyPaIs4hJT3bwRUK1PkwCCzdMFo1k4GAxk/edit?usp=drivesdk","Pam Marcum - 8/20/2019 6:30 AM")</f>
        <v>Pam Marcum - 8/20/2019 6:30 AM</v>
      </c>
      <c r="AL357" s="12" t="s">
        <v>1026</v>
      </c>
    </row>
    <row r="358">
      <c r="A358" s="10">
        <f>IFERROR(__xludf.DUMMYFUNCTION("""COMPUTED_VALUE"""),43697.628050706015)</f>
        <v>43697.62805</v>
      </c>
      <c r="B358" s="11" t="str">
        <f>IFERROR(__xludf.DUMMYFUNCTION("""COMPUTED_VALUE"""),"Pam Marcum")</f>
        <v>Pam Marcum</v>
      </c>
      <c r="C358" t="str">
        <f>IFERROR(__xludf.DUMMYFUNCTION("""COMPUTED_VALUE"""),"pamela.marcum@floridadep.gov")</f>
        <v>pamela.marcum@floridadep.gov</v>
      </c>
      <c r="D358" t="str">
        <f>IFERROR(__xludf.DUMMYFUNCTION("""COMPUTED_VALUE"""),"Research/Nikki")</f>
        <v>Research/Nikki</v>
      </c>
      <c r="E358" t="str">
        <f>IFERROR(__xludf.DUMMYFUNCTION("""COMPUTED_VALUE"""),"Shore")</f>
        <v>Shore</v>
      </c>
      <c r="F358" s="13">
        <f>IFERROR(__xludf.DUMMYFUNCTION("""COMPUTED_VALUE"""),0.6354166666678793)</f>
        <v>0.6354166667</v>
      </c>
      <c r="G358" s="14">
        <f>IFERROR(__xludf.DUMMYFUNCTION("""COMPUTED_VALUE"""),43697.0)</f>
        <v>43697</v>
      </c>
      <c r="H358" t="str">
        <f>IFERROR(__xludf.DUMMYFUNCTION("""COMPUTED_VALUE"""),"Site 22")</f>
        <v>Site 22</v>
      </c>
      <c r="I358" s="15">
        <f>IFERROR(__xludf.DUMMYFUNCTION("""COMPUTED_VALUE"""),0.7083333333321207)</f>
        <v>0.7083333333</v>
      </c>
      <c r="J358" s="16">
        <f>IFERROR(__xludf.DUMMYFUNCTION("""COMPUTED_VALUE"""),43697.75)</f>
        <v>43697.75</v>
      </c>
      <c r="K358" t="str">
        <f>IFERROR(__xludf.DUMMYFUNCTION("""COMPUTED_VALUE"""),"17ft Skill FL0642GW DEP07239")</f>
        <v>17ft Skill FL0642GW DEP07239</v>
      </c>
      <c r="M358" t="str">
        <f>IFERROR(__xludf.DUMMYFUNCTION("""COMPUTED_VALUE"""),"Ford F250 2017 (Moby Dix) - DEP0021578")</f>
        <v>Ford F250 2017 (Moby Dix) - DEP0021578</v>
      </c>
      <c r="N358" t="str">
        <f>IFERROR(__xludf.DUMMYFUNCTION("""COMPUTED_VALUE"""),"Pam Marcum, (480) 332-5414, Remo Mondazzi")</f>
        <v>Pam Marcum, (480) 332-5414, Remo Mondazzi</v>
      </c>
      <c r="P358" t="str">
        <f>IFERROR(__xludf.DUMMYFUNCTION("""COMPUTED_VALUE"""),"Pam")</f>
        <v>Pam</v>
      </c>
      <c r="Q358" t="str">
        <f>IFERROR(__xludf.DUMMYFUNCTION("""COMPUTED_VALUE"""),"Good")</f>
        <v>Good</v>
      </c>
      <c r="R358" t="str">
        <f>IFERROR(__xludf.DUMMYFUNCTION("""COMPUTED_VALUE"""),"Good")</f>
        <v>Good</v>
      </c>
      <c r="S358" t="str">
        <f>IFERROR(__xludf.DUMMYFUNCTION("""COMPUTED_VALUE"""),"Good")</f>
        <v>Good</v>
      </c>
      <c r="T358" t="str">
        <f>IFERROR(__xludf.DUMMYFUNCTION("""COMPUTED_VALUE"""),"Good")</f>
        <v>Good</v>
      </c>
      <c r="U358" t="str">
        <f>IFERROR(__xludf.DUMMYFUNCTION("""COMPUTED_VALUE"""),"Good")</f>
        <v>Good</v>
      </c>
      <c r="V358" t="str">
        <f>IFERROR(__xludf.DUMMYFUNCTION("""COMPUTED_VALUE"""),"Good")</f>
        <v>Good</v>
      </c>
      <c r="W358" t="str">
        <f>IFERROR(__xludf.DUMMYFUNCTION("""COMPUTED_VALUE"""),"Good")</f>
        <v>Good</v>
      </c>
      <c r="X358" t="str">
        <f>IFERROR(__xludf.DUMMYFUNCTION("""COMPUTED_VALUE"""),"Good")</f>
        <v>Good</v>
      </c>
      <c r="Y358" t="str">
        <f>IFERROR(__xludf.DUMMYFUNCTION("""COMPUTED_VALUE"""),"Good")</f>
        <v>Good</v>
      </c>
      <c r="Z358" t="str">
        <f>IFERROR(__xludf.DUMMYFUNCTION("""COMPUTED_VALUE"""),"Good")</f>
        <v>Good</v>
      </c>
      <c r="AA358" t="str">
        <f>IFERROR(__xludf.DUMMYFUNCTION("""COMPUTED_VALUE"""),"Good")</f>
        <v>Good</v>
      </c>
      <c r="AB358" t="str">
        <f>IFERROR(__xludf.DUMMYFUNCTION("""COMPUTED_VALUE"""),"Good")</f>
        <v>Good</v>
      </c>
      <c r="AC358" t="str">
        <f>IFERROR(__xludf.DUMMYFUNCTION("""COMPUTED_VALUE"""),"Good")</f>
        <v>Good</v>
      </c>
      <c r="AE358" s="11"/>
      <c r="AF358" t="s">
        <v>218</v>
      </c>
      <c r="AG358" s="17" t="s">
        <v>18</v>
      </c>
      <c r="AH358" s="12">
        <v>1630.0</v>
      </c>
      <c r="AI358" s="12" t="s">
        <v>1027</v>
      </c>
      <c r="AJ358" s="19" t="s">
        <v>1028</v>
      </c>
      <c r="AK358" s="20" t="str">
        <f>HYPERLINK("https://docs.google.com/document/d/1KcgaayyBJ7F6uQm0nvdHRmo9_83OCOz8oj2qRca9CDM/edit?usp=drivesdk","Pam Marcum - 8/20/2019 3:15 PM")</f>
        <v>Pam Marcum - 8/20/2019 3:15 PM</v>
      </c>
      <c r="AL358" s="12" t="s">
        <v>1029</v>
      </c>
    </row>
    <row r="359">
      <c r="A359" s="10">
        <f>IFERROR(__xludf.DUMMYFUNCTION("""COMPUTED_VALUE"""),43699.245796967596)</f>
        <v>43699.2458</v>
      </c>
      <c r="B359" s="11" t="str">
        <f>IFERROR(__xludf.DUMMYFUNCTION("""COMPUTED_VALUE"""),"Pam Marcum")</f>
        <v>Pam Marcum</v>
      </c>
      <c r="C359" t="str">
        <f>IFERROR(__xludf.DUMMYFUNCTION("""COMPUTED_VALUE"""),"Pamela.Marcum@floridadep.gov")</f>
        <v>Pamela.Marcum@floridadep.gov</v>
      </c>
      <c r="D359" t="str">
        <f>IFERROR(__xludf.DUMMYFUNCTION("""COMPUTED_VALUE"""),"Research/Nikki")</f>
        <v>Research/Nikki</v>
      </c>
      <c r="E359" t="str">
        <f>IFERROR(__xludf.DUMMYFUNCTION("""COMPUTED_VALUE"""),"Green Rd")</f>
        <v>Green Rd</v>
      </c>
      <c r="F359" s="13">
        <f>IFERROR(__xludf.DUMMYFUNCTION("""COMPUTED_VALUE"""),0.3020833333321207)</f>
        <v>0.3020833333</v>
      </c>
      <c r="G359" s="14">
        <f>IFERROR(__xludf.DUMMYFUNCTION("""COMPUTED_VALUE"""),43699.0)</f>
        <v>43699</v>
      </c>
      <c r="H359" t="str">
        <f>IFERROR(__xludf.DUMMYFUNCTION("""COMPUTED_VALUE"""),"Moses Creek")</f>
        <v>Moses Creek</v>
      </c>
      <c r="I359" s="15">
        <f>IFERROR(__xludf.DUMMYFUNCTION("""COMPUTED_VALUE"""),0.5833333333321207)</f>
        <v>0.5833333333</v>
      </c>
      <c r="J359" s="16">
        <f>IFERROR(__xludf.DUMMYFUNCTION("""COMPUTED_VALUE"""),43699.625)</f>
        <v>43699.625</v>
      </c>
      <c r="K359" t="str">
        <f>IFERROR(__xludf.DUMMYFUNCTION("""COMPUTED_VALUE"""),"F 20ft Sea Ark (Easy 200) FL8534PY DEP21451")</f>
        <v>F 20ft Sea Ark (Easy 200) FL8534PY DEP21451</v>
      </c>
      <c r="M359" t="str">
        <f>IFERROR(__xludf.DUMMYFUNCTION("""COMPUTED_VALUE"""),"Ford F250 2017 (Moby Dix) - DEP0021578")</f>
        <v>Ford F250 2017 (Moby Dix) - DEP0021578</v>
      </c>
      <c r="N359" t="str">
        <f>IFERROR(__xludf.DUMMYFUNCTION("""COMPUTED_VALUE"""),"Pam Marcum, (480) 332-5414")</f>
        <v>Pam Marcum, (480) 332-5414</v>
      </c>
      <c r="O359" t="str">
        <f>IFERROR(__xludf.DUMMYFUNCTION("""COMPUTED_VALUE"""),"Alee Knoell")</f>
        <v>Alee Knoell</v>
      </c>
      <c r="P359" t="str">
        <f>IFERROR(__xludf.DUMMYFUNCTION("""COMPUTED_VALUE"""),"Pam")</f>
        <v>Pam</v>
      </c>
      <c r="Q359" t="str">
        <f>IFERROR(__xludf.DUMMYFUNCTION("""COMPUTED_VALUE"""),"Good")</f>
        <v>Good</v>
      </c>
      <c r="R359" t="str">
        <f>IFERROR(__xludf.DUMMYFUNCTION("""COMPUTED_VALUE"""),"Good")</f>
        <v>Good</v>
      </c>
      <c r="S359" t="str">
        <f>IFERROR(__xludf.DUMMYFUNCTION("""COMPUTED_VALUE"""),"Good")</f>
        <v>Good</v>
      </c>
      <c r="T359" t="str">
        <f>IFERROR(__xludf.DUMMYFUNCTION("""COMPUTED_VALUE"""),"Good")</f>
        <v>Good</v>
      </c>
      <c r="U359" t="str">
        <f>IFERROR(__xludf.DUMMYFUNCTION("""COMPUTED_VALUE"""),"Good")</f>
        <v>Good</v>
      </c>
      <c r="V359" t="str">
        <f>IFERROR(__xludf.DUMMYFUNCTION("""COMPUTED_VALUE"""),"Good")</f>
        <v>Good</v>
      </c>
      <c r="W359" t="str">
        <f>IFERROR(__xludf.DUMMYFUNCTION("""COMPUTED_VALUE"""),"Good")</f>
        <v>Good</v>
      </c>
      <c r="X359" t="str">
        <f>IFERROR(__xludf.DUMMYFUNCTION("""COMPUTED_VALUE"""),"Good")</f>
        <v>Good</v>
      </c>
      <c r="Y359" t="str">
        <f>IFERROR(__xludf.DUMMYFUNCTION("""COMPUTED_VALUE"""),"Good")</f>
        <v>Good</v>
      </c>
      <c r="Z359" t="str">
        <f>IFERROR(__xludf.DUMMYFUNCTION("""COMPUTED_VALUE"""),"Good")</f>
        <v>Good</v>
      </c>
      <c r="AA359" t="str">
        <f>IFERROR(__xludf.DUMMYFUNCTION("""COMPUTED_VALUE"""),"Good")</f>
        <v>Good</v>
      </c>
      <c r="AB359" t="str">
        <f>IFERROR(__xludf.DUMMYFUNCTION("""COMPUTED_VALUE"""),"Good")</f>
        <v>Good</v>
      </c>
      <c r="AC359" t="str">
        <f>IFERROR(__xludf.DUMMYFUNCTION("""COMPUTED_VALUE"""),"Good")</f>
        <v>Good</v>
      </c>
      <c r="AE359" s="11"/>
      <c r="AF359" t="s">
        <v>218</v>
      </c>
      <c r="AG359" s="17" t="s">
        <v>60</v>
      </c>
      <c r="AH359" s="12">
        <v>1443.0</v>
      </c>
      <c r="AI359" s="12" t="s">
        <v>1030</v>
      </c>
      <c r="AJ359" s="19" t="s">
        <v>1031</v>
      </c>
      <c r="AK359" s="20" t="str">
        <f>HYPERLINK("https://docs.google.com/document/d/117UlOtSgj_kq7O1HZU85eiTPSysmyUGc-U29QvcaS3M/edit?usp=drivesdk","Pam Marcum - 8/22/2019 7:15 AM")</f>
        <v>Pam Marcum - 8/22/2019 7:15 AM</v>
      </c>
      <c r="AL359" s="12" t="s">
        <v>1032</v>
      </c>
    </row>
    <row r="360">
      <c r="A360" s="10">
        <f>IFERROR(__xludf.DUMMYFUNCTION("""COMPUTED_VALUE"""),43700.32529071759)</f>
        <v>43700.32529</v>
      </c>
      <c r="B360" s="11" t="str">
        <f>IFERROR(__xludf.DUMMYFUNCTION("""COMPUTED_VALUE"""),"Pamela Marcum")</f>
        <v>Pamela Marcum</v>
      </c>
      <c r="C360" t="str">
        <f>IFERROR(__xludf.DUMMYFUNCTION("""COMPUTED_VALUE"""),"pamela.marcum@floridadep.gov")</f>
        <v>pamela.marcum@floridadep.gov</v>
      </c>
      <c r="D360" t="str">
        <f>IFERROR(__xludf.DUMMYFUNCTION("""COMPUTED_VALUE"""),"Research/Nikki")</f>
        <v>Research/Nikki</v>
      </c>
      <c r="E360" t="str">
        <f>IFERROR(__xludf.DUMMYFUNCTION("""COMPUTED_VALUE"""),"Green rd")</f>
        <v>Green rd</v>
      </c>
      <c r="F360" s="13">
        <f>IFERROR(__xludf.DUMMYFUNCTION("""COMPUTED_VALUE"""),0.3229166666678793)</f>
        <v>0.3229166667</v>
      </c>
      <c r="G360" s="14">
        <f>IFERROR(__xludf.DUMMYFUNCTION("""COMPUTED_VALUE"""),43700.0)</f>
        <v>43700</v>
      </c>
      <c r="H360" t="str">
        <f>IFERROR(__xludf.DUMMYFUNCTION("""COMPUTED_VALUE"""),"Moses creek")</f>
        <v>Moses creek</v>
      </c>
      <c r="I360" s="15">
        <f>IFERROR(__xludf.DUMMYFUNCTION("""COMPUTED_VALUE"""),0.625)</f>
        <v>0.625</v>
      </c>
      <c r="J360" s="16">
        <f>IFERROR(__xludf.DUMMYFUNCTION("""COMPUTED_VALUE"""),43700.66666666667)</f>
        <v>43700.66667</v>
      </c>
      <c r="K360" t="str">
        <f>IFERROR(__xludf.DUMMYFUNCTION("""COMPUTED_VALUE"""),"F 20ft Sea Ark (Easy 200) FL8534PY DEP21451")</f>
        <v>F 20ft Sea Ark (Easy 200) FL8534PY DEP21451</v>
      </c>
      <c r="M360" t="str">
        <f>IFERROR(__xludf.DUMMYFUNCTION("""COMPUTED_VALUE"""),"Ford F250 2017 (Moby Dix) - DEP0021578")</f>
        <v>Ford F250 2017 (Moby Dix) - DEP0021578</v>
      </c>
      <c r="N360" t="str">
        <f>IFERROR(__xludf.DUMMYFUNCTION("""COMPUTED_VALUE"""),"Pam Marcum, (480) 332-5414, Shannon Dunnigan, (803) 727-5734, Silas Tanner, (904) 483-8423")</f>
        <v>Pam Marcum, (480) 332-5414, Shannon Dunnigan, (803) 727-5734, Silas Tanner, (904) 483-8423</v>
      </c>
      <c r="O360" t="str">
        <f>IFERROR(__xludf.DUMMYFUNCTION("""COMPUTED_VALUE"""),"Alee Knoell")</f>
        <v>Alee Knoell</v>
      </c>
      <c r="P360" t="str">
        <f>IFERROR(__xludf.DUMMYFUNCTION("""COMPUTED_VALUE"""),"Pam")</f>
        <v>Pam</v>
      </c>
      <c r="Q360" t="str">
        <f>IFERROR(__xludf.DUMMYFUNCTION("""COMPUTED_VALUE"""),"Good")</f>
        <v>Good</v>
      </c>
      <c r="R360" t="str">
        <f>IFERROR(__xludf.DUMMYFUNCTION("""COMPUTED_VALUE"""),"Good")</f>
        <v>Good</v>
      </c>
      <c r="S360" t="str">
        <f>IFERROR(__xludf.DUMMYFUNCTION("""COMPUTED_VALUE"""),"Good")</f>
        <v>Good</v>
      </c>
      <c r="T360" t="str">
        <f>IFERROR(__xludf.DUMMYFUNCTION("""COMPUTED_VALUE"""),"Good")</f>
        <v>Good</v>
      </c>
      <c r="U360" t="str">
        <f>IFERROR(__xludf.DUMMYFUNCTION("""COMPUTED_VALUE"""),"Good")</f>
        <v>Good</v>
      </c>
      <c r="V360" t="str">
        <f>IFERROR(__xludf.DUMMYFUNCTION("""COMPUTED_VALUE"""),"Good")</f>
        <v>Good</v>
      </c>
      <c r="W360" t="str">
        <f>IFERROR(__xludf.DUMMYFUNCTION("""COMPUTED_VALUE"""),"Good")</f>
        <v>Good</v>
      </c>
      <c r="X360" t="str">
        <f>IFERROR(__xludf.DUMMYFUNCTION("""COMPUTED_VALUE"""),"Good")</f>
        <v>Good</v>
      </c>
      <c r="Y360" t="str">
        <f>IFERROR(__xludf.DUMMYFUNCTION("""COMPUTED_VALUE"""),"Good")</f>
        <v>Good</v>
      </c>
      <c r="Z360" t="str">
        <f>IFERROR(__xludf.DUMMYFUNCTION("""COMPUTED_VALUE"""),"Good")</f>
        <v>Good</v>
      </c>
      <c r="AA360" t="str">
        <f>IFERROR(__xludf.DUMMYFUNCTION("""COMPUTED_VALUE"""),"Good")</f>
        <v>Good</v>
      </c>
      <c r="AB360" t="str">
        <f>IFERROR(__xludf.DUMMYFUNCTION("""COMPUTED_VALUE"""),"Good")</f>
        <v>Good</v>
      </c>
      <c r="AC360" t="str">
        <f>IFERROR(__xludf.DUMMYFUNCTION("""COMPUTED_VALUE"""),"Good")</f>
        <v>Good</v>
      </c>
      <c r="AE360" s="11"/>
      <c r="AF360" t="s">
        <v>218</v>
      </c>
      <c r="AG360" s="17" t="s">
        <v>18</v>
      </c>
      <c r="AH360" s="12">
        <v>910.0</v>
      </c>
      <c r="AI360" s="12" t="s">
        <v>1033</v>
      </c>
      <c r="AJ360" s="19" t="s">
        <v>1034</v>
      </c>
      <c r="AK360" s="20" t="str">
        <f>HYPERLINK("https://docs.google.com/document/d/1sG4FS2pAmky1WC9QNvN3opCN2KZ3liAWKRz-jnsPPrY/edit?usp=drivesdk","Pamela Marcum - 8/23/2019 7:45 AM")</f>
        <v>Pamela Marcum - 8/23/2019 7:45 AM</v>
      </c>
      <c r="AL360" s="12" t="s">
        <v>1035</v>
      </c>
    </row>
    <row r="361">
      <c r="A361" s="10">
        <f>IFERROR(__xludf.DUMMYFUNCTION("""COMPUTED_VALUE"""),43704.35976918982)</f>
        <v>43704.35977</v>
      </c>
      <c r="B361" s="11" t="str">
        <f>IFERROR(__xludf.DUMMYFUNCTION("""COMPUTED_VALUE"""),"Pamela Marcum")</f>
        <v>Pamela Marcum</v>
      </c>
      <c r="C361" t="str">
        <f>IFERROR(__xludf.DUMMYFUNCTION("""COMPUTED_VALUE"""),"Pamela.Marcum@floridadep.gov")</f>
        <v>Pamela.Marcum@floridadep.gov</v>
      </c>
      <c r="D361" t="str">
        <f>IFERROR(__xludf.DUMMYFUNCTION("""COMPUTED_VALUE"""),"Research/Nikki")</f>
        <v>Research/Nikki</v>
      </c>
      <c r="E361" t="str">
        <f>IFERROR(__xludf.DUMMYFUNCTION("""COMPUTED_VALUE"""),"Green Rd")</f>
        <v>Green Rd</v>
      </c>
      <c r="F361" s="13">
        <f>IFERROR(__xludf.DUMMYFUNCTION("""COMPUTED_VALUE"""),0.3958333333321207)</f>
        <v>0.3958333333</v>
      </c>
      <c r="G361" s="14">
        <f>IFERROR(__xludf.DUMMYFUNCTION("""COMPUTED_VALUE"""),43704.0)</f>
        <v>43704</v>
      </c>
      <c r="H361" t="str">
        <f>IFERROR(__xludf.DUMMYFUNCTION("""COMPUTED_VALUE"""),"Moses Creek")</f>
        <v>Moses Creek</v>
      </c>
      <c r="I361" s="15">
        <f>IFERROR(__xludf.DUMMYFUNCTION("""COMPUTED_VALUE"""),0.625)</f>
        <v>0.625</v>
      </c>
      <c r="J361" s="16">
        <f>IFERROR(__xludf.DUMMYFUNCTION("""COMPUTED_VALUE"""),43704.66666666667)</f>
        <v>43704.66667</v>
      </c>
      <c r="K361" t="str">
        <f>IFERROR(__xludf.DUMMYFUNCTION("""COMPUTED_VALUE"""),"17ft Skill FL0642GW DEP07239")</f>
        <v>17ft Skill FL0642GW DEP07239</v>
      </c>
      <c r="M361" t="str">
        <f>IFERROR(__xludf.DUMMYFUNCTION("""COMPUTED_VALUE"""),"Ford F150 2008 - DEP18041 (SWMP Thing)")</f>
        <v>Ford F150 2008 - DEP18041 (SWMP Thing)</v>
      </c>
      <c r="N361" t="str">
        <f>IFERROR(__xludf.DUMMYFUNCTION("""COMPUTED_VALUE"""),"Pam Marcum, (480) 332-5414")</f>
        <v>Pam Marcum, (480) 332-5414</v>
      </c>
      <c r="O361" t="str">
        <f>IFERROR(__xludf.DUMMYFUNCTION("""COMPUTED_VALUE"""),"Alee Knoell")</f>
        <v>Alee Knoell</v>
      </c>
      <c r="P361" t="str">
        <f>IFERROR(__xludf.DUMMYFUNCTION("""COMPUTED_VALUE"""),"Pam")</f>
        <v>Pam</v>
      </c>
      <c r="Q361" t="str">
        <f>IFERROR(__xludf.DUMMYFUNCTION("""COMPUTED_VALUE"""),"Good")</f>
        <v>Good</v>
      </c>
      <c r="R361" t="str">
        <f>IFERROR(__xludf.DUMMYFUNCTION("""COMPUTED_VALUE"""),"Good")</f>
        <v>Good</v>
      </c>
      <c r="S361" t="str">
        <f>IFERROR(__xludf.DUMMYFUNCTION("""COMPUTED_VALUE"""),"Good")</f>
        <v>Good</v>
      </c>
      <c r="T361" t="str">
        <f>IFERROR(__xludf.DUMMYFUNCTION("""COMPUTED_VALUE"""),"Good")</f>
        <v>Good</v>
      </c>
      <c r="U361" t="str">
        <f>IFERROR(__xludf.DUMMYFUNCTION("""COMPUTED_VALUE"""),"Good")</f>
        <v>Good</v>
      </c>
      <c r="V361" t="str">
        <f>IFERROR(__xludf.DUMMYFUNCTION("""COMPUTED_VALUE"""),"Good")</f>
        <v>Good</v>
      </c>
      <c r="W361" t="str">
        <f>IFERROR(__xludf.DUMMYFUNCTION("""COMPUTED_VALUE"""),"Good")</f>
        <v>Good</v>
      </c>
      <c r="X361" t="str">
        <f>IFERROR(__xludf.DUMMYFUNCTION("""COMPUTED_VALUE"""),"Good")</f>
        <v>Good</v>
      </c>
      <c r="Y361" t="str">
        <f>IFERROR(__xludf.DUMMYFUNCTION("""COMPUTED_VALUE"""),"Good")</f>
        <v>Good</v>
      </c>
      <c r="Z361" t="str">
        <f>IFERROR(__xludf.DUMMYFUNCTION("""COMPUTED_VALUE"""),"Good")</f>
        <v>Good</v>
      </c>
      <c r="AA361" t="str">
        <f>IFERROR(__xludf.DUMMYFUNCTION("""COMPUTED_VALUE"""),"Good")</f>
        <v>Good</v>
      </c>
      <c r="AB361" t="str">
        <f>IFERROR(__xludf.DUMMYFUNCTION("""COMPUTED_VALUE"""),"Good")</f>
        <v>Good</v>
      </c>
      <c r="AC361" t="str">
        <f>IFERROR(__xludf.DUMMYFUNCTION("""COMPUTED_VALUE"""),"Good")</f>
        <v>Good</v>
      </c>
      <c r="AE361" s="11"/>
      <c r="AF361" t="s">
        <v>218</v>
      </c>
      <c r="AG361" s="17" t="s">
        <v>60</v>
      </c>
      <c r="AH361" s="12">
        <v>1523.0</v>
      </c>
      <c r="AI361" s="12" t="s">
        <v>1036</v>
      </c>
      <c r="AJ361" s="19" t="s">
        <v>1037</v>
      </c>
      <c r="AK361" s="20" t="str">
        <f>HYPERLINK("https://docs.google.com/document/d/17k__OhYheTr3nYbx5FarCqsKPH8rt5B5IyLMdHihyxo/edit?usp=drivesdk","Pamela Marcum - 8/27/2019 9:30 AM")</f>
        <v>Pamela Marcum - 8/27/2019 9:30 AM</v>
      </c>
      <c r="AL361" s="12" t="s">
        <v>1038</v>
      </c>
    </row>
    <row r="362">
      <c r="A362" s="10">
        <f>IFERROR(__xludf.DUMMYFUNCTION("""COMPUTED_VALUE"""),43705.27106194444)</f>
        <v>43705.27106</v>
      </c>
      <c r="B362" s="11" t="str">
        <f>IFERROR(__xludf.DUMMYFUNCTION("""COMPUTED_VALUE"""),"Silas Tanner")</f>
        <v>Silas Tanner</v>
      </c>
      <c r="C362" t="str">
        <f>IFERROR(__xludf.DUMMYFUNCTION("""COMPUTED_VALUE"""),"silas.tanner@floridadep.gov")</f>
        <v>silas.tanner@floridadep.gov</v>
      </c>
      <c r="D362" t="str">
        <f>IFERROR(__xludf.DUMMYFUNCTION("""COMPUTED_VALUE"""),"Research/Nikki")</f>
        <v>Research/Nikki</v>
      </c>
      <c r="E362" t="str">
        <f>IFERROR(__xludf.DUMMYFUNCTION("""COMPUTED_VALUE"""),"Vilano landing")</f>
        <v>Vilano landing</v>
      </c>
      <c r="F362" s="13">
        <f>IFERROR(__xludf.DUMMYFUNCTION("""COMPUTED_VALUE"""),0.3020833333321207)</f>
        <v>0.3020833333</v>
      </c>
      <c r="G362" s="14">
        <f>IFERROR(__xludf.DUMMYFUNCTION("""COMPUTED_VALUE"""),43705.0)</f>
        <v>43705</v>
      </c>
      <c r="H362" t="str">
        <f>IFERROR(__xludf.DUMMYFUNCTION("""COMPUTED_VALUE"""),"ICW SWMP sites")</f>
        <v>ICW SWMP sites</v>
      </c>
      <c r="I362" s="15">
        <f>IFERROR(__xludf.DUMMYFUNCTION("""COMPUTED_VALUE"""),0.5833333333321207)</f>
        <v>0.5833333333</v>
      </c>
      <c r="J362" s="16">
        <f>IFERROR(__xludf.DUMMYFUNCTION("""COMPUTED_VALUE"""),43705.53125)</f>
        <v>43705.53125</v>
      </c>
      <c r="K362" t="str">
        <f>IFERROR(__xludf.DUMMYFUNCTION("""COMPUTED_VALUE"""),"23ft Skiff (Bertha) FL7972LJ DEP07613")</f>
        <v>23ft Skiff (Bertha) FL7972LJ DEP07613</v>
      </c>
      <c r="M362" t="str">
        <f>IFERROR(__xludf.DUMMYFUNCTION("""COMPUTED_VALUE"""),"Ford F250 2017 (Moby Dix) - DEP0021578")</f>
        <v>Ford F250 2017 (Moby Dix) - DEP0021578</v>
      </c>
      <c r="N362" t="str">
        <f>IFERROR(__xludf.DUMMYFUNCTION("""COMPUTED_VALUE"""),"Silas Tanner, (904) 483-8423, Remo Mondazzi")</f>
        <v>Silas Tanner, (904) 483-8423, Remo Mondazzi</v>
      </c>
      <c r="P362" t="str">
        <f>IFERROR(__xludf.DUMMYFUNCTION("""COMPUTED_VALUE"""),"S. Tanner")</f>
        <v>S. Tanner</v>
      </c>
      <c r="Q362" t="str">
        <f>IFERROR(__xludf.DUMMYFUNCTION("""COMPUTED_VALUE"""),"Good")</f>
        <v>Good</v>
      </c>
      <c r="R362" t="str">
        <f>IFERROR(__xludf.DUMMYFUNCTION("""COMPUTED_VALUE"""),"Good")</f>
        <v>Good</v>
      </c>
      <c r="S362" t="str">
        <f>IFERROR(__xludf.DUMMYFUNCTION("""COMPUTED_VALUE"""),"Good")</f>
        <v>Good</v>
      </c>
      <c r="T362" t="str">
        <f>IFERROR(__xludf.DUMMYFUNCTION("""COMPUTED_VALUE"""),"Good")</f>
        <v>Good</v>
      </c>
      <c r="U362" t="str">
        <f>IFERROR(__xludf.DUMMYFUNCTION("""COMPUTED_VALUE"""),"Good")</f>
        <v>Good</v>
      </c>
      <c r="V362" t="str">
        <f>IFERROR(__xludf.DUMMYFUNCTION("""COMPUTED_VALUE"""),"Good")</f>
        <v>Good</v>
      </c>
      <c r="W362" t="str">
        <f>IFERROR(__xludf.DUMMYFUNCTION("""COMPUTED_VALUE"""),"Good")</f>
        <v>Good</v>
      </c>
      <c r="X362" t="str">
        <f>IFERROR(__xludf.DUMMYFUNCTION("""COMPUTED_VALUE"""),"Good")</f>
        <v>Good</v>
      </c>
      <c r="Y362" t="str">
        <f>IFERROR(__xludf.DUMMYFUNCTION("""COMPUTED_VALUE"""),"Good")</f>
        <v>Good</v>
      </c>
      <c r="Z362" t="str">
        <f>IFERROR(__xludf.DUMMYFUNCTION("""COMPUTED_VALUE"""),"Good")</f>
        <v>Good</v>
      </c>
      <c r="AA362" t="str">
        <f>IFERROR(__xludf.DUMMYFUNCTION("""COMPUTED_VALUE"""),"Good")</f>
        <v>Good</v>
      </c>
      <c r="AB362" t="str">
        <f>IFERROR(__xludf.DUMMYFUNCTION("""COMPUTED_VALUE"""),"Good")</f>
        <v>Good</v>
      </c>
      <c r="AC362" t="str">
        <f>IFERROR(__xludf.DUMMYFUNCTION("""COMPUTED_VALUE"""),"Good")</f>
        <v>Good</v>
      </c>
      <c r="AE362" s="11"/>
      <c r="AF362" t="s">
        <v>218</v>
      </c>
      <c r="AG362" s="17" t="s">
        <v>43</v>
      </c>
      <c r="AH362" s="12">
        <v>1348.0</v>
      </c>
      <c r="AI362" s="12" t="s">
        <v>1039</v>
      </c>
      <c r="AJ362" s="19" t="s">
        <v>1040</v>
      </c>
      <c r="AK362" s="20" t="str">
        <f>HYPERLINK("https://docs.google.com/document/d/18J_oMGg9KxP1sUZubTUlVkgQbIimvibwL5Y_dskUwx4/edit?usp=drivesdk","Silas Tanner - 8/28/2019 7:15 AM")</f>
        <v>Silas Tanner - 8/28/2019 7:15 AM</v>
      </c>
      <c r="AL362" s="12" t="s">
        <v>1041</v>
      </c>
    </row>
    <row r="363">
      <c r="A363" s="10">
        <f>IFERROR(__xludf.DUMMYFUNCTION("""COMPUTED_VALUE"""),43705.46690395834)</f>
        <v>43705.4669</v>
      </c>
      <c r="B363" s="11" t="str">
        <f>IFERROR(__xludf.DUMMYFUNCTION("""COMPUTED_VALUE"""),"Alee knoell")</f>
        <v>Alee knoell</v>
      </c>
      <c r="C363" t="str">
        <f>IFERROR(__xludf.DUMMYFUNCTION("""COMPUTED_VALUE"""),"alee.knoell@floridadep.gov")</f>
        <v>alee.knoell@floridadep.gov</v>
      </c>
      <c r="D363" t="str">
        <f>IFERROR(__xludf.DUMMYFUNCTION("""COMPUTED_VALUE"""),"Research/Pam")</f>
        <v>Research/Pam</v>
      </c>
      <c r="E363" t="str">
        <f>IFERROR(__xludf.DUMMYFUNCTION("""COMPUTED_VALUE"""),"Vilano")</f>
        <v>Vilano</v>
      </c>
      <c r="F363" s="13">
        <f>IFERROR(__xludf.DUMMYFUNCTION("""COMPUTED_VALUE"""),0.4791666666678793)</f>
        <v>0.4791666667</v>
      </c>
      <c r="G363" s="14">
        <f>IFERROR(__xludf.DUMMYFUNCTION("""COMPUTED_VALUE"""),43705.0)</f>
        <v>43705</v>
      </c>
      <c r="H363" t="str">
        <f>IFERROR(__xludf.DUMMYFUNCTION("""COMPUTED_VALUE"""),"Spat trees")</f>
        <v>Spat trees</v>
      </c>
      <c r="I363" s="15">
        <f>IFERROR(__xludf.DUMMYFUNCTION("""COMPUTED_VALUE"""),0.625)</f>
        <v>0.625</v>
      </c>
      <c r="J363" s="16">
        <f>IFERROR(__xludf.DUMMYFUNCTION("""COMPUTED_VALUE"""),43705.72916666667)</f>
        <v>43705.72917</v>
      </c>
      <c r="K363" t="str">
        <f>IFERROR(__xludf.DUMMYFUNCTION("""COMPUTED_VALUE"""),"17ft Skill FL0642GW DEP07239")</f>
        <v>17ft Skill FL0642GW DEP07239</v>
      </c>
      <c r="M363" t="str">
        <f>IFERROR(__xludf.DUMMYFUNCTION("""COMPUTED_VALUE"""),"Ford F150 2008 - DEP18041 (SWMP Thing)")</f>
        <v>Ford F150 2008 - DEP18041 (SWMP Thing)</v>
      </c>
      <c r="N363" t="str">
        <f>IFERROR(__xludf.DUMMYFUNCTION("""COMPUTED_VALUE"""),"Pam Marcum, (480) 332-5414")</f>
        <v>Pam Marcum, (480) 332-5414</v>
      </c>
      <c r="O363" t="str">
        <f>IFERROR(__xludf.DUMMYFUNCTION("""COMPUTED_VALUE"""),"Alee Knoell")</f>
        <v>Alee Knoell</v>
      </c>
      <c r="P363" t="str">
        <f>IFERROR(__xludf.DUMMYFUNCTION("""COMPUTED_VALUE"""),"Pam Marcum")</f>
        <v>Pam Marcum</v>
      </c>
      <c r="Q363" t="str">
        <f>IFERROR(__xludf.DUMMYFUNCTION("""COMPUTED_VALUE"""),"Good")</f>
        <v>Good</v>
      </c>
      <c r="R363" t="str">
        <f>IFERROR(__xludf.DUMMYFUNCTION("""COMPUTED_VALUE"""),"Good")</f>
        <v>Good</v>
      </c>
      <c r="S363" t="str">
        <f>IFERROR(__xludf.DUMMYFUNCTION("""COMPUTED_VALUE"""),"Good")</f>
        <v>Good</v>
      </c>
      <c r="T363" t="str">
        <f>IFERROR(__xludf.DUMMYFUNCTION("""COMPUTED_VALUE"""),"Good")</f>
        <v>Good</v>
      </c>
      <c r="U363" t="str">
        <f>IFERROR(__xludf.DUMMYFUNCTION("""COMPUTED_VALUE"""),"Good")</f>
        <v>Good</v>
      </c>
      <c r="V363" t="str">
        <f>IFERROR(__xludf.DUMMYFUNCTION("""COMPUTED_VALUE"""),"Good")</f>
        <v>Good</v>
      </c>
      <c r="W363" t="str">
        <f>IFERROR(__xludf.DUMMYFUNCTION("""COMPUTED_VALUE"""),"Good")</f>
        <v>Good</v>
      </c>
      <c r="X363" t="str">
        <f>IFERROR(__xludf.DUMMYFUNCTION("""COMPUTED_VALUE"""),"Good")</f>
        <v>Good</v>
      </c>
      <c r="Y363" t="str">
        <f>IFERROR(__xludf.DUMMYFUNCTION("""COMPUTED_VALUE"""),"Good")</f>
        <v>Good</v>
      </c>
      <c r="Z363" t="str">
        <f>IFERROR(__xludf.DUMMYFUNCTION("""COMPUTED_VALUE"""),"Good")</f>
        <v>Good</v>
      </c>
      <c r="AA363" t="str">
        <f>IFERROR(__xludf.DUMMYFUNCTION("""COMPUTED_VALUE"""),"Good")</f>
        <v>Good</v>
      </c>
      <c r="AB363" t="str">
        <f>IFERROR(__xludf.DUMMYFUNCTION("""COMPUTED_VALUE"""),"Good")</f>
        <v>Good</v>
      </c>
      <c r="AC363" t="str">
        <f>IFERROR(__xludf.DUMMYFUNCTION("""COMPUTED_VALUE"""),"Good")</f>
        <v>Good</v>
      </c>
      <c r="AE363" s="11"/>
      <c r="AF363" t="s">
        <v>262</v>
      </c>
      <c r="AG363" s="17" t="s">
        <v>18</v>
      </c>
      <c r="AH363" s="12">
        <v>1415.0</v>
      </c>
      <c r="AI363" s="12" t="s">
        <v>1042</v>
      </c>
      <c r="AJ363" s="19" t="s">
        <v>1043</v>
      </c>
      <c r="AK363" s="20" t="str">
        <f>HYPERLINK("https://docs.google.com/document/d/157atlnV4PfNUXltB_9nowSR6oPh6zVU7PPouDkoFvdw/edit?usp=drivesdk","Alee knoell - 8/28/2019 11:30 AM")</f>
        <v>Alee knoell - 8/28/2019 11:30 AM</v>
      </c>
      <c r="AL363" s="12" t="s">
        <v>1044</v>
      </c>
    </row>
    <row r="364">
      <c r="A364" s="10">
        <f>IFERROR(__xludf.DUMMYFUNCTION("""COMPUTED_VALUE"""),43717.7090765625)</f>
        <v>43717.70908</v>
      </c>
      <c r="B364" s="11" t="str">
        <f>IFERROR(__xludf.DUMMYFUNCTION("""COMPUTED_VALUE"""),"Jimmy Tomazinis")</f>
        <v>Jimmy Tomazinis</v>
      </c>
      <c r="C364" t="str">
        <f>IFERROR(__xludf.DUMMYFUNCTION("""COMPUTED_VALUE"""),"james.tomazinis@floridadep.gov")</f>
        <v>james.tomazinis@floridadep.gov</v>
      </c>
      <c r="D364" t="str">
        <f>IFERROR(__xludf.DUMMYFUNCTION("""COMPUTED_VALUE"""),"Stewardship (Aquatic)")</f>
        <v>Stewardship (Aquatic)</v>
      </c>
      <c r="E364" t="str">
        <f>IFERROR(__xludf.DUMMYFUNCTION("""COMPUTED_VALUE"""),"Guana Dam")</f>
        <v>Guana Dam</v>
      </c>
      <c r="F364" s="13">
        <f>IFERROR(__xludf.DUMMYFUNCTION("""COMPUTED_VALUE"""),0.3333333333321207)</f>
        <v>0.3333333333</v>
      </c>
      <c r="G364" s="14">
        <f>IFERROR(__xludf.DUMMYFUNCTION("""COMPUTED_VALUE"""),33126.0)</f>
        <v>33126</v>
      </c>
      <c r="H364" t="str">
        <f>IFERROR(__xludf.DUMMYFUNCTION("""COMPUTED_VALUE"""),"Guana River WQ sites")</f>
        <v>Guana River WQ sites</v>
      </c>
      <c r="I364" s="15">
        <f>IFERROR(__xludf.DUMMYFUNCTION("""COMPUTED_VALUE"""),0.4166666666678793)</f>
        <v>0.4166666667</v>
      </c>
      <c r="J364" s="16"/>
      <c r="K364" t="str">
        <f>IFERROR(__xludf.DUMMYFUNCTION("""COMPUTED_VALUE"""),"Jon Boat FL0484NP DEP06819")</f>
        <v>Jon Boat FL0484NP DEP06819</v>
      </c>
      <c r="M364" t="str">
        <f>IFERROR(__xludf.DUMMYFUNCTION("""COMPUTED_VALUE"""),"Ford F150 2015 (White) - DEP21448")</f>
        <v>Ford F150 2015 (White) - DEP21448</v>
      </c>
      <c r="N364" t="str">
        <f>IFERROR(__xludf.DUMMYFUNCTION("""COMPUTED_VALUE"""),"Jimmy Tomazinis, (904) 547-0094")</f>
        <v>Jimmy Tomazinis, (904) 547-0094</v>
      </c>
      <c r="O364" t="str">
        <f>IFERROR(__xludf.DUMMYFUNCTION("""COMPUTED_VALUE"""),"Jessica Lee")</f>
        <v>Jessica Lee</v>
      </c>
      <c r="P364" t="str">
        <f>IFERROR(__xludf.DUMMYFUNCTION("""COMPUTED_VALUE"""),"Jimmy")</f>
        <v>Jimmy</v>
      </c>
      <c r="Q364" t="str">
        <f>IFERROR(__xludf.DUMMYFUNCTION("""COMPUTED_VALUE"""),"Good")</f>
        <v>Good</v>
      </c>
      <c r="R364" t="str">
        <f>IFERROR(__xludf.DUMMYFUNCTION("""COMPUTED_VALUE"""),"Good")</f>
        <v>Good</v>
      </c>
      <c r="S364" t="str">
        <f>IFERROR(__xludf.DUMMYFUNCTION("""COMPUTED_VALUE"""),"Good")</f>
        <v>Good</v>
      </c>
      <c r="T364" t="str">
        <f>IFERROR(__xludf.DUMMYFUNCTION("""COMPUTED_VALUE"""),"Good")</f>
        <v>Good</v>
      </c>
      <c r="U364" t="str">
        <f>IFERROR(__xludf.DUMMYFUNCTION("""COMPUTED_VALUE"""),"Good")</f>
        <v>Good</v>
      </c>
      <c r="V364" t="str">
        <f>IFERROR(__xludf.DUMMYFUNCTION("""COMPUTED_VALUE"""),"Good")</f>
        <v>Good</v>
      </c>
      <c r="W364" t="str">
        <f>IFERROR(__xludf.DUMMYFUNCTION("""COMPUTED_VALUE"""),"Good")</f>
        <v>Good</v>
      </c>
      <c r="X364" t="str">
        <f>IFERROR(__xludf.DUMMYFUNCTION("""COMPUTED_VALUE"""),"Good")</f>
        <v>Good</v>
      </c>
      <c r="Y364" t="str">
        <f>IFERROR(__xludf.DUMMYFUNCTION("""COMPUTED_VALUE"""),"Good")</f>
        <v>Good</v>
      </c>
      <c r="Z364" t="str">
        <f>IFERROR(__xludf.DUMMYFUNCTION("""COMPUTED_VALUE"""),"Good")</f>
        <v>Good</v>
      </c>
      <c r="AA364" t="str">
        <f>IFERROR(__xludf.DUMMYFUNCTION("""COMPUTED_VALUE"""),"Good")</f>
        <v>Good</v>
      </c>
      <c r="AB364" t="str">
        <f>IFERROR(__xludf.DUMMYFUNCTION("""COMPUTED_VALUE"""),"Good")</f>
        <v>Good</v>
      </c>
      <c r="AC364" t="str">
        <f>IFERROR(__xludf.DUMMYFUNCTION("""COMPUTED_VALUE"""),"Good")</f>
        <v>Good</v>
      </c>
      <c r="AE364" s="11"/>
      <c r="AF364" t="s">
        <v>32</v>
      </c>
      <c r="AG364" s="17" t="s">
        <v>22</v>
      </c>
      <c r="AH364" s="12">
        <v>930.0</v>
      </c>
      <c r="AI364" s="12" t="s">
        <v>1045</v>
      </c>
      <c r="AJ364" s="19" t="s">
        <v>1046</v>
      </c>
      <c r="AK364" s="20" t="str">
        <f>HYPERLINK("https://docs.google.com/document/d/15hEqU8nv3aRpQI8ho-4D11gMDcOtqzF6M5xm45xB7GM/edit?usp=drivesdk","Jimmy Tomazinis - 9/10/1990 8:00 AM")</f>
        <v>Jimmy Tomazinis - 9/10/1990 8:00 AM</v>
      </c>
      <c r="AL364" s="12" t="s">
        <v>1047</v>
      </c>
    </row>
    <row r="365">
      <c r="A365" s="10">
        <f>IFERROR(__xludf.DUMMYFUNCTION("""COMPUTED_VALUE"""),43718.72899144676)</f>
        <v>43718.72899</v>
      </c>
      <c r="B365" s="11" t="str">
        <f>IFERROR(__xludf.DUMMYFUNCTION("""COMPUTED_VALUE"""),"Jimmy Tomazinis")</f>
        <v>Jimmy Tomazinis</v>
      </c>
      <c r="C365" t="str">
        <f>IFERROR(__xludf.DUMMYFUNCTION("""COMPUTED_VALUE"""),"james.tomazinis@floridadep.gov")</f>
        <v>james.tomazinis@floridadep.gov</v>
      </c>
      <c r="D365" t="str">
        <f>IFERROR(__xludf.DUMMYFUNCTION("""COMPUTED_VALUE"""),"Stewardship (Aquatic)")</f>
        <v>Stewardship (Aquatic)</v>
      </c>
      <c r="E365" t="str">
        <f>IFERROR(__xludf.DUMMYFUNCTION("""COMPUTED_VALUE"""),"Dee Dee Bartels and Goffinsville Park")</f>
        <v>Dee Dee Bartels and Goffinsville Park</v>
      </c>
      <c r="F365" s="13">
        <f>IFERROR(__xludf.DUMMYFUNCTION("""COMPUTED_VALUE"""),0.3125)</f>
        <v>0.3125</v>
      </c>
      <c r="G365" s="14">
        <f>IFERROR(__xludf.DUMMYFUNCTION("""COMPUTED_VALUE"""),43719.0)</f>
        <v>43719</v>
      </c>
      <c r="H365" t="str">
        <f>IFERROR(__xludf.DUMMYFUNCTION("""COMPUTED_VALUE"""),"NEAP Nekton")</f>
        <v>NEAP Nekton</v>
      </c>
      <c r="I365" s="15">
        <f>IFERROR(__xludf.DUMMYFUNCTION("""COMPUTED_VALUE"""),0.5416666666678793)</f>
        <v>0.5416666667</v>
      </c>
      <c r="J365" s="16"/>
      <c r="K365" t="str">
        <f>IFERROR(__xludf.DUMMYFUNCTION("""COMPUTED_VALUE"""),"17ft Skill FL0642GW DEP07239")</f>
        <v>17ft Skill FL0642GW DEP07239</v>
      </c>
      <c r="M365" t="str">
        <f>IFERROR(__xludf.DUMMYFUNCTION("""COMPUTED_VALUE"""),"Ford F150 2008 - DEP18041 (SWMP Thing)")</f>
        <v>Ford F150 2008 - DEP18041 (SWMP Thing)</v>
      </c>
      <c r="N365" t="str">
        <f>IFERROR(__xludf.DUMMYFUNCTION("""COMPUTED_VALUE"""),"Jimmy Tomazinis, (904) 547-0094")</f>
        <v>Jimmy Tomazinis, (904) 547-0094</v>
      </c>
      <c r="O365" t="str">
        <f>IFERROR(__xludf.DUMMYFUNCTION("""COMPUTED_VALUE"""),"Suzi Porterfield")</f>
        <v>Suzi Porterfield</v>
      </c>
      <c r="P365" t="str">
        <f>IFERROR(__xludf.DUMMYFUNCTION("""COMPUTED_VALUE"""),"Jimmy")</f>
        <v>Jimmy</v>
      </c>
      <c r="Q365" t="str">
        <f>IFERROR(__xludf.DUMMYFUNCTION("""COMPUTED_VALUE"""),"Good")</f>
        <v>Good</v>
      </c>
      <c r="R365" t="str">
        <f>IFERROR(__xludf.DUMMYFUNCTION("""COMPUTED_VALUE"""),"Good")</f>
        <v>Good</v>
      </c>
      <c r="S365" t="str">
        <f>IFERROR(__xludf.DUMMYFUNCTION("""COMPUTED_VALUE"""),"Good")</f>
        <v>Good</v>
      </c>
      <c r="T365" t="str">
        <f>IFERROR(__xludf.DUMMYFUNCTION("""COMPUTED_VALUE"""),"Good")</f>
        <v>Good</v>
      </c>
      <c r="U365" t="str">
        <f>IFERROR(__xludf.DUMMYFUNCTION("""COMPUTED_VALUE"""),"Good")</f>
        <v>Good</v>
      </c>
      <c r="V365" t="str">
        <f>IFERROR(__xludf.DUMMYFUNCTION("""COMPUTED_VALUE"""),"Good")</f>
        <v>Good</v>
      </c>
      <c r="W365" t="str">
        <f>IFERROR(__xludf.DUMMYFUNCTION("""COMPUTED_VALUE"""),"Good")</f>
        <v>Good</v>
      </c>
      <c r="X365" t="str">
        <f>IFERROR(__xludf.DUMMYFUNCTION("""COMPUTED_VALUE"""),"Good")</f>
        <v>Good</v>
      </c>
      <c r="Y365" t="str">
        <f>IFERROR(__xludf.DUMMYFUNCTION("""COMPUTED_VALUE"""),"Good")</f>
        <v>Good</v>
      </c>
      <c r="Z365" t="str">
        <f>IFERROR(__xludf.DUMMYFUNCTION("""COMPUTED_VALUE"""),"Good")</f>
        <v>Good</v>
      </c>
      <c r="AA365" t="str">
        <f>IFERROR(__xludf.DUMMYFUNCTION("""COMPUTED_VALUE"""),"Good")</f>
        <v>Good</v>
      </c>
      <c r="AB365" t="str">
        <f>IFERROR(__xludf.DUMMYFUNCTION("""COMPUTED_VALUE"""),"Good")</f>
        <v>Good</v>
      </c>
      <c r="AC365" t="str">
        <f>IFERROR(__xludf.DUMMYFUNCTION("""COMPUTED_VALUE"""),"Good")</f>
        <v>Good</v>
      </c>
      <c r="AE365" s="11"/>
      <c r="AF365" t="s">
        <v>32</v>
      </c>
      <c r="AG365" s="17" t="s">
        <v>18</v>
      </c>
      <c r="AH365" s="12">
        <v>1540.0</v>
      </c>
      <c r="AI365" s="12" t="s">
        <v>1048</v>
      </c>
      <c r="AJ365" s="19" t="s">
        <v>1049</v>
      </c>
      <c r="AK365" s="20" t="str">
        <f>HYPERLINK("https://docs.google.com/document/d/14fkCLW9hj_7t4_UA1zwCoY5Xee29jCtOYN7O8CObxMM/edit?usp=drivesdk","Jimmy Tomazinis - 9/11/2019 7:30 AM")</f>
        <v>Jimmy Tomazinis - 9/11/2019 7:30 AM</v>
      </c>
      <c r="AL365" s="12" t="s">
        <v>1050</v>
      </c>
    </row>
    <row r="366">
      <c r="A366" s="10">
        <f>IFERROR(__xludf.DUMMYFUNCTION("""COMPUTED_VALUE"""),43719.27893309028)</f>
        <v>43719.27893</v>
      </c>
      <c r="B366" s="11" t="str">
        <f>IFERROR(__xludf.DUMMYFUNCTION("""COMPUTED_VALUE"""),"Silas Tanner")</f>
        <v>Silas Tanner</v>
      </c>
      <c r="C366" t="str">
        <f>IFERROR(__xludf.DUMMYFUNCTION("""COMPUTED_VALUE"""),"silas.tanner@flordiadep.gov")</f>
        <v>silas.tanner@flordiadep.gov</v>
      </c>
      <c r="D366" t="str">
        <f>IFERROR(__xludf.DUMMYFUNCTION("""COMPUTED_VALUE"""),"Research/Nikki")</f>
        <v>Research/Nikki</v>
      </c>
      <c r="E366" t="str">
        <f>IFERROR(__xludf.DUMMYFUNCTION("""COMPUTED_VALUE"""),"Vilano")</f>
        <v>Vilano</v>
      </c>
      <c r="F366" s="13">
        <f>IFERROR(__xludf.DUMMYFUNCTION("""COMPUTED_VALUE"""),0.2916666666678793)</f>
        <v>0.2916666667</v>
      </c>
      <c r="G366" s="14">
        <f>IFERROR(__xludf.DUMMYFUNCTION("""COMPUTED_VALUE"""),43719.0)</f>
        <v>43719</v>
      </c>
      <c r="H366" t="str">
        <f>IFERROR(__xludf.DUMMYFUNCTION("""COMPUTED_VALUE"""),"ICW Swamp Sites")</f>
        <v>ICW Swamp Sites</v>
      </c>
      <c r="I366" s="15">
        <f>IFERROR(__xludf.DUMMYFUNCTION("""COMPUTED_VALUE"""),0.020833333332120674)</f>
        <v>0.02083333333</v>
      </c>
      <c r="J366" s="16">
        <f>IFERROR(__xludf.DUMMYFUNCTION("""COMPUTED_VALUE"""),43719.04166666667)</f>
        <v>43719.04167</v>
      </c>
      <c r="K366" t="str">
        <f>IFERROR(__xludf.DUMMYFUNCTION("""COMPUTED_VALUE"""),"23ft Skiff (Bertha) FL7972LJ DEP07613")</f>
        <v>23ft Skiff (Bertha) FL7972LJ DEP07613</v>
      </c>
      <c r="M366" t="str">
        <f>IFERROR(__xludf.DUMMYFUNCTION("""COMPUTED_VALUE"""),"Ford F250 2017 (Moby Dix) - DEP0021578")</f>
        <v>Ford F250 2017 (Moby Dix) - DEP0021578</v>
      </c>
      <c r="N366" t="str">
        <f>IFERROR(__xludf.DUMMYFUNCTION("""COMPUTED_VALUE"""),"Silas Tanner, (904) 483-8423")</f>
        <v>Silas Tanner, (904) 483-8423</v>
      </c>
      <c r="O366" t="str">
        <f>IFERROR(__xludf.DUMMYFUNCTION("""COMPUTED_VALUE"""),"Alee knoell, Jeff finnan")</f>
        <v>Alee knoell, Jeff finnan</v>
      </c>
      <c r="P366" t="str">
        <f>IFERROR(__xludf.DUMMYFUNCTION("""COMPUTED_VALUE"""),"Silas tanner")</f>
        <v>Silas tanner</v>
      </c>
      <c r="Q366" t="str">
        <f>IFERROR(__xludf.DUMMYFUNCTION("""COMPUTED_VALUE"""),"Good")</f>
        <v>Good</v>
      </c>
      <c r="R366" t="str">
        <f>IFERROR(__xludf.DUMMYFUNCTION("""COMPUTED_VALUE"""),"Good")</f>
        <v>Good</v>
      </c>
      <c r="S366" t="str">
        <f>IFERROR(__xludf.DUMMYFUNCTION("""COMPUTED_VALUE"""),"Good")</f>
        <v>Good</v>
      </c>
      <c r="T366" t="str">
        <f>IFERROR(__xludf.DUMMYFUNCTION("""COMPUTED_VALUE"""),"Good")</f>
        <v>Good</v>
      </c>
      <c r="U366" t="str">
        <f>IFERROR(__xludf.DUMMYFUNCTION("""COMPUTED_VALUE"""),"Good")</f>
        <v>Good</v>
      </c>
      <c r="V366" t="str">
        <f>IFERROR(__xludf.DUMMYFUNCTION("""COMPUTED_VALUE"""),"Good")</f>
        <v>Good</v>
      </c>
      <c r="W366" t="str">
        <f>IFERROR(__xludf.DUMMYFUNCTION("""COMPUTED_VALUE"""),"Good")</f>
        <v>Good</v>
      </c>
      <c r="X366" t="str">
        <f>IFERROR(__xludf.DUMMYFUNCTION("""COMPUTED_VALUE"""),"Good")</f>
        <v>Good</v>
      </c>
      <c r="Y366" t="str">
        <f>IFERROR(__xludf.DUMMYFUNCTION("""COMPUTED_VALUE"""),"Good")</f>
        <v>Good</v>
      </c>
      <c r="Z366" t="str">
        <f>IFERROR(__xludf.DUMMYFUNCTION("""COMPUTED_VALUE"""),"Good")</f>
        <v>Good</v>
      </c>
      <c r="AA366" t="str">
        <f>IFERROR(__xludf.DUMMYFUNCTION("""COMPUTED_VALUE"""),"Good")</f>
        <v>Good</v>
      </c>
      <c r="AB366" t="str">
        <f>IFERROR(__xludf.DUMMYFUNCTION("""COMPUTED_VALUE"""),"Good")</f>
        <v>Good</v>
      </c>
      <c r="AC366" t="str">
        <f>IFERROR(__xludf.DUMMYFUNCTION("""COMPUTED_VALUE"""),"Good")</f>
        <v>Good</v>
      </c>
      <c r="AE366" s="11"/>
      <c r="AF366" t="s">
        <v>218</v>
      </c>
      <c r="AG366" s="17" t="s">
        <v>18</v>
      </c>
      <c r="AH366" s="12">
        <v>1105.0</v>
      </c>
      <c r="AI366" s="12" t="s">
        <v>1051</v>
      </c>
      <c r="AJ366" s="19" t="s">
        <v>1052</v>
      </c>
      <c r="AK366" s="20" t="str">
        <f>HYPERLINK("https://docs.google.com/document/d/1PicdNXXQZ-9U5WxAltsBvLegzKfGcnA5Rh_W_l0A7Ss/edit?usp=drivesdk","Silas Tanner - 9/11/2019 7:00 AM")</f>
        <v>Silas Tanner - 9/11/2019 7:00 AM</v>
      </c>
      <c r="AL366" s="12" t="s">
        <v>1053</v>
      </c>
    </row>
    <row r="367">
      <c r="A367" s="10">
        <f>IFERROR(__xludf.DUMMYFUNCTION("""COMPUTED_VALUE"""),43724.26830996528)</f>
        <v>43724.26831</v>
      </c>
      <c r="B367" s="11" t="str">
        <f>IFERROR(__xludf.DUMMYFUNCTION("""COMPUTED_VALUE"""),"Pamela Marcum")</f>
        <v>Pamela Marcum</v>
      </c>
      <c r="C367" t="str">
        <f>IFERROR(__xludf.DUMMYFUNCTION("""COMPUTED_VALUE"""),"Pamela.Marcum@floridadep.gov")</f>
        <v>Pamela.Marcum@floridadep.gov</v>
      </c>
      <c r="D367" t="str">
        <f>IFERROR(__xludf.DUMMYFUNCTION("""COMPUTED_VALUE"""),"Research/Nikki")</f>
        <v>Research/Nikki</v>
      </c>
      <c r="E367" t="str">
        <f>IFERROR(__xludf.DUMMYFUNCTION("""COMPUTED_VALUE"""),"Faver-Dykes")</f>
        <v>Faver-Dykes</v>
      </c>
      <c r="F367" s="13">
        <f>IFERROR(__xludf.DUMMYFUNCTION("""COMPUTED_VALUE"""),0.3125)</f>
        <v>0.3125</v>
      </c>
      <c r="G367" s="14">
        <f>IFERROR(__xludf.DUMMYFUNCTION("""COMPUTED_VALUE"""),43724.0)</f>
        <v>43724</v>
      </c>
      <c r="H367" t="str">
        <f>IFERROR(__xludf.DUMMYFUNCTION("""COMPUTED_VALUE"""),"Pellicer Creek")</f>
        <v>Pellicer Creek</v>
      </c>
      <c r="I367" s="15">
        <f>IFERROR(__xludf.DUMMYFUNCTION("""COMPUTED_VALUE"""),0.5833333333321207)</f>
        <v>0.5833333333</v>
      </c>
      <c r="J367" s="16">
        <f>IFERROR(__xludf.DUMMYFUNCTION("""COMPUTED_VALUE"""),43724.625)</f>
        <v>43724.625</v>
      </c>
      <c r="K367" t="str">
        <f>IFERROR(__xludf.DUMMYFUNCTION("""COMPUTED_VALUE"""),"17ft Skill FL0642GW DEP07239")</f>
        <v>17ft Skill FL0642GW DEP07239</v>
      </c>
      <c r="M367" t="str">
        <f>IFERROR(__xludf.DUMMYFUNCTION("""COMPUTED_VALUE"""),"Ford F150 2008 - DEP18041 (SWMP Thing)")</f>
        <v>Ford F150 2008 - DEP18041 (SWMP Thing)</v>
      </c>
      <c r="N367" t="str">
        <f>IFERROR(__xludf.DUMMYFUNCTION("""COMPUTED_VALUE"""),"Pam Marcum, (480) 332-5414")</f>
        <v>Pam Marcum, (480) 332-5414</v>
      </c>
      <c r="O367" t="str">
        <f>IFERROR(__xludf.DUMMYFUNCTION("""COMPUTED_VALUE"""),"Jay Leighton")</f>
        <v>Jay Leighton</v>
      </c>
      <c r="P367" t="str">
        <f>IFERROR(__xludf.DUMMYFUNCTION("""COMPUTED_VALUE"""),"Pam")</f>
        <v>Pam</v>
      </c>
      <c r="Q367" t="str">
        <f>IFERROR(__xludf.DUMMYFUNCTION("""COMPUTED_VALUE"""),"Good")</f>
        <v>Good</v>
      </c>
      <c r="R367" t="str">
        <f>IFERROR(__xludf.DUMMYFUNCTION("""COMPUTED_VALUE"""),"Good")</f>
        <v>Good</v>
      </c>
      <c r="S367" t="str">
        <f>IFERROR(__xludf.DUMMYFUNCTION("""COMPUTED_VALUE"""),"Good")</f>
        <v>Good</v>
      </c>
      <c r="T367" t="str">
        <f>IFERROR(__xludf.DUMMYFUNCTION("""COMPUTED_VALUE"""),"Good")</f>
        <v>Good</v>
      </c>
      <c r="U367" t="str">
        <f>IFERROR(__xludf.DUMMYFUNCTION("""COMPUTED_VALUE"""),"Good")</f>
        <v>Good</v>
      </c>
      <c r="V367" t="str">
        <f>IFERROR(__xludf.DUMMYFUNCTION("""COMPUTED_VALUE"""),"Good")</f>
        <v>Good</v>
      </c>
      <c r="W367" t="str">
        <f>IFERROR(__xludf.DUMMYFUNCTION("""COMPUTED_VALUE"""),"Good")</f>
        <v>Good</v>
      </c>
      <c r="X367" t="str">
        <f>IFERROR(__xludf.DUMMYFUNCTION("""COMPUTED_VALUE"""),"Good")</f>
        <v>Good</v>
      </c>
      <c r="Y367" t="str">
        <f>IFERROR(__xludf.DUMMYFUNCTION("""COMPUTED_VALUE"""),"Good")</f>
        <v>Good</v>
      </c>
      <c r="Z367" t="str">
        <f>IFERROR(__xludf.DUMMYFUNCTION("""COMPUTED_VALUE"""),"Good")</f>
        <v>Good</v>
      </c>
      <c r="AA367" t="str">
        <f>IFERROR(__xludf.DUMMYFUNCTION("""COMPUTED_VALUE"""),"Good")</f>
        <v>Good</v>
      </c>
      <c r="AB367" t="str">
        <f>IFERROR(__xludf.DUMMYFUNCTION("""COMPUTED_VALUE"""),"Good")</f>
        <v>Good</v>
      </c>
      <c r="AC367" t="str">
        <f>IFERROR(__xludf.DUMMYFUNCTION("""COMPUTED_VALUE"""),"Good")</f>
        <v>Good</v>
      </c>
      <c r="AE367" s="11"/>
      <c r="AF367" t="s">
        <v>218</v>
      </c>
      <c r="AG367" s="17" t="s">
        <v>18</v>
      </c>
      <c r="AH367" s="12">
        <v>1130.0</v>
      </c>
      <c r="AI367" s="12" t="s">
        <v>1054</v>
      </c>
      <c r="AJ367" s="19" t="s">
        <v>1055</v>
      </c>
      <c r="AK367" s="20" t="str">
        <f>HYPERLINK("https://docs.google.com/document/d/113DLTrCCyaw_Y3on57xBfNQ45zZm907eJeve6z6J0rk/edit?usp=drivesdk","Pamela Marcum - 9/16/2019 7:30 AM")</f>
        <v>Pamela Marcum - 9/16/2019 7:30 AM</v>
      </c>
      <c r="AL367" s="12" t="s">
        <v>1056</v>
      </c>
    </row>
    <row r="368">
      <c r="A368" s="10">
        <f>IFERROR(__xludf.DUMMYFUNCTION("""COMPUTED_VALUE"""),43724.687475196755)</f>
        <v>43724.68748</v>
      </c>
      <c r="B368" s="11" t="str">
        <f>IFERROR(__xludf.DUMMYFUNCTION("""COMPUTED_VALUE"""),"Jimmy Tomazinis")</f>
        <v>Jimmy Tomazinis</v>
      </c>
      <c r="C368" t="str">
        <f>IFERROR(__xludf.DUMMYFUNCTION("""COMPUTED_VALUE"""),"james.tomazinis@floridadep.gov")</f>
        <v>james.tomazinis@floridadep.gov</v>
      </c>
      <c r="D368" t="str">
        <f>IFERROR(__xludf.DUMMYFUNCTION("""COMPUTED_VALUE"""),"Stewardship (Aquatic)")</f>
        <v>Stewardship (Aquatic)</v>
      </c>
      <c r="E368" t="str">
        <f>IFERROR(__xludf.DUMMYFUNCTION("""COMPUTED_VALUE"""),"Vilano")</f>
        <v>Vilano</v>
      </c>
      <c r="F368" s="13">
        <f>IFERROR(__xludf.DUMMYFUNCTION("""COMPUTED_VALUE"""),0.3854166666678793)</f>
        <v>0.3854166667</v>
      </c>
      <c r="G368" s="14">
        <f>IFERROR(__xludf.DUMMYFUNCTION("""COMPUTED_VALUE"""),33133.0)</f>
        <v>33133</v>
      </c>
      <c r="H368" t="str">
        <f>IFERROR(__xludf.DUMMYFUNCTION("""COMPUTED_VALUE"""),"Tolomato Nekton sites")</f>
        <v>Tolomato Nekton sites</v>
      </c>
      <c r="I368" s="15">
        <f>IFERROR(__xludf.DUMMYFUNCTION("""COMPUTED_VALUE"""),0.6666666666678793)</f>
        <v>0.6666666667</v>
      </c>
      <c r="J368" s="16"/>
      <c r="K368" t="str">
        <f>IFERROR(__xludf.DUMMYFUNCTION("""COMPUTED_VALUE"""),"23ft Skiff (Bertha) FL7972LJ DEP07613")</f>
        <v>23ft Skiff (Bertha) FL7972LJ DEP07613</v>
      </c>
      <c r="M368" t="str">
        <f>IFERROR(__xludf.DUMMYFUNCTION("""COMPUTED_VALUE"""),"Ford F150 2015 (White) - DEP21448")</f>
        <v>Ford F150 2015 (White) - DEP21448</v>
      </c>
      <c r="N368" t="str">
        <f>IFERROR(__xludf.DUMMYFUNCTION("""COMPUTED_VALUE"""),"Jimmy Tomazinis, (904) 547-0094")</f>
        <v>Jimmy Tomazinis, (904) 547-0094</v>
      </c>
      <c r="O368" t="str">
        <f>IFERROR(__xludf.DUMMYFUNCTION("""COMPUTED_VALUE"""),"Ed, Diane, Jackie, Jeff")</f>
        <v>Ed, Diane, Jackie, Jeff</v>
      </c>
      <c r="P368" t="str">
        <f>IFERROR(__xludf.DUMMYFUNCTION("""COMPUTED_VALUE"""),"Jimmy")</f>
        <v>Jimmy</v>
      </c>
      <c r="Q368" t="str">
        <f>IFERROR(__xludf.DUMMYFUNCTION("""COMPUTED_VALUE"""),"Good")</f>
        <v>Good</v>
      </c>
      <c r="R368" t="str">
        <f>IFERROR(__xludf.DUMMYFUNCTION("""COMPUTED_VALUE"""),"Good")</f>
        <v>Good</v>
      </c>
      <c r="S368" t="str">
        <f>IFERROR(__xludf.DUMMYFUNCTION("""COMPUTED_VALUE"""),"Good")</f>
        <v>Good</v>
      </c>
      <c r="T368" t="str">
        <f>IFERROR(__xludf.DUMMYFUNCTION("""COMPUTED_VALUE"""),"Good")</f>
        <v>Good</v>
      </c>
      <c r="U368" t="str">
        <f>IFERROR(__xludf.DUMMYFUNCTION("""COMPUTED_VALUE"""),"Good")</f>
        <v>Good</v>
      </c>
      <c r="V368" t="str">
        <f>IFERROR(__xludf.DUMMYFUNCTION("""COMPUTED_VALUE"""),"Good")</f>
        <v>Good</v>
      </c>
      <c r="W368" t="str">
        <f>IFERROR(__xludf.DUMMYFUNCTION("""COMPUTED_VALUE"""),"Good")</f>
        <v>Good</v>
      </c>
      <c r="X368" t="str">
        <f>IFERROR(__xludf.DUMMYFUNCTION("""COMPUTED_VALUE"""),"Good")</f>
        <v>Good</v>
      </c>
      <c r="Y368" t="str">
        <f>IFERROR(__xludf.DUMMYFUNCTION("""COMPUTED_VALUE"""),"Good")</f>
        <v>Good</v>
      </c>
      <c r="Z368" t="str">
        <f>IFERROR(__xludf.DUMMYFUNCTION("""COMPUTED_VALUE"""),"Good")</f>
        <v>Good</v>
      </c>
      <c r="AA368" t="str">
        <f>IFERROR(__xludf.DUMMYFUNCTION("""COMPUTED_VALUE"""),"Good")</f>
        <v>Good</v>
      </c>
      <c r="AB368" t="str">
        <f>IFERROR(__xludf.DUMMYFUNCTION("""COMPUTED_VALUE"""),"Good")</f>
        <v>Good</v>
      </c>
      <c r="AC368" t="str">
        <f>IFERROR(__xludf.DUMMYFUNCTION("""COMPUTED_VALUE"""),"Good")</f>
        <v>Good</v>
      </c>
      <c r="AE368" s="11"/>
      <c r="AF368" t="s">
        <v>32</v>
      </c>
      <c r="AG368" s="17" t="s">
        <v>18</v>
      </c>
      <c r="AH368" s="12">
        <v>1635.0</v>
      </c>
      <c r="AI368" s="12" t="s">
        <v>1057</v>
      </c>
      <c r="AJ368" s="19" t="s">
        <v>1058</v>
      </c>
      <c r="AK368" s="20" t="str">
        <f>HYPERLINK("https://docs.google.com/document/d/1llt-6l9NzJX6gjQSBbMbdkVYI69LprJx27c3azv2kbo/edit?usp=drivesdk","Jimmy Tomazinis - 9/17/1990 9:15 AM")</f>
        <v>Jimmy Tomazinis - 9/17/1990 9:15 AM</v>
      </c>
      <c r="AL368" s="12" t="s">
        <v>1059</v>
      </c>
    </row>
    <row r="369">
      <c r="A369" s="10">
        <f>IFERROR(__xludf.DUMMYFUNCTION("""COMPUTED_VALUE"""),43725.310827511574)</f>
        <v>43725.31083</v>
      </c>
      <c r="B369" s="11" t="str">
        <f>IFERROR(__xludf.DUMMYFUNCTION("""COMPUTED_VALUE"""),"Pamela Marcum")</f>
        <v>Pamela Marcum</v>
      </c>
      <c r="C369" t="str">
        <f>IFERROR(__xludf.DUMMYFUNCTION("""COMPUTED_VALUE"""),"Pamela.Marcum@floridadep.gov")</f>
        <v>Pamela.Marcum@floridadep.gov</v>
      </c>
      <c r="D369" t="str">
        <f>IFERROR(__xludf.DUMMYFUNCTION("""COMPUTED_VALUE"""),"Research/Nikki")</f>
        <v>Research/Nikki</v>
      </c>
      <c r="E369" t="str">
        <f>IFERROR(__xludf.DUMMYFUNCTION("""COMPUTED_VALUE"""),"Faver dykes")</f>
        <v>Faver dykes</v>
      </c>
      <c r="F369" s="13">
        <f>IFERROR(__xludf.DUMMYFUNCTION("""COMPUTED_VALUE"""),0.3020833333321207)</f>
        <v>0.3020833333</v>
      </c>
      <c r="G369" s="14">
        <f>IFERROR(__xludf.DUMMYFUNCTION("""COMPUTED_VALUE"""),43725.0)</f>
        <v>43725</v>
      </c>
      <c r="H369" t="str">
        <f>IFERROR(__xludf.DUMMYFUNCTION("""COMPUTED_VALUE"""),"Pellicer Creek")</f>
        <v>Pellicer Creek</v>
      </c>
      <c r="I369" s="15">
        <f>IFERROR(__xludf.DUMMYFUNCTION("""COMPUTED_VALUE"""),0.5416666666678793)</f>
        <v>0.5416666667</v>
      </c>
      <c r="J369" s="16">
        <f>IFERROR(__xludf.DUMMYFUNCTION("""COMPUTED_VALUE"""),43725.60416666667)</f>
        <v>43725.60417</v>
      </c>
      <c r="K369" t="str">
        <f>IFERROR(__xludf.DUMMYFUNCTION("""COMPUTED_VALUE"""),"17ft Skill FL0642GW DEP07239")</f>
        <v>17ft Skill FL0642GW DEP07239</v>
      </c>
      <c r="M369" t="str">
        <f>IFERROR(__xludf.DUMMYFUNCTION("""COMPUTED_VALUE"""),"Ford F150 2008 - DEP18041 (SWMP Thing)")</f>
        <v>Ford F150 2008 - DEP18041 (SWMP Thing)</v>
      </c>
      <c r="N369" t="str">
        <f>IFERROR(__xludf.DUMMYFUNCTION("""COMPUTED_VALUE"""),"Pam Marcum, (480) 332-5414, Remo Mondazzi")</f>
        <v>Pam Marcum, (480) 332-5414, Remo Mondazzi</v>
      </c>
      <c r="P369" t="str">
        <f>IFERROR(__xludf.DUMMYFUNCTION("""COMPUTED_VALUE"""),"Pam")</f>
        <v>Pam</v>
      </c>
      <c r="Q369" t="str">
        <f>IFERROR(__xludf.DUMMYFUNCTION("""COMPUTED_VALUE"""),"Good")</f>
        <v>Good</v>
      </c>
      <c r="R369" t="str">
        <f>IFERROR(__xludf.DUMMYFUNCTION("""COMPUTED_VALUE"""),"Good")</f>
        <v>Good</v>
      </c>
      <c r="S369" t="str">
        <f>IFERROR(__xludf.DUMMYFUNCTION("""COMPUTED_VALUE"""),"Good")</f>
        <v>Good</v>
      </c>
      <c r="T369" t="str">
        <f>IFERROR(__xludf.DUMMYFUNCTION("""COMPUTED_VALUE"""),"Good")</f>
        <v>Good</v>
      </c>
      <c r="U369" t="str">
        <f>IFERROR(__xludf.DUMMYFUNCTION("""COMPUTED_VALUE"""),"Good")</f>
        <v>Good</v>
      </c>
      <c r="V369" t="str">
        <f>IFERROR(__xludf.DUMMYFUNCTION("""COMPUTED_VALUE"""),"Good")</f>
        <v>Good</v>
      </c>
      <c r="W369" t="str">
        <f>IFERROR(__xludf.DUMMYFUNCTION("""COMPUTED_VALUE"""),"Good")</f>
        <v>Good</v>
      </c>
      <c r="X369" t="str">
        <f>IFERROR(__xludf.DUMMYFUNCTION("""COMPUTED_VALUE"""),"Good")</f>
        <v>Good</v>
      </c>
      <c r="Y369" t="str">
        <f>IFERROR(__xludf.DUMMYFUNCTION("""COMPUTED_VALUE"""),"Good")</f>
        <v>Good</v>
      </c>
      <c r="Z369" t="str">
        <f>IFERROR(__xludf.DUMMYFUNCTION("""COMPUTED_VALUE"""),"Good")</f>
        <v>Good</v>
      </c>
      <c r="AA369" t="str">
        <f>IFERROR(__xludf.DUMMYFUNCTION("""COMPUTED_VALUE"""),"Good")</f>
        <v>Good</v>
      </c>
      <c r="AB369" t="str">
        <f>IFERROR(__xludf.DUMMYFUNCTION("""COMPUTED_VALUE"""),"Good")</f>
        <v>Good</v>
      </c>
      <c r="AC369" t="str">
        <f>IFERROR(__xludf.DUMMYFUNCTION("""COMPUTED_VALUE"""),"Good")</f>
        <v>Good</v>
      </c>
      <c r="AE369" s="11"/>
      <c r="AF369" t="s">
        <v>218</v>
      </c>
      <c r="AG369" s="17" t="s">
        <v>60</v>
      </c>
      <c r="AH369" s="12">
        <v>1200.0</v>
      </c>
      <c r="AI369" s="12" t="s">
        <v>1060</v>
      </c>
      <c r="AJ369" s="19" t="s">
        <v>1061</v>
      </c>
      <c r="AK369" s="20" t="str">
        <f>HYPERLINK("https://docs.google.com/document/d/1CvkBjFbxX2vq9UR6Nu2rTcNsfr1a8UDMyRu0D7wuXhg/edit?usp=drivesdk","Pamela Marcum - 9/17/2019 7:15 AM")</f>
        <v>Pamela Marcum - 9/17/2019 7:15 AM</v>
      </c>
      <c r="AL369" s="12" t="s">
        <v>1062</v>
      </c>
    </row>
    <row r="370">
      <c r="A370" s="10">
        <f>IFERROR(__xludf.DUMMYFUNCTION("""COMPUTED_VALUE"""),43725.41551450231)</f>
        <v>43725.41551</v>
      </c>
      <c r="B370" s="11" t="str">
        <f>IFERROR(__xludf.DUMMYFUNCTION("""COMPUTED_VALUE"""),"Shannon Dunnigan")</f>
        <v>Shannon Dunnigan</v>
      </c>
      <c r="C370" t="str">
        <f>IFERROR(__xludf.DUMMYFUNCTION("""COMPUTED_VALUE"""),"shannon.dunnigan@dep.state.fl.us")</f>
        <v>shannon.dunnigan@dep.state.fl.us</v>
      </c>
      <c r="D370" t="str">
        <f>IFERROR(__xludf.DUMMYFUNCTION("""COMPUTED_VALUE"""),"Research/Nikki")</f>
        <v>Research/Nikki</v>
      </c>
      <c r="E370" t="str">
        <f>IFERROR(__xludf.DUMMYFUNCTION("""COMPUTED_VALUE"""),"Faver-Dykes")</f>
        <v>Faver-Dykes</v>
      </c>
      <c r="F370" s="13">
        <f>IFERROR(__xludf.DUMMYFUNCTION("""COMPUTED_VALUE"""),0.4270833333321207)</f>
        <v>0.4270833333</v>
      </c>
      <c r="G370" s="14">
        <f>IFERROR(__xludf.DUMMYFUNCTION("""COMPUTED_VALUE"""),43725.0)</f>
        <v>43725</v>
      </c>
      <c r="H370" t="str">
        <f>IFERROR(__xludf.DUMMYFUNCTION("""COMPUTED_VALUE"""),"Pellicer flats")</f>
        <v>Pellicer flats</v>
      </c>
      <c r="I370" s="15">
        <f>IFERROR(__xludf.DUMMYFUNCTION("""COMPUTED_VALUE"""),0.5416666666678793)</f>
        <v>0.5416666667</v>
      </c>
      <c r="J370" s="16">
        <f>IFERROR(__xludf.DUMMYFUNCTION("""COMPUTED_VALUE"""),43725.625)</f>
        <v>43725.625</v>
      </c>
      <c r="K370" t="str">
        <f>IFERROR(__xludf.DUMMYFUNCTION("""COMPUTED_VALUE"""),"20ft Sea Ark FL5351SJ UNF 2015")</f>
        <v>20ft Sea Ark FL5351SJ UNF 2015</v>
      </c>
      <c r="M370" t="str">
        <f>IFERROR(__xludf.DUMMYFUNCTION("""COMPUTED_VALUE"""),"Ford F250 2017 (Moby Dix) - DEP0021578")</f>
        <v>Ford F250 2017 (Moby Dix) - DEP0021578</v>
      </c>
      <c r="N370" t="str">
        <f>IFERROR(__xludf.DUMMYFUNCTION("""COMPUTED_VALUE"""),"Shannon Dunnigan, (803) 727-5734, Silas Tanner, (904) 483-8423")</f>
        <v>Shannon Dunnigan, (803) 727-5734, Silas Tanner, (904) 483-8423</v>
      </c>
      <c r="O370" t="str">
        <f>IFERROR(__xludf.DUMMYFUNCTION("""COMPUTED_VALUE"""),"Casey McClure")</f>
        <v>Casey McClure</v>
      </c>
      <c r="P370" t="str">
        <f>IFERROR(__xludf.DUMMYFUNCTION("""COMPUTED_VALUE"""),"Shannon")</f>
        <v>Shannon</v>
      </c>
      <c r="Q370" t="str">
        <f>IFERROR(__xludf.DUMMYFUNCTION("""COMPUTED_VALUE"""),"Good")</f>
        <v>Good</v>
      </c>
      <c r="R370" t="str">
        <f>IFERROR(__xludf.DUMMYFUNCTION("""COMPUTED_VALUE"""),"Good")</f>
        <v>Good</v>
      </c>
      <c r="S370" t="str">
        <f>IFERROR(__xludf.DUMMYFUNCTION("""COMPUTED_VALUE"""),"Good")</f>
        <v>Good</v>
      </c>
      <c r="T370" t="str">
        <f>IFERROR(__xludf.DUMMYFUNCTION("""COMPUTED_VALUE"""),"Good")</f>
        <v>Good</v>
      </c>
      <c r="U370" t="str">
        <f>IFERROR(__xludf.DUMMYFUNCTION("""COMPUTED_VALUE"""),"Good")</f>
        <v>Good</v>
      </c>
      <c r="V370" t="str">
        <f>IFERROR(__xludf.DUMMYFUNCTION("""COMPUTED_VALUE"""),"Good")</f>
        <v>Good</v>
      </c>
      <c r="W370" t="str">
        <f>IFERROR(__xludf.DUMMYFUNCTION("""COMPUTED_VALUE"""),"Good")</f>
        <v>Good</v>
      </c>
      <c r="X370" t="str">
        <f>IFERROR(__xludf.DUMMYFUNCTION("""COMPUTED_VALUE"""),"Good")</f>
        <v>Good</v>
      </c>
      <c r="Y370" t="str">
        <f>IFERROR(__xludf.DUMMYFUNCTION("""COMPUTED_VALUE"""),"Good")</f>
        <v>Good</v>
      </c>
      <c r="Z370" t="str">
        <f>IFERROR(__xludf.DUMMYFUNCTION("""COMPUTED_VALUE"""),"Good")</f>
        <v>Good</v>
      </c>
      <c r="AA370" t="str">
        <f>IFERROR(__xludf.DUMMYFUNCTION("""COMPUTED_VALUE"""),"Good")</f>
        <v>Good</v>
      </c>
      <c r="AB370" t="str">
        <f>IFERROR(__xludf.DUMMYFUNCTION("""COMPUTED_VALUE"""),"Good")</f>
        <v>Good</v>
      </c>
      <c r="AC370" t="str">
        <f>IFERROR(__xludf.DUMMYFUNCTION("""COMPUTED_VALUE"""),"Good")</f>
        <v>Good</v>
      </c>
      <c r="AE370" s="11"/>
      <c r="AF370" t="s">
        <v>218</v>
      </c>
      <c r="AG370" s="17" t="s">
        <v>18</v>
      </c>
      <c r="AH370" s="12">
        <v>1140.0</v>
      </c>
      <c r="AI370" s="12" t="s">
        <v>1063</v>
      </c>
      <c r="AJ370" s="19" t="s">
        <v>1064</v>
      </c>
      <c r="AK370" s="20" t="str">
        <f>HYPERLINK("https://docs.google.com/document/d/11x0CkR3ktEFIujcLW_1aRWhBz7-fh-ehKWEqiRQ6-Bs/edit?usp=drivesdk","Shannon Dunnigan - 9/17/2019 10:15 AM")</f>
        <v>Shannon Dunnigan - 9/17/2019 10:15 AM</v>
      </c>
      <c r="AL370" s="12" t="s">
        <v>1065</v>
      </c>
    </row>
    <row r="371">
      <c r="A371" s="10">
        <f>IFERROR(__xludf.DUMMYFUNCTION("""COMPUTED_VALUE"""),43726.268008067134)</f>
        <v>43726.26801</v>
      </c>
      <c r="B371" s="11" t="str">
        <f>IFERROR(__xludf.DUMMYFUNCTION("""COMPUTED_VALUE"""),"Pam Marcum")</f>
        <v>Pam Marcum</v>
      </c>
      <c r="C371" t="str">
        <f>IFERROR(__xludf.DUMMYFUNCTION("""COMPUTED_VALUE"""),"Pamela.Marcum@floridadep.gov")</f>
        <v>Pamela.Marcum@floridadep.gov</v>
      </c>
      <c r="D371" t="str">
        <f>IFERROR(__xludf.DUMMYFUNCTION("""COMPUTED_VALUE"""),"Research/Nikki")</f>
        <v>Research/Nikki</v>
      </c>
      <c r="E371" t="str">
        <f>IFERROR(__xludf.DUMMYFUNCTION("""COMPUTED_VALUE"""),"Faver-Dykes")</f>
        <v>Faver-Dykes</v>
      </c>
      <c r="F371" s="13">
        <f>IFERROR(__xludf.DUMMYFUNCTION("""COMPUTED_VALUE"""),0.3125)</f>
        <v>0.3125</v>
      </c>
      <c r="G371" s="14">
        <f>IFERROR(__xludf.DUMMYFUNCTION("""COMPUTED_VALUE"""),43726.0)</f>
        <v>43726</v>
      </c>
      <c r="H371" t="str">
        <f>IFERROR(__xludf.DUMMYFUNCTION("""COMPUTED_VALUE"""),"Pellicer Creek")</f>
        <v>Pellicer Creek</v>
      </c>
      <c r="I371" s="15">
        <f>IFERROR(__xludf.DUMMYFUNCTION("""COMPUTED_VALUE"""),0.5416666666678793)</f>
        <v>0.5416666667</v>
      </c>
      <c r="J371" s="16">
        <f>IFERROR(__xludf.DUMMYFUNCTION("""COMPUTED_VALUE"""),43726.60416666667)</f>
        <v>43726.60417</v>
      </c>
      <c r="K371" t="str">
        <f>IFERROR(__xludf.DUMMYFUNCTION("""COMPUTED_VALUE"""),"17ft Skill FL0642GW DEP07239")</f>
        <v>17ft Skill FL0642GW DEP07239</v>
      </c>
      <c r="M371" t="str">
        <f>IFERROR(__xludf.DUMMYFUNCTION("""COMPUTED_VALUE"""),"Ford F150 2008 - DEP18041 (SWMP Thing)")</f>
        <v>Ford F150 2008 - DEP18041 (SWMP Thing)</v>
      </c>
      <c r="N371" t="str">
        <f>IFERROR(__xludf.DUMMYFUNCTION("""COMPUTED_VALUE"""),"Pam Marcum, (480) 332-5414")</f>
        <v>Pam Marcum, (480) 332-5414</v>
      </c>
      <c r="O371" t="str">
        <f>IFERROR(__xludf.DUMMYFUNCTION("""COMPUTED_VALUE"""),"Jay Leighton")</f>
        <v>Jay Leighton</v>
      </c>
      <c r="P371" t="str">
        <f>IFERROR(__xludf.DUMMYFUNCTION("""COMPUTED_VALUE"""),"Pam")</f>
        <v>Pam</v>
      </c>
      <c r="Q371" t="str">
        <f>IFERROR(__xludf.DUMMYFUNCTION("""COMPUTED_VALUE"""),"Good")</f>
        <v>Good</v>
      </c>
      <c r="R371" t="str">
        <f>IFERROR(__xludf.DUMMYFUNCTION("""COMPUTED_VALUE"""),"Good")</f>
        <v>Good</v>
      </c>
      <c r="S371" t="str">
        <f>IFERROR(__xludf.DUMMYFUNCTION("""COMPUTED_VALUE"""),"Good")</f>
        <v>Good</v>
      </c>
      <c r="T371" t="str">
        <f>IFERROR(__xludf.DUMMYFUNCTION("""COMPUTED_VALUE"""),"Good")</f>
        <v>Good</v>
      </c>
      <c r="U371" t="str">
        <f>IFERROR(__xludf.DUMMYFUNCTION("""COMPUTED_VALUE"""),"Good")</f>
        <v>Good</v>
      </c>
      <c r="V371" t="str">
        <f>IFERROR(__xludf.DUMMYFUNCTION("""COMPUTED_VALUE"""),"Good")</f>
        <v>Good</v>
      </c>
      <c r="W371" t="str">
        <f>IFERROR(__xludf.DUMMYFUNCTION("""COMPUTED_VALUE"""),"Good")</f>
        <v>Good</v>
      </c>
      <c r="X371" t="str">
        <f>IFERROR(__xludf.DUMMYFUNCTION("""COMPUTED_VALUE"""),"Good")</f>
        <v>Good</v>
      </c>
      <c r="Y371" t="str">
        <f>IFERROR(__xludf.DUMMYFUNCTION("""COMPUTED_VALUE"""),"Good")</f>
        <v>Good</v>
      </c>
      <c r="Z371" t="str">
        <f>IFERROR(__xludf.DUMMYFUNCTION("""COMPUTED_VALUE"""),"Good")</f>
        <v>Good</v>
      </c>
      <c r="AA371" t="str">
        <f>IFERROR(__xludf.DUMMYFUNCTION("""COMPUTED_VALUE"""),"Good")</f>
        <v>Good</v>
      </c>
      <c r="AB371" t="str">
        <f>IFERROR(__xludf.DUMMYFUNCTION("""COMPUTED_VALUE"""),"Good")</f>
        <v>Good</v>
      </c>
      <c r="AC371" t="str">
        <f>IFERROR(__xludf.DUMMYFUNCTION("""COMPUTED_VALUE"""),"Good")</f>
        <v>Good</v>
      </c>
      <c r="AE371" s="11"/>
      <c r="AF371" t="s">
        <v>218</v>
      </c>
      <c r="AG371" s="17" t="s">
        <v>18</v>
      </c>
      <c r="AH371" s="12">
        <v>1210.0</v>
      </c>
      <c r="AI371" s="12" t="s">
        <v>1066</v>
      </c>
      <c r="AJ371" s="19" t="s">
        <v>1067</v>
      </c>
      <c r="AK371" s="20" t="str">
        <f>HYPERLINK("https://docs.google.com/document/d/1waXJaaxuMbyg-WQ34-bf7iNATV2Cu-MmkLtMWtKzsvc/edit?usp=drivesdk","Pam Marcum - 9/18/2019 7:30 AM")</f>
        <v>Pam Marcum - 9/18/2019 7:30 AM</v>
      </c>
      <c r="AL371" s="12" t="s">
        <v>1068</v>
      </c>
    </row>
    <row r="372">
      <c r="A372" s="10">
        <f>IFERROR(__xludf.DUMMYFUNCTION("""COMPUTED_VALUE"""),43726.37518136574)</f>
        <v>43726.37518</v>
      </c>
      <c r="B372" s="11" t="str">
        <f>IFERROR(__xludf.DUMMYFUNCTION("""COMPUTED_VALUE"""),"Jimmy")</f>
        <v>Jimmy</v>
      </c>
      <c r="C372" t="str">
        <f>IFERROR(__xludf.DUMMYFUNCTION("""COMPUTED_VALUE"""),"james.tomazinis@floridadep.gov")</f>
        <v>james.tomazinis@floridadep.gov</v>
      </c>
      <c r="D372" t="str">
        <f>IFERROR(__xludf.DUMMYFUNCTION("""COMPUTED_VALUE"""),"Stewardship (Aquatic)")</f>
        <v>Stewardship (Aquatic)</v>
      </c>
      <c r="E372" t="str">
        <f>IFERROR(__xludf.DUMMYFUNCTION("""COMPUTED_VALUE"""),"Vilano")</f>
        <v>Vilano</v>
      </c>
      <c r="F372" s="13">
        <f>IFERROR(__xludf.DUMMYFUNCTION("""COMPUTED_VALUE"""),0.3854166666678793)</f>
        <v>0.3854166667</v>
      </c>
      <c r="G372" s="14">
        <f>IFERROR(__xludf.DUMMYFUNCTION("""COMPUTED_VALUE"""),43726.0)</f>
        <v>43726</v>
      </c>
      <c r="H372" t="str">
        <f>IFERROR(__xludf.DUMMYFUNCTION("""COMPUTED_VALUE"""),"Nekton sites 9-20")</f>
        <v>Nekton sites 9-20</v>
      </c>
      <c r="I372" s="15">
        <f>IFERROR(__xludf.DUMMYFUNCTION("""COMPUTED_VALUE"""),0.6666666666678793)</f>
        <v>0.6666666667</v>
      </c>
      <c r="J372" s="16"/>
      <c r="K372" t="str">
        <f>IFERROR(__xludf.DUMMYFUNCTION("""COMPUTED_VALUE"""),"23ft Skiff (Bertha) FL7972LJ DEP07613")</f>
        <v>23ft Skiff (Bertha) FL7972LJ DEP07613</v>
      </c>
      <c r="M372" t="str">
        <f>IFERROR(__xludf.DUMMYFUNCTION("""COMPUTED_VALUE"""),"Ford F150 2015 (White) - DEP21448")</f>
        <v>Ford F150 2015 (White) - DEP21448</v>
      </c>
      <c r="N372" t="str">
        <f>IFERROR(__xludf.DUMMYFUNCTION("""COMPUTED_VALUE"""),"Jimmy Tomazinis, (904) 547-0094")</f>
        <v>Jimmy Tomazinis, (904) 547-0094</v>
      </c>
      <c r="O372" t="str">
        <f>IFERROR(__xludf.DUMMYFUNCTION("""COMPUTED_VALUE"""),"Scott Eastman, (904) 501-9267, Suzi, Jeff, Casey, Spencer")</f>
        <v>Scott Eastman, (904) 501-9267, Suzi, Jeff, Casey, Spencer</v>
      </c>
      <c r="P372" t="str">
        <f>IFERROR(__xludf.DUMMYFUNCTION("""COMPUTED_VALUE"""),"Jimmy ")</f>
        <v>Jimmy </v>
      </c>
      <c r="Q372" t="str">
        <f>IFERROR(__xludf.DUMMYFUNCTION("""COMPUTED_VALUE"""),"Good")</f>
        <v>Good</v>
      </c>
      <c r="R372" t="str">
        <f>IFERROR(__xludf.DUMMYFUNCTION("""COMPUTED_VALUE"""),"Good")</f>
        <v>Good</v>
      </c>
      <c r="S372" t="str">
        <f>IFERROR(__xludf.DUMMYFUNCTION("""COMPUTED_VALUE"""),"Good")</f>
        <v>Good</v>
      </c>
      <c r="T372" t="str">
        <f>IFERROR(__xludf.DUMMYFUNCTION("""COMPUTED_VALUE"""),"Good")</f>
        <v>Good</v>
      </c>
      <c r="U372" t="str">
        <f>IFERROR(__xludf.DUMMYFUNCTION("""COMPUTED_VALUE"""),"Good")</f>
        <v>Good</v>
      </c>
      <c r="V372" t="str">
        <f>IFERROR(__xludf.DUMMYFUNCTION("""COMPUTED_VALUE"""),"Good")</f>
        <v>Good</v>
      </c>
      <c r="W372" t="str">
        <f>IFERROR(__xludf.DUMMYFUNCTION("""COMPUTED_VALUE"""),"Good")</f>
        <v>Good</v>
      </c>
      <c r="X372" t="str">
        <f>IFERROR(__xludf.DUMMYFUNCTION("""COMPUTED_VALUE"""),"Good")</f>
        <v>Good</v>
      </c>
      <c r="Y372" t="str">
        <f>IFERROR(__xludf.DUMMYFUNCTION("""COMPUTED_VALUE"""),"Good")</f>
        <v>Good</v>
      </c>
      <c r="Z372" t="str">
        <f>IFERROR(__xludf.DUMMYFUNCTION("""COMPUTED_VALUE"""),"Good")</f>
        <v>Good</v>
      </c>
      <c r="AA372" t="str">
        <f>IFERROR(__xludf.DUMMYFUNCTION("""COMPUTED_VALUE"""),"Good")</f>
        <v>Good</v>
      </c>
      <c r="AB372" t="str">
        <f>IFERROR(__xludf.DUMMYFUNCTION("""COMPUTED_VALUE"""),"Good")</f>
        <v>Good</v>
      </c>
      <c r="AC372" t="str">
        <f>IFERROR(__xludf.DUMMYFUNCTION("""COMPUTED_VALUE"""),"Good")</f>
        <v>Good</v>
      </c>
      <c r="AE372" s="11"/>
      <c r="AF372" t="s">
        <v>32</v>
      </c>
      <c r="AG372" s="17" t="s">
        <v>18</v>
      </c>
      <c r="AH372" s="12">
        <v>1613.0</v>
      </c>
      <c r="AI372" s="12" t="s">
        <v>1069</v>
      </c>
      <c r="AJ372" s="19" t="s">
        <v>1070</v>
      </c>
      <c r="AK372" s="20" t="str">
        <f>HYPERLINK("https://docs.google.com/document/d/1VFwoXvxUp9esJMS9AjQJUjDLucKnSGwDdiqVmF5mxvQ/edit?usp=drivesdk","Jimmy - 9/18/2019 9:15 AM")</f>
        <v>Jimmy - 9/18/2019 9:15 AM</v>
      </c>
      <c r="AL372" s="12" t="s">
        <v>1071</v>
      </c>
    </row>
    <row r="373">
      <c r="A373" s="10">
        <f>IFERROR(__xludf.DUMMYFUNCTION("""COMPUTED_VALUE"""),43727.33444310185)</f>
        <v>43727.33444</v>
      </c>
      <c r="B373" s="11" t="str">
        <f>IFERROR(__xludf.DUMMYFUNCTION("""COMPUTED_VALUE"""),"Pamela Marcum")</f>
        <v>Pamela Marcum</v>
      </c>
      <c r="C373" t="str">
        <f>IFERROR(__xludf.DUMMYFUNCTION("""COMPUTED_VALUE"""),"Pamela.Marcum@floridadep.gov")</f>
        <v>Pamela.Marcum@floridadep.gov</v>
      </c>
      <c r="D373" t="str">
        <f>IFERROR(__xludf.DUMMYFUNCTION("""COMPUTED_VALUE"""),"Research/Nikki")</f>
        <v>Research/Nikki</v>
      </c>
      <c r="E373" t="str">
        <f>IFERROR(__xludf.DUMMYFUNCTION("""COMPUTED_VALUE"""),"Faver-Dykes")</f>
        <v>Faver-Dykes</v>
      </c>
      <c r="F373" s="13">
        <f>IFERROR(__xludf.DUMMYFUNCTION("""COMPUTED_VALUE"""),0.3229166666678793)</f>
        <v>0.3229166667</v>
      </c>
      <c r="G373" s="14">
        <f>IFERROR(__xludf.DUMMYFUNCTION("""COMPUTED_VALUE"""),43727.0)</f>
        <v>43727</v>
      </c>
      <c r="H373" t="str">
        <f>IFERROR(__xludf.DUMMYFUNCTION("""COMPUTED_VALUE"""),"Pellicer Creek")</f>
        <v>Pellicer Creek</v>
      </c>
      <c r="I373" s="15">
        <f>IFERROR(__xludf.DUMMYFUNCTION("""COMPUTED_VALUE"""),0.5416666666678793)</f>
        <v>0.5416666667</v>
      </c>
      <c r="J373" s="16">
        <f>IFERROR(__xludf.DUMMYFUNCTION("""COMPUTED_VALUE"""),43727.60416666667)</f>
        <v>43727.60417</v>
      </c>
      <c r="K373" t="str">
        <f>IFERROR(__xludf.DUMMYFUNCTION("""COMPUTED_VALUE"""),"17ft Skill FL0642GW DEP07239")</f>
        <v>17ft Skill FL0642GW DEP07239</v>
      </c>
      <c r="M373" t="str">
        <f>IFERROR(__xludf.DUMMYFUNCTION("""COMPUTED_VALUE"""),"Ford F150 2008 - DEP18041 (SWMP Thing)")</f>
        <v>Ford F150 2008 - DEP18041 (SWMP Thing)</v>
      </c>
      <c r="N373" t="str">
        <f>IFERROR(__xludf.DUMMYFUNCTION("""COMPUTED_VALUE"""),"Pam Marcum, (480) 332-5414, Remo Mondazzi")</f>
        <v>Pam Marcum, (480) 332-5414, Remo Mondazzi</v>
      </c>
      <c r="P373" t="str">
        <f>IFERROR(__xludf.DUMMYFUNCTION("""COMPUTED_VALUE"""),"Pam")</f>
        <v>Pam</v>
      </c>
      <c r="Q373" t="str">
        <f>IFERROR(__xludf.DUMMYFUNCTION("""COMPUTED_VALUE"""),"Good")</f>
        <v>Good</v>
      </c>
      <c r="R373" t="str">
        <f>IFERROR(__xludf.DUMMYFUNCTION("""COMPUTED_VALUE"""),"Good")</f>
        <v>Good</v>
      </c>
      <c r="S373" t="str">
        <f>IFERROR(__xludf.DUMMYFUNCTION("""COMPUTED_VALUE"""),"Good")</f>
        <v>Good</v>
      </c>
      <c r="T373" t="str">
        <f>IFERROR(__xludf.DUMMYFUNCTION("""COMPUTED_VALUE"""),"Good")</f>
        <v>Good</v>
      </c>
      <c r="U373" t="str">
        <f>IFERROR(__xludf.DUMMYFUNCTION("""COMPUTED_VALUE"""),"Good")</f>
        <v>Good</v>
      </c>
      <c r="V373" t="str">
        <f>IFERROR(__xludf.DUMMYFUNCTION("""COMPUTED_VALUE"""),"Good")</f>
        <v>Good</v>
      </c>
      <c r="W373" t="str">
        <f>IFERROR(__xludf.DUMMYFUNCTION("""COMPUTED_VALUE"""),"Good")</f>
        <v>Good</v>
      </c>
      <c r="X373" t="str">
        <f>IFERROR(__xludf.DUMMYFUNCTION("""COMPUTED_VALUE"""),"Good")</f>
        <v>Good</v>
      </c>
      <c r="Y373" t="str">
        <f>IFERROR(__xludf.DUMMYFUNCTION("""COMPUTED_VALUE"""),"Good")</f>
        <v>Good</v>
      </c>
      <c r="Z373" t="str">
        <f>IFERROR(__xludf.DUMMYFUNCTION("""COMPUTED_VALUE"""),"Good")</f>
        <v>Good</v>
      </c>
      <c r="AA373" t="str">
        <f>IFERROR(__xludf.DUMMYFUNCTION("""COMPUTED_VALUE"""),"Good")</f>
        <v>Good</v>
      </c>
      <c r="AB373" t="str">
        <f>IFERROR(__xludf.DUMMYFUNCTION("""COMPUTED_VALUE"""),"Good")</f>
        <v>Good</v>
      </c>
      <c r="AC373" t="str">
        <f>IFERROR(__xludf.DUMMYFUNCTION("""COMPUTED_VALUE"""),"Good")</f>
        <v>Good</v>
      </c>
      <c r="AE373" s="11"/>
      <c r="AF373" t="s">
        <v>218</v>
      </c>
      <c r="AG373" s="17" t="s">
        <v>43</v>
      </c>
      <c r="AH373" s="12">
        <v>1155.0</v>
      </c>
      <c r="AI373" s="12" t="s">
        <v>1072</v>
      </c>
      <c r="AJ373" s="19" t="s">
        <v>1073</v>
      </c>
      <c r="AK373" s="20" t="str">
        <f>HYPERLINK("https://docs.google.com/document/d/17-ejbLkrYmuOCBKs8rnXdpzSNQId2GnwAk45L75Y62U/edit?usp=drivesdk","Pamela Marcum - 9/19/2019 7:45 AM")</f>
        <v>Pamela Marcum - 9/19/2019 7:45 AM</v>
      </c>
      <c r="AL373" s="12" t="s">
        <v>1074</v>
      </c>
    </row>
    <row r="374">
      <c r="A374" s="10">
        <f>IFERROR(__xludf.DUMMYFUNCTION("""COMPUTED_VALUE"""),43727.34919997685)</f>
        <v>43727.3492</v>
      </c>
      <c r="B374" s="11" t="str">
        <f>IFERROR(__xludf.DUMMYFUNCTION("""COMPUTED_VALUE"""),"Jimmy Tomazinis")</f>
        <v>Jimmy Tomazinis</v>
      </c>
      <c r="C374" t="str">
        <f>IFERROR(__xludf.DUMMYFUNCTION("""COMPUTED_VALUE"""),"james.tomazinis@floridadep.gov")</f>
        <v>james.tomazinis@floridadep.gov</v>
      </c>
      <c r="D374" t="str">
        <f>IFERROR(__xludf.DUMMYFUNCTION("""COMPUTED_VALUE"""),"Stewardship (Aquatic)")</f>
        <v>Stewardship (Aquatic)</v>
      </c>
      <c r="E374" t="str">
        <f>IFERROR(__xludf.DUMMYFUNCTION("""COMPUTED_VALUE"""),"Bings")</f>
        <v>Bings</v>
      </c>
      <c r="F374" s="13">
        <f>IFERROR(__xludf.DUMMYFUNCTION("""COMPUTED_VALUE"""),0.4166666666678793)</f>
        <v>0.4166666667</v>
      </c>
      <c r="G374" s="14">
        <f>IFERROR(__xludf.DUMMYFUNCTION("""COMPUTED_VALUE"""),43727.0)</f>
        <v>43727</v>
      </c>
      <c r="H374" t="str">
        <f>IFERROR(__xludf.DUMMYFUNCTION("""COMPUTED_VALUE"""),"Nekton sites 15-20")</f>
        <v>Nekton sites 15-20</v>
      </c>
      <c r="I374" s="15">
        <f>IFERROR(__xludf.DUMMYFUNCTION("""COMPUTED_VALUE"""),0.6666666666678793)</f>
        <v>0.6666666667</v>
      </c>
      <c r="J374" s="16"/>
      <c r="K374" t="str">
        <f>IFERROR(__xludf.DUMMYFUNCTION("""COMPUTED_VALUE"""),"23ft Skiff (Bertha) FL7972LJ DEP07613")</f>
        <v>23ft Skiff (Bertha) FL7972LJ DEP07613</v>
      </c>
      <c r="M374" t="str">
        <f>IFERROR(__xludf.DUMMYFUNCTION("""COMPUTED_VALUE"""),"Ford F150 2015 (White) - DEP21448")</f>
        <v>Ford F150 2015 (White) - DEP21448</v>
      </c>
      <c r="N374" t="str">
        <f>IFERROR(__xludf.DUMMYFUNCTION("""COMPUTED_VALUE"""),"Jimmy Tomazinis, (904) 547-0094")</f>
        <v>Jimmy Tomazinis, (904) 547-0094</v>
      </c>
      <c r="O374" t="str">
        <f>IFERROR(__xludf.DUMMYFUNCTION("""COMPUTED_VALUE"""),"Ed, Diane, Alicia, Zach, Suzi")</f>
        <v>Ed, Diane, Alicia, Zach, Suzi</v>
      </c>
      <c r="P374" t="str">
        <f>IFERROR(__xludf.DUMMYFUNCTION("""COMPUTED_VALUE"""),"Jimmy")</f>
        <v>Jimmy</v>
      </c>
      <c r="Q374" t="str">
        <f>IFERROR(__xludf.DUMMYFUNCTION("""COMPUTED_VALUE"""),"Good")</f>
        <v>Good</v>
      </c>
      <c r="R374" t="str">
        <f>IFERROR(__xludf.DUMMYFUNCTION("""COMPUTED_VALUE"""),"Good")</f>
        <v>Good</v>
      </c>
      <c r="S374" t="str">
        <f>IFERROR(__xludf.DUMMYFUNCTION("""COMPUTED_VALUE"""),"Good")</f>
        <v>Good</v>
      </c>
      <c r="T374" t="str">
        <f>IFERROR(__xludf.DUMMYFUNCTION("""COMPUTED_VALUE"""),"Good")</f>
        <v>Good</v>
      </c>
      <c r="U374" t="str">
        <f>IFERROR(__xludf.DUMMYFUNCTION("""COMPUTED_VALUE"""),"Good")</f>
        <v>Good</v>
      </c>
      <c r="V374" t="str">
        <f>IFERROR(__xludf.DUMMYFUNCTION("""COMPUTED_VALUE"""),"Good")</f>
        <v>Good</v>
      </c>
      <c r="W374" t="str">
        <f>IFERROR(__xludf.DUMMYFUNCTION("""COMPUTED_VALUE"""),"Good")</f>
        <v>Good</v>
      </c>
      <c r="X374" t="str">
        <f>IFERROR(__xludf.DUMMYFUNCTION("""COMPUTED_VALUE"""),"Good")</f>
        <v>Good</v>
      </c>
      <c r="Y374" t="str">
        <f>IFERROR(__xludf.DUMMYFUNCTION("""COMPUTED_VALUE"""),"Good")</f>
        <v>Good</v>
      </c>
      <c r="Z374" t="str">
        <f>IFERROR(__xludf.DUMMYFUNCTION("""COMPUTED_VALUE"""),"Good")</f>
        <v>Good</v>
      </c>
      <c r="AA374" t="str">
        <f>IFERROR(__xludf.DUMMYFUNCTION("""COMPUTED_VALUE"""),"Good")</f>
        <v>Good</v>
      </c>
      <c r="AB374" t="str">
        <f>IFERROR(__xludf.DUMMYFUNCTION("""COMPUTED_VALUE"""),"Good")</f>
        <v>Good</v>
      </c>
      <c r="AC374" t="str">
        <f>IFERROR(__xludf.DUMMYFUNCTION("""COMPUTED_VALUE"""),"Good")</f>
        <v>Good</v>
      </c>
      <c r="AE374" s="11"/>
      <c r="AF374" t="s">
        <v>32</v>
      </c>
      <c r="AG374" s="17" t="s">
        <v>22</v>
      </c>
      <c r="AH374" s="12">
        <v>1550.0</v>
      </c>
      <c r="AI374" s="12" t="s">
        <v>1075</v>
      </c>
      <c r="AJ374" s="19" t="s">
        <v>1076</v>
      </c>
      <c r="AK374" s="20" t="str">
        <f>HYPERLINK("https://docs.google.com/document/d/1_ixFUqqY3pBFYyko_LJxme1mlZsxKkUiApejiVxk4Vk/edit?usp=drivesdk","Jimmy Tomazinis - 9/19/2019 10:00 AM")</f>
        <v>Jimmy Tomazinis - 9/19/2019 10:00 AM</v>
      </c>
      <c r="AL374" s="12" t="s">
        <v>1077</v>
      </c>
    </row>
    <row r="375">
      <c r="A375" s="10">
        <f>IFERROR(__xludf.DUMMYFUNCTION("""COMPUTED_VALUE"""),43727.40941795139)</f>
        <v>43727.40942</v>
      </c>
      <c r="B375" s="11" t="str">
        <f>IFERROR(__xludf.DUMMYFUNCTION("""COMPUTED_VALUE"""),"Silas Tanner")</f>
        <v>Silas Tanner</v>
      </c>
      <c r="C375" t="str">
        <f>IFERROR(__xludf.DUMMYFUNCTION("""COMPUTED_VALUE"""),"silas.tanner@floridadep.gov")</f>
        <v>silas.tanner@floridadep.gov</v>
      </c>
      <c r="D375" t="str">
        <f>IFERROR(__xludf.DUMMYFUNCTION("""COMPUTED_VALUE"""),"Research/Nikki")</f>
        <v>Research/Nikki</v>
      </c>
      <c r="E375" t="str">
        <f>IFERROR(__xludf.DUMMYFUNCTION("""COMPUTED_VALUE"""),"Faver Dykes SP")</f>
        <v>Faver Dykes SP</v>
      </c>
      <c r="F375" s="13">
        <f>IFERROR(__xludf.DUMMYFUNCTION("""COMPUTED_VALUE"""),0.40972222222262644)</f>
        <v>0.4097222222</v>
      </c>
      <c r="G375" s="14">
        <f>IFERROR(__xludf.DUMMYFUNCTION("""COMPUTED_VALUE"""),43727.0)</f>
        <v>43727</v>
      </c>
      <c r="H375" t="str">
        <f>IFERROR(__xludf.DUMMYFUNCTION("""COMPUTED_VALUE"""),"Pellicer Creek SWMP platforms")</f>
        <v>Pellicer Creek SWMP platforms</v>
      </c>
      <c r="I375" s="15">
        <f>IFERROR(__xludf.DUMMYFUNCTION("""COMPUTED_VALUE"""),0.5625)</f>
        <v>0.5625</v>
      </c>
      <c r="J375" s="16">
        <f>IFERROR(__xludf.DUMMYFUNCTION("""COMPUTED_VALUE"""),43727.60416666667)</f>
        <v>43727.60417</v>
      </c>
      <c r="K375" t="str">
        <f>IFERROR(__xludf.DUMMYFUNCTION("""COMPUTED_VALUE"""),"20ft Sea Ark FL5351SJ UNF 2015")</f>
        <v>20ft Sea Ark FL5351SJ UNF 2015</v>
      </c>
      <c r="M375" t="str">
        <f>IFERROR(__xludf.DUMMYFUNCTION("""COMPUTED_VALUE"""),"Ford F250 2017 (Moby Dix) - DEP0021578")</f>
        <v>Ford F250 2017 (Moby Dix) - DEP0021578</v>
      </c>
      <c r="N375" t="str">
        <f>IFERROR(__xludf.DUMMYFUNCTION("""COMPUTED_VALUE"""),"Shannon Dunnigan, (803) 727-5734, Silas Tanner, (904) 483-8423")</f>
        <v>Shannon Dunnigan, (803) 727-5734, Silas Tanner, (904) 483-8423</v>
      </c>
      <c r="O375" t="str">
        <f>IFERROR(__xludf.DUMMYFUNCTION("""COMPUTED_VALUE"""),"Casey McClure")</f>
        <v>Casey McClure</v>
      </c>
      <c r="P375" t="str">
        <f>IFERROR(__xludf.DUMMYFUNCTION("""COMPUTED_VALUE"""),"S. Dunnigan")</f>
        <v>S. Dunnigan</v>
      </c>
      <c r="Q375" t="str">
        <f>IFERROR(__xludf.DUMMYFUNCTION("""COMPUTED_VALUE"""),"Good")</f>
        <v>Good</v>
      </c>
      <c r="R375" t="str">
        <f>IFERROR(__xludf.DUMMYFUNCTION("""COMPUTED_VALUE"""),"Good")</f>
        <v>Good</v>
      </c>
      <c r="S375" t="str">
        <f>IFERROR(__xludf.DUMMYFUNCTION("""COMPUTED_VALUE"""),"Good")</f>
        <v>Good</v>
      </c>
      <c r="T375" t="str">
        <f>IFERROR(__xludf.DUMMYFUNCTION("""COMPUTED_VALUE"""),"Good")</f>
        <v>Good</v>
      </c>
      <c r="U375" t="str">
        <f>IFERROR(__xludf.DUMMYFUNCTION("""COMPUTED_VALUE"""),"Good")</f>
        <v>Good</v>
      </c>
      <c r="V375" t="str">
        <f>IFERROR(__xludf.DUMMYFUNCTION("""COMPUTED_VALUE"""),"Good")</f>
        <v>Good</v>
      </c>
      <c r="W375" t="str">
        <f>IFERROR(__xludf.DUMMYFUNCTION("""COMPUTED_VALUE"""),"Good")</f>
        <v>Good</v>
      </c>
      <c r="X375" t="str">
        <f>IFERROR(__xludf.DUMMYFUNCTION("""COMPUTED_VALUE"""),"Good")</f>
        <v>Good</v>
      </c>
      <c r="Y375" t="str">
        <f>IFERROR(__xludf.DUMMYFUNCTION("""COMPUTED_VALUE"""),"Good")</f>
        <v>Good</v>
      </c>
      <c r="Z375" t="str">
        <f>IFERROR(__xludf.DUMMYFUNCTION("""COMPUTED_VALUE"""),"Good")</f>
        <v>Good</v>
      </c>
      <c r="AA375" t="str">
        <f>IFERROR(__xludf.DUMMYFUNCTION("""COMPUTED_VALUE"""),"Good")</f>
        <v>Good</v>
      </c>
      <c r="AB375" t="str">
        <f>IFERROR(__xludf.DUMMYFUNCTION("""COMPUTED_VALUE"""),"Good")</f>
        <v>Good</v>
      </c>
      <c r="AC375" t="str">
        <f>IFERROR(__xludf.DUMMYFUNCTION("""COMPUTED_VALUE"""),"Good")</f>
        <v>Good</v>
      </c>
      <c r="AE375" s="11"/>
      <c r="AF375" t="s">
        <v>218</v>
      </c>
      <c r="AG375" s="17" t="s">
        <v>43</v>
      </c>
      <c r="AH375" s="12">
        <v>1155.0</v>
      </c>
      <c r="AI375" s="12" t="s">
        <v>1078</v>
      </c>
      <c r="AJ375" s="19" t="s">
        <v>1079</v>
      </c>
      <c r="AK375" s="20" t="str">
        <f>HYPERLINK("https://docs.google.com/document/d/1XcVFZzDY85Qnprn6bdjN8xHXM896AB5RZfyIW2kUNRc/edit?usp=drivesdk","Silas Tanner - 9/19/2019 9:50 AM")</f>
        <v>Silas Tanner - 9/19/2019 9:50 AM</v>
      </c>
      <c r="AL375" s="12" t="s">
        <v>1080</v>
      </c>
    </row>
    <row r="376">
      <c r="A376" s="10">
        <f>IFERROR(__xludf.DUMMYFUNCTION("""COMPUTED_VALUE"""),43728.308867962965)</f>
        <v>43728.30887</v>
      </c>
      <c r="B376" s="11" t="str">
        <f>IFERROR(__xludf.DUMMYFUNCTION("""COMPUTED_VALUE"""),"Alexandria Knoell")</f>
        <v>Alexandria Knoell</v>
      </c>
      <c r="C376" t="str">
        <f>IFERROR(__xludf.DUMMYFUNCTION("""COMPUTED_VALUE"""),"alee.knoell@floridadep.gov")</f>
        <v>alee.knoell@floridadep.gov</v>
      </c>
      <c r="D376" t="str">
        <f>IFERROR(__xludf.DUMMYFUNCTION("""COMPUTED_VALUE"""),"Research/Nikki")</f>
        <v>Research/Nikki</v>
      </c>
      <c r="E376" t="str">
        <f>IFERROR(__xludf.DUMMYFUNCTION("""COMPUTED_VALUE"""),"Vilano")</f>
        <v>Vilano</v>
      </c>
      <c r="F376" s="13">
        <f>IFERROR(__xludf.DUMMYFUNCTION("""COMPUTED_VALUE"""),0.3125)</f>
        <v>0.3125</v>
      </c>
      <c r="G376" s="14">
        <f>IFERROR(__xludf.DUMMYFUNCTION("""COMPUTED_VALUE"""),43728.0)</f>
        <v>43728</v>
      </c>
      <c r="H376" t="str">
        <f>IFERROR(__xludf.DUMMYFUNCTION("""COMPUTED_VALUE"""),"Salt run")</f>
        <v>Salt run</v>
      </c>
      <c r="I376" s="15">
        <f>IFERROR(__xludf.DUMMYFUNCTION("""COMPUTED_VALUE"""),0.5)</f>
        <v>0.5</v>
      </c>
      <c r="J376" s="16">
        <f>IFERROR(__xludf.DUMMYFUNCTION("""COMPUTED_VALUE"""),43728.54166666667)</f>
        <v>43728.54167</v>
      </c>
      <c r="K376" t="str">
        <f>IFERROR(__xludf.DUMMYFUNCTION("""COMPUTED_VALUE"""),"20ft Sea Ark FL5351SJ UNF 2015")</f>
        <v>20ft Sea Ark FL5351SJ UNF 2015</v>
      </c>
      <c r="M376" t="str">
        <f>IFERROR(__xludf.DUMMYFUNCTION("""COMPUTED_VALUE"""),"Ford F250 2017 (Moby Dix) - DEP0021578")</f>
        <v>Ford F250 2017 (Moby Dix) - DEP0021578</v>
      </c>
      <c r="N376" t="str">
        <f>IFERROR(__xludf.DUMMYFUNCTION("""COMPUTED_VALUE"""),"Remo Mondazi")</f>
        <v>Remo Mondazi</v>
      </c>
      <c r="O376" t="str">
        <f>IFERROR(__xludf.DUMMYFUNCTION("""COMPUTED_VALUE"""),"Alee Knoell")</f>
        <v>Alee Knoell</v>
      </c>
      <c r="P376" t="str">
        <f>IFERROR(__xludf.DUMMYFUNCTION("""COMPUTED_VALUE"""),"Remo Mondazi")</f>
        <v>Remo Mondazi</v>
      </c>
      <c r="Q376" t="str">
        <f>IFERROR(__xludf.DUMMYFUNCTION("""COMPUTED_VALUE"""),"Good")</f>
        <v>Good</v>
      </c>
      <c r="R376" t="str">
        <f>IFERROR(__xludf.DUMMYFUNCTION("""COMPUTED_VALUE"""),"Good")</f>
        <v>Good</v>
      </c>
      <c r="S376" t="str">
        <f>IFERROR(__xludf.DUMMYFUNCTION("""COMPUTED_VALUE"""),"Good")</f>
        <v>Good</v>
      </c>
      <c r="T376" t="str">
        <f>IFERROR(__xludf.DUMMYFUNCTION("""COMPUTED_VALUE"""),"Good")</f>
        <v>Good</v>
      </c>
      <c r="U376" t="str">
        <f>IFERROR(__xludf.DUMMYFUNCTION("""COMPUTED_VALUE"""),"Good")</f>
        <v>Good</v>
      </c>
      <c r="V376" t="str">
        <f>IFERROR(__xludf.DUMMYFUNCTION("""COMPUTED_VALUE"""),"Good")</f>
        <v>Good</v>
      </c>
      <c r="W376" t="str">
        <f>IFERROR(__xludf.DUMMYFUNCTION("""COMPUTED_VALUE"""),"Good")</f>
        <v>Good</v>
      </c>
      <c r="X376" t="str">
        <f>IFERROR(__xludf.DUMMYFUNCTION("""COMPUTED_VALUE"""),"Good")</f>
        <v>Good</v>
      </c>
      <c r="Y376" t="str">
        <f>IFERROR(__xludf.DUMMYFUNCTION("""COMPUTED_VALUE"""),"Good")</f>
        <v>Good</v>
      </c>
      <c r="Z376" t="str">
        <f>IFERROR(__xludf.DUMMYFUNCTION("""COMPUTED_VALUE"""),"Good")</f>
        <v>Good</v>
      </c>
      <c r="AA376" t="str">
        <f>IFERROR(__xludf.DUMMYFUNCTION("""COMPUTED_VALUE"""),"Good")</f>
        <v>Good</v>
      </c>
      <c r="AB376" t="str">
        <f>IFERROR(__xludf.DUMMYFUNCTION("""COMPUTED_VALUE"""),"Good")</f>
        <v>Good</v>
      </c>
      <c r="AC376" t="str">
        <f>IFERROR(__xludf.DUMMYFUNCTION("""COMPUTED_VALUE"""),"Good")</f>
        <v>Good</v>
      </c>
      <c r="AE376" s="11"/>
      <c r="AF376" t="s">
        <v>218</v>
      </c>
      <c r="AG376" s="17" t="s">
        <v>18</v>
      </c>
      <c r="AH376" s="12">
        <v>1040.0</v>
      </c>
      <c r="AI376" s="12" t="s">
        <v>1081</v>
      </c>
      <c r="AJ376" s="19" t="s">
        <v>1082</v>
      </c>
      <c r="AK376" s="20" t="str">
        <f>HYPERLINK("https://docs.google.com/document/d/17A4uRgXYnvF9AqyKS1BltihQdj9B2XvMFNMWZqS165M/edit?usp=drivesdk","Alexandria Knoell - 9/20/2019 7:30 AM")</f>
        <v>Alexandria Knoell - 9/20/2019 7:30 AM</v>
      </c>
      <c r="AL376" s="12" t="s">
        <v>1083</v>
      </c>
    </row>
    <row r="377">
      <c r="A377" s="10">
        <f>IFERROR(__xludf.DUMMYFUNCTION("""COMPUTED_VALUE"""),43731.36523236111)</f>
        <v>43731.36523</v>
      </c>
      <c r="B377" s="11" t="str">
        <f>IFERROR(__xludf.DUMMYFUNCTION("""COMPUTED_VALUE"""),"Silas Tanner")</f>
        <v>Silas Tanner</v>
      </c>
      <c r="C377" t="str">
        <f>IFERROR(__xludf.DUMMYFUNCTION("""COMPUTED_VALUE"""),"silas.tanner@floridadep.gov")</f>
        <v>silas.tanner@floridadep.gov</v>
      </c>
      <c r="D377" t="str">
        <f>IFERROR(__xludf.DUMMYFUNCTION("""COMPUTED_VALUE"""),"Research/Nikki")</f>
        <v>Research/Nikki</v>
      </c>
      <c r="E377" t="str">
        <f>IFERROR(__xludf.DUMMYFUNCTION("""COMPUTED_VALUE"""),"Palm Valley")</f>
        <v>Palm Valley</v>
      </c>
      <c r="F377" s="13">
        <f>IFERROR(__xludf.DUMMYFUNCTION("""COMPUTED_VALUE"""),0.36597222222189885)</f>
        <v>0.3659722222</v>
      </c>
      <c r="G377" s="14">
        <f>IFERROR(__xludf.DUMMYFUNCTION("""COMPUTED_VALUE"""),43731.0)</f>
        <v>43731</v>
      </c>
      <c r="H377" t="str">
        <f>IFERROR(__xludf.DUMMYFUNCTION("""COMPUTED_VALUE"""),"Pine island swmp platforms")</f>
        <v>Pine island swmp platforms</v>
      </c>
      <c r="I377" s="15">
        <f>IFERROR(__xludf.DUMMYFUNCTION("""COMPUTED_VALUE"""),0.5729166666678793)</f>
        <v>0.5729166667</v>
      </c>
      <c r="J377" s="16">
        <f>IFERROR(__xludf.DUMMYFUNCTION("""COMPUTED_VALUE"""),43731.58333333333)</f>
        <v>43731.58333</v>
      </c>
      <c r="K377" t="str">
        <f>IFERROR(__xludf.DUMMYFUNCTION("""COMPUTED_VALUE"""),"20ft Sea Ark FL5351SJ UNF 2015")</f>
        <v>20ft Sea Ark FL5351SJ UNF 2015</v>
      </c>
      <c r="M377" t="str">
        <f>IFERROR(__xludf.DUMMYFUNCTION("""COMPUTED_VALUE"""),"Ford F250 2017 (Moby Dix) - DEP0021578")</f>
        <v>Ford F250 2017 (Moby Dix) - DEP0021578</v>
      </c>
      <c r="N377" t="str">
        <f>IFERROR(__xludf.DUMMYFUNCTION("""COMPUTED_VALUE"""),"Shannon Dunnigan, (803) 727-5734, Silas Tanner, (904) 483-8423")</f>
        <v>Shannon Dunnigan, (803) 727-5734, Silas Tanner, (904) 483-8423</v>
      </c>
      <c r="O377" t="str">
        <f>IFERROR(__xludf.DUMMYFUNCTION("""COMPUTED_VALUE"""),"Sloan Stephens")</f>
        <v>Sloan Stephens</v>
      </c>
      <c r="P377" t="str">
        <f>IFERROR(__xludf.DUMMYFUNCTION("""COMPUTED_VALUE"""),"S. Dunnigan")</f>
        <v>S. Dunnigan</v>
      </c>
      <c r="Q377" t="str">
        <f>IFERROR(__xludf.DUMMYFUNCTION("""COMPUTED_VALUE"""),"Good")</f>
        <v>Good</v>
      </c>
      <c r="R377" t="str">
        <f>IFERROR(__xludf.DUMMYFUNCTION("""COMPUTED_VALUE"""),"Good")</f>
        <v>Good</v>
      </c>
      <c r="S377" t="str">
        <f>IFERROR(__xludf.DUMMYFUNCTION("""COMPUTED_VALUE"""),"Good")</f>
        <v>Good</v>
      </c>
      <c r="T377" t="str">
        <f>IFERROR(__xludf.DUMMYFUNCTION("""COMPUTED_VALUE"""),"Good")</f>
        <v>Good</v>
      </c>
      <c r="U377" t="str">
        <f>IFERROR(__xludf.DUMMYFUNCTION("""COMPUTED_VALUE"""),"Good")</f>
        <v>Good</v>
      </c>
      <c r="V377" t="str">
        <f>IFERROR(__xludf.DUMMYFUNCTION("""COMPUTED_VALUE"""),"Good")</f>
        <v>Good</v>
      </c>
      <c r="W377" t="str">
        <f>IFERROR(__xludf.DUMMYFUNCTION("""COMPUTED_VALUE"""),"Good")</f>
        <v>Good</v>
      </c>
      <c r="X377" t="str">
        <f>IFERROR(__xludf.DUMMYFUNCTION("""COMPUTED_VALUE"""),"Good")</f>
        <v>Good</v>
      </c>
      <c r="Y377" t="str">
        <f>IFERROR(__xludf.DUMMYFUNCTION("""COMPUTED_VALUE"""),"Good")</f>
        <v>Good</v>
      </c>
      <c r="Z377" t="str">
        <f>IFERROR(__xludf.DUMMYFUNCTION("""COMPUTED_VALUE"""),"Good")</f>
        <v>Good</v>
      </c>
      <c r="AA377" t="str">
        <f>IFERROR(__xludf.DUMMYFUNCTION("""COMPUTED_VALUE"""),"Good")</f>
        <v>Good</v>
      </c>
      <c r="AB377" t="str">
        <f>IFERROR(__xludf.DUMMYFUNCTION("""COMPUTED_VALUE"""),"Good")</f>
        <v>Good</v>
      </c>
      <c r="AC377" t="str">
        <f>IFERROR(__xludf.DUMMYFUNCTION("""COMPUTED_VALUE"""),"Good")</f>
        <v>Good</v>
      </c>
      <c r="AE377" s="11"/>
      <c r="AF377" t="s">
        <v>218</v>
      </c>
      <c r="AG377" s="17" t="s">
        <v>18</v>
      </c>
      <c r="AH377" s="12">
        <v>1345.0</v>
      </c>
      <c r="AI377" s="12" t="s">
        <v>1084</v>
      </c>
      <c r="AJ377" s="19" t="s">
        <v>1085</v>
      </c>
      <c r="AK377" s="20" t="str">
        <f>HYPERLINK("https://docs.google.com/document/d/1A0N0MGKq44r4WVGGlz3AGJmeioeR0rtdAgdYTyR479E/edit?usp=drivesdk","Silas Tanner - 9/23/2019 8:47 AM")</f>
        <v>Silas Tanner - 9/23/2019 8:47 AM</v>
      </c>
      <c r="AL377" s="12" t="s">
        <v>1086</v>
      </c>
    </row>
    <row r="378">
      <c r="A378" s="10">
        <f>IFERROR(__xludf.DUMMYFUNCTION("""COMPUTED_VALUE"""),43734.32605019676)</f>
        <v>43734.32605</v>
      </c>
      <c r="B378" s="11" t="str">
        <f>IFERROR(__xludf.DUMMYFUNCTION("""COMPUTED_VALUE"""),"Silas Tanner")</f>
        <v>Silas Tanner</v>
      </c>
      <c r="C378" t="str">
        <f>IFERROR(__xludf.DUMMYFUNCTION("""COMPUTED_VALUE"""),"silas.tanner@Floridadep.gov")</f>
        <v>silas.tanner@Floridadep.gov</v>
      </c>
      <c r="D378" t="str">
        <f>IFERROR(__xludf.DUMMYFUNCTION("""COMPUTED_VALUE"""),"Research/Nikki")</f>
        <v>Research/Nikki</v>
      </c>
      <c r="E378" t="str">
        <f>IFERROR(__xludf.DUMMYFUNCTION("""COMPUTED_VALUE"""),"Crane")</f>
        <v>Crane</v>
      </c>
      <c r="F378" s="13">
        <f>IFERROR(__xludf.DUMMYFUNCTION("""COMPUTED_VALUE"""),0.32638888889050577)</f>
        <v>0.3263888889</v>
      </c>
      <c r="G378" s="14">
        <f>IFERROR(__xludf.DUMMYFUNCTION("""COMPUTED_VALUE"""),43734.0)</f>
        <v>43734</v>
      </c>
      <c r="H378" t="str">
        <f>IFERROR(__xludf.DUMMYFUNCTION("""COMPUTED_VALUE"""),"ICW swmp sites")</f>
        <v>ICW swmp sites</v>
      </c>
      <c r="I378" s="15">
        <f>IFERROR(__xludf.DUMMYFUNCTION("""COMPUTED_VALUE"""),0.5625)</f>
        <v>0.5625</v>
      </c>
      <c r="J378" s="16">
        <f>IFERROR(__xludf.DUMMYFUNCTION("""COMPUTED_VALUE"""),43734.64583333333)</f>
        <v>43734.64583</v>
      </c>
      <c r="K378" t="str">
        <f>IFERROR(__xludf.DUMMYFUNCTION("""COMPUTED_VALUE"""),"23ft Skiff (Bertha) FL7972LJ DEP07613")</f>
        <v>23ft Skiff (Bertha) FL7972LJ DEP07613</v>
      </c>
      <c r="M378" t="str">
        <f>IFERROR(__xludf.DUMMYFUNCTION("""COMPUTED_VALUE"""),"Ford F250 2017 (Moby Dix) - DEP0021578")</f>
        <v>Ford F250 2017 (Moby Dix) - DEP0021578</v>
      </c>
      <c r="N378" t="str">
        <f>IFERROR(__xludf.DUMMYFUNCTION("""COMPUTED_VALUE"""),"Silas Tanner, (904) 483-8423, Remo Mondazzi")</f>
        <v>Silas Tanner, (904) 483-8423, Remo Mondazzi</v>
      </c>
      <c r="P378" t="str">
        <f>IFERROR(__xludf.DUMMYFUNCTION("""COMPUTED_VALUE"""),"S. Tanner")</f>
        <v>S. Tanner</v>
      </c>
      <c r="Q378" t="str">
        <f>IFERROR(__xludf.DUMMYFUNCTION("""COMPUTED_VALUE"""),"Good")</f>
        <v>Good</v>
      </c>
      <c r="R378" t="str">
        <f>IFERROR(__xludf.DUMMYFUNCTION("""COMPUTED_VALUE"""),"Good")</f>
        <v>Good</v>
      </c>
      <c r="S378" t="str">
        <f>IFERROR(__xludf.DUMMYFUNCTION("""COMPUTED_VALUE"""),"Good")</f>
        <v>Good</v>
      </c>
      <c r="T378" t="str">
        <f>IFERROR(__xludf.DUMMYFUNCTION("""COMPUTED_VALUE"""),"Good")</f>
        <v>Good</v>
      </c>
      <c r="U378" t="str">
        <f>IFERROR(__xludf.DUMMYFUNCTION("""COMPUTED_VALUE"""),"Good")</f>
        <v>Good</v>
      </c>
      <c r="V378" t="str">
        <f>IFERROR(__xludf.DUMMYFUNCTION("""COMPUTED_VALUE"""),"Good")</f>
        <v>Good</v>
      </c>
      <c r="W378" t="str">
        <f>IFERROR(__xludf.DUMMYFUNCTION("""COMPUTED_VALUE"""),"Good")</f>
        <v>Good</v>
      </c>
      <c r="X378" t="str">
        <f>IFERROR(__xludf.DUMMYFUNCTION("""COMPUTED_VALUE"""),"Good")</f>
        <v>Good</v>
      </c>
      <c r="Y378" t="str">
        <f>IFERROR(__xludf.DUMMYFUNCTION("""COMPUTED_VALUE"""),"Good")</f>
        <v>Good</v>
      </c>
      <c r="Z378" t="str">
        <f>IFERROR(__xludf.DUMMYFUNCTION("""COMPUTED_VALUE"""),"Good")</f>
        <v>Good</v>
      </c>
      <c r="AA378" t="str">
        <f>IFERROR(__xludf.DUMMYFUNCTION("""COMPUTED_VALUE"""),"Good")</f>
        <v>Good</v>
      </c>
      <c r="AB378" t="str">
        <f>IFERROR(__xludf.DUMMYFUNCTION("""COMPUTED_VALUE"""),"Good")</f>
        <v>Good</v>
      </c>
      <c r="AC378" t="str">
        <f>IFERROR(__xludf.DUMMYFUNCTION("""COMPUTED_VALUE"""),"Good")</f>
        <v>Good</v>
      </c>
      <c r="AE378" s="11"/>
      <c r="AF378" t="s">
        <v>218</v>
      </c>
      <c r="AG378" s="17" t="s">
        <v>43</v>
      </c>
      <c r="AH378" s="12">
        <v>1120.0</v>
      </c>
      <c r="AI378" s="12" t="s">
        <v>1087</v>
      </c>
      <c r="AJ378" s="19" t="s">
        <v>1088</v>
      </c>
      <c r="AK378" s="20" t="str">
        <f>HYPERLINK("https://docs.google.com/document/d/1yjBfH6H6zIFAi5tn-uHL0_Gz62OBYgYXcoJvx0NpG70/edit?usp=drivesdk","Silas Tanner - 9/26/2019 7:50 AM")</f>
        <v>Silas Tanner - 9/26/2019 7:50 AM</v>
      </c>
      <c r="AL378" s="12" t="s">
        <v>1089</v>
      </c>
    </row>
    <row r="379">
      <c r="A379" s="10">
        <f>IFERROR(__xludf.DUMMYFUNCTION("""COMPUTED_VALUE"""),43734.45528391204)</f>
        <v>43734.45528</v>
      </c>
      <c r="B379" s="11" t="str">
        <f>IFERROR(__xludf.DUMMYFUNCTION("""COMPUTED_VALUE"""),"Gabriela Canas")</f>
        <v>Gabriela Canas</v>
      </c>
      <c r="C379" t="str">
        <f>IFERROR(__xludf.DUMMYFUNCTION("""COMPUTED_VALUE"""),"n00836133@unf.edu")</f>
        <v>n00836133@unf.edu</v>
      </c>
      <c r="D379" t="str">
        <f>IFERROR(__xludf.DUMMYFUNCTION("""COMPUTED_VALUE"""),"Research/Nikki")</f>
        <v>Research/Nikki</v>
      </c>
      <c r="E379" t="str">
        <f>IFERROR(__xludf.DUMMYFUNCTION("""COMPUTED_VALUE"""),"Douglas crane")</f>
        <v>Douglas crane</v>
      </c>
      <c r="F379" s="13">
        <f>IFERROR(__xludf.DUMMYFUNCTION("""COMPUTED_VALUE"""),0.4583333333321207)</f>
        <v>0.4583333333</v>
      </c>
      <c r="G379" s="14">
        <f>IFERROR(__xludf.DUMMYFUNCTION("""COMPUTED_VALUE"""),43734.0)</f>
        <v>43734</v>
      </c>
      <c r="H379" t="str">
        <f>IFERROR(__xludf.DUMMYFUNCTION("""COMPUTED_VALUE"""),"Gabby creek")</f>
        <v>Gabby creek</v>
      </c>
      <c r="I379" s="15">
        <f>IFERROR(__xludf.DUMMYFUNCTION("""COMPUTED_VALUE"""),0.16666666666787933)</f>
        <v>0.1666666667</v>
      </c>
      <c r="J379" s="16">
        <f>IFERROR(__xludf.DUMMYFUNCTION("""COMPUTED_VALUE"""),43734.1875)</f>
        <v>43734.1875</v>
      </c>
      <c r="K379" t="str">
        <f>IFERROR(__xludf.DUMMYFUNCTION("""COMPUTED_VALUE"""),"20ft Sea Ark FL5351SJ UNF 2015")</f>
        <v>20ft Sea Ark FL5351SJ UNF 2015</v>
      </c>
      <c r="M379" t="str">
        <f>IFERROR(__xludf.DUMMYFUNCTION("""COMPUTED_VALUE"""),"Ford 4door dep07668")</f>
        <v>Ford 4door dep07668</v>
      </c>
      <c r="N379" t="str">
        <f>IFERROR(__xludf.DUMMYFUNCTION("""COMPUTED_VALUE"""),"Pam Marcum, (480) 332-5414")</f>
        <v>Pam Marcum, (480) 332-5414</v>
      </c>
      <c r="O379" t="str">
        <f>IFERROR(__xludf.DUMMYFUNCTION("""COMPUTED_VALUE"""),"Gabriela Canas, (904) 891-9743, Jess lee")</f>
        <v>Gabriela Canas, (904) 891-9743, Jess lee</v>
      </c>
      <c r="P379" t="str">
        <f>IFERROR(__xludf.DUMMYFUNCTION("""COMPUTED_VALUE"""),"Pam")</f>
        <v>Pam</v>
      </c>
      <c r="Q379" t="str">
        <f>IFERROR(__xludf.DUMMYFUNCTION("""COMPUTED_VALUE"""),"Good")</f>
        <v>Good</v>
      </c>
      <c r="R379" t="str">
        <f>IFERROR(__xludf.DUMMYFUNCTION("""COMPUTED_VALUE"""),"Good")</f>
        <v>Good</v>
      </c>
      <c r="S379" t="str">
        <f>IFERROR(__xludf.DUMMYFUNCTION("""COMPUTED_VALUE"""),"Good")</f>
        <v>Good</v>
      </c>
      <c r="T379" t="str">
        <f>IFERROR(__xludf.DUMMYFUNCTION("""COMPUTED_VALUE"""),"Good")</f>
        <v>Good</v>
      </c>
      <c r="U379" t="str">
        <f>IFERROR(__xludf.DUMMYFUNCTION("""COMPUTED_VALUE"""),"Good")</f>
        <v>Good</v>
      </c>
      <c r="V379" t="str">
        <f>IFERROR(__xludf.DUMMYFUNCTION("""COMPUTED_VALUE"""),"Good")</f>
        <v>Good</v>
      </c>
      <c r="W379" t="str">
        <f>IFERROR(__xludf.DUMMYFUNCTION("""COMPUTED_VALUE"""),"Good")</f>
        <v>Good</v>
      </c>
      <c r="X379" t="str">
        <f>IFERROR(__xludf.DUMMYFUNCTION("""COMPUTED_VALUE"""),"Good")</f>
        <v>Good</v>
      </c>
      <c r="Y379" t="str">
        <f>IFERROR(__xludf.DUMMYFUNCTION("""COMPUTED_VALUE"""),"Good")</f>
        <v>Good</v>
      </c>
      <c r="Z379" t="str">
        <f>IFERROR(__xludf.DUMMYFUNCTION("""COMPUTED_VALUE"""),"Good")</f>
        <v>Good</v>
      </c>
      <c r="AA379" t="str">
        <f>IFERROR(__xludf.DUMMYFUNCTION("""COMPUTED_VALUE"""),"Good")</f>
        <v>Good</v>
      </c>
      <c r="AB379" t="str">
        <f>IFERROR(__xludf.DUMMYFUNCTION("""COMPUTED_VALUE"""),"Good")</f>
        <v>Good</v>
      </c>
      <c r="AC379" t="str">
        <f>IFERROR(__xludf.DUMMYFUNCTION("""COMPUTED_VALUE"""),"Good")</f>
        <v>Good</v>
      </c>
      <c r="AE379" s="11"/>
      <c r="AF379" t="s">
        <v>218</v>
      </c>
      <c r="AG379" s="17" t="s">
        <v>43</v>
      </c>
      <c r="AH379" s="12">
        <v>1608.0</v>
      </c>
      <c r="AI379" s="12" t="s">
        <v>1090</v>
      </c>
      <c r="AJ379" s="19" t="s">
        <v>1091</v>
      </c>
      <c r="AK379" s="20" t="str">
        <f>HYPERLINK("https://docs.google.com/document/d/1bJrBzE-p53jYgZXJ7d09hgLAWsK4ad1EDQSCTIFLbx8/edit?usp=drivesdk","Gabriela Canas - 9/26/2019 11:00 AM")</f>
        <v>Gabriela Canas - 9/26/2019 11:00 AM</v>
      </c>
      <c r="AL379" s="12" t="s">
        <v>1092</v>
      </c>
    </row>
    <row r="380">
      <c r="A380" s="10">
        <f>IFERROR(__xludf.DUMMYFUNCTION("""COMPUTED_VALUE"""),43738.62739782407)</f>
        <v>43738.6274</v>
      </c>
      <c r="B380" s="11" t="str">
        <f>IFERROR(__xludf.DUMMYFUNCTION("""COMPUTED_VALUE"""),"Silas Tanner")</f>
        <v>Silas Tanner</v>
      </c>
      <c r="C380" t="str">
        <f>IFERROR(__xludf.DUMMYFUNCTION("""COMPUTED_VALUE"""),"silas.tanner@floridadep.gov")</f>
        <v>silas.tanner@floridadep.gov</v>
      </c>
      <c r="D380" t="str">
        <f>IFERROR(__xludf.DUMMYFUNCTION("""COMPUTED_VALUE"""),"Research/Nikki")</f>
        <v>Research/Nikki</v>
      </c>
      <c r="E380" t="str">
        <f>IFERROR(__xludf.DUMMYFUNCTION("""COMPUTED_VALUE"""),"Faver Dykes State Park")</f>
        <v>Faver Dykes State Park</v>
      </c>
      <c r="F380" s="13">
        <f>IFERROR(__xludf.DUMMYFUNCTION("""COMPUTED_VALUE"""),0.3020833333321207)</f>
        <v>0.3020833333</v>
      </c>
      <c r="G380" s="14">
        <f>IFERROR(__xludf.DUMMYFUNCTION("""COMPUTED_VALUE"""),43739.0)</f>
        <v>43739</v>
      </c>
      <c r="H380" t="str">
        <f>IFERROR(__xludf.DUMMYFUNCTION("""COMPUTED_VALUE"""),"Pellicer Creek SWMP platforms")</f>
        <v>Pellicer Creek SWMP platforms</v>
      </c>
      <c r="I380" s="15">
        <f>IFERROR(__xludf.DUMMYFUNCTION("""COMPUTED_VALUE"""),0.5208333333321207)</f>
        <v>0.5208333333</v>
      </c>
      <c r="J380" s="16">
        <f>IFERROR(__xludf.DUMMYFUNCTION("""COMPUTED_VALUE"""),43739.57291666667)</f>
        <v>43739.57292</v>
      </c>
      <c r="K380" t="str">
        <f>IFERROR(__xludf.DUMMYFUNCTION("""COMPUTED_VALUE"""),"20ft Sea Ark FL5351SJ UNF 2015")</f>
        <v>20ft Sea Ark FL5351SJ UNF 2015</v>
      </c>
      <c r="M380" t="str">
        <f>IFERROR(__xludf.DUMMYFUNCTION("""COMPUTED_VALUE"""),"Ford F250 2017 (Moby Dix) - DEP0021578")</f>
        <v>Ford F250 2017 (Moby Dix) - DEP0021578</v>
      </c>
      <c r="N380" t="str">
        <f>IFERROR(__xludf.DUMMYFUNCTION("""COMPUTED_VALUE"""),"Shannon Dunnigan, (803) 727-5734, Silas Tanner, (904) 483-8423")</f>
        <v>Shannon Dunnigan, (803) 727-5734, Silas Tanner, (904) 483-8423</v>
      </c>
      <c r="O380" t="str">
        <f>IFERROR(__xludf.DUMMYFUNCTION("""COMPUTED_VALUE"""),"Sloane Stephens")</f>
        <v>Sloane Stephens</v>
      </c>
      <c r="P380" t="str">
        <f>IFERROR(__xludf.DUMMYFUNCTION("""COMPUTED_VALUE"""),"S. Dunnigan")</f>
        <v>S. Dunnigan</v>
      </c>
      <c r="Q380" t="str">
        <f>IFERROR(__xludf.DUMMYFUNCTION("""COMPUTED_VALUE"""),"Good")</f>
        <v>Good</v>
      </c>
      <c r="R380" t="str">
        <f>IFERROR(__xludf.DUMMYFUNCTION("""COMPUTED_VALUE"""),"Good")</f>
        <v>Good</v>
      </c>
      <c r="S380" t="str">
        <f>IFERROR(__xludf.DUMMYFUNCTION("""COMPUTED_VALUE"""),"Good")</f>
        <v>Good</v>
      </c>
      <c r="T380" t="str">
        <f>IFERROR(__xludf.DUMMYFUNCTION("""COMPUTED_VALUE"""),"Good")</f>
        <v>Good</v>
      </c>
      <c r="U380" t="str">
        <f>IFERROR(__xludf.DUMMYFUNCTION("""COMPUTED_VALUE"""),"Good")</f>
        <v>Good</v>
      </c>
      <c r="V380" t="str">
        <f>IFERROR(__xludf.DUMMYFUNCTION("""COMPUTED_VALUE"""),"Good")</f>
        <v>Good</v>
      </c>
      <c r="W380" t="str">
        <f>IFERROR(__xludf.DUMMYFUNCTION("""COMPUTED_VALUE"""),"Good")</f>
        <v>Good</v>
      </c>
      <c r="X380" t="str">
        <f>IFERROR(__xludf.DUMMYFUNCTION("""COMPUTED_VALUE"""),"Good")</f>
        <v>Good</v>
      </c>
      <c r="Y380" t="str">
        <f>IFERROR(__xludf.DUMMYFUNCTION("""COMPUTED_VALUE"""),"Good")</f>
        <v>Good</v>
      </c>
      <c r="Z380" t="str">
        <f>IFERROR(__xludf.DUMMYFUNCTION("""COMPUTED_VALUE"""),"Good")</f>
        <v>Good</v>
      </c>
      <c r="AA380" t="str">
        <f>IFERROR(__xludf.DUMMYFUNCTION("""COMPUTED_VALUE"""),"Good")</f>
        <v>Good</v>
      </c>
      <c r="AB380" t="str">
        <f>IFERROR(__xludf.DUMMYFUNCTION("""COMPUTED_VALUE"""),"Good")</f>
        <v>Good</v>
      </c>
      <c r="AC380" t="str">
        <f>IFERROR(__xludf.DUMMYFUNCTION("""COMPUTED_VALUE"""),"Good")</f>
        <v>Good</v>
      </c>
      <c r="AE380" s="11"/>
      <c r="AF380" t="s">
        <v>218</v>
      </c>
      <c r="AG380" s="17" t="s">
        <v>128</v>
      </c>
      <c r="AH380" s="12">
        <v>1035.0</v>
      </c>
      <c r="AI380" s="12" t="s">
        <v>1093</v>
      </c>
      <c r="AJ380" s="19" t="s">
        <v>1094</v>
      </c>
      <c r="AK380" s="20" t="str">
        <f>HYPERLINK("https://docs.google.com/document/d/1DbejGbhJM7OWl5fFkV9jQyRGb9Sziytoa1OTAioADpQ/edit?usp=drivesdk","Silas Tanner - 10/1/2019 7:15 AM")</f>
        <v>Silas Tanner - 10/1/2019 7:15 AM</v>
      </c>
      <c r="AL380" s="12" t="s">
        <v>1095</v>
      </c>
    </row>
    <row r="381">
      <c r="A381" s="10">
        <f>IFERROR(__xludf.DUMMYFUNCTION("""COMPUTED_VALUE"""),43739.534279618056)</f>
        <v>43739.53428</v>
      </c>
      <c r="B381" s="11" t="str">
        <f>IFERROR(__xludf.DUMMYFUNCTION("""COMPUTED_VALUE"""),"Pam Marcum")</f>
        <v>Pam Marcum</v>
      </c>
      <c r="C381" t="str">
        <f>IFERROR(__xludf.DUMMYFUNCTION("""COMPUTED_VALUE"""),"Pamela.Marcum@FloridaDEP.gov")</f>
        <v>Pamela.Marcum@FloridaDEP.gov</v>
      </c>
      <c r="D381" t="str">
        <f>IFERROR(__xludf.DUMMYFUNCTION("""COMPUTED_VALUE"""),"Research/Nikki")</f>
        <v>Research/Nikki</v>
      </c>
      <c r="E381" t="str">
        <f>IFERROR(__xludf.DUMMYFUNCTION("""COMPUTED_VALUE"""),"Aunt Kate's")</f>
        <v>Aunt Kate's</v>
      </c>
      <c r="F381" s="13">
        <f>IFERROR(__xludf.DUMMYFUNCTION("""COMPUTED_VALUE"""),0.625)</f>
        <v>0.625</v>
      </c>
      <c r="G381" s="14">
        <f>IFERROR(__xludf.DUMMYFUNCTION("""COMPUTED_VALUE"""),43739.0)</f>
        <v>43739</v>
      </c>
      <c r="H381" t="str">
        <f>IFERROR(__xludf.DUMMYFUNCTION("""COMPUTED_VALUE"""),"Tolomato &amp; Guana Rivers")</f>
        <v>Tolomato &amp; Guana Rivers</v>
      </c>
      <c r="I381" s="15">
        <f>IFERROR(__xludf.DUMMYFUNCTION("""COMPUTED_VALUE"""),0.7916666666678793)</f>
        <v>0.7916666667</v>
      </c>
      <c r="J381" s="16">
        <f>IFERROR(__xludf.DUMMYFUNCTION("""COMPUTED_VALUE"""),43739.8125)</f>
        <v>43739.8125</v>
      </c>
      <c r="K381" t="str">
        <f>IFERROR(__xludf.DUMMYFUNCTION("""COMPUTED_VALUE"""),"23ft Skiff (Bertha) FL7972LJ DEP07613")</f>
        <v>23ft Skiff (Bertha) FL7972LJ DEP07613</v>
      </c>
      <c r="M381" t="str">
        <f>IFERROR(__xludf.DUMMYFUNCTION("""COMPUTED_VALUE"""),"Ford F150 2010 (4 Door) - DEP07668")</f>
        <v>Ford F150 2010 (4 Door) - DEP07668</v>
      </c>
      <c r="N381" t="str">
        <f>IFERROR(__xludf.DUMMYFUNCTION("""COMPUTED_VALUE"""),"Pam Marcum, (480) 332-5414")</f>
        <v>Pam Marcum, (480) 332-5414</v>
      </c>
      <c r="O381" t="str">
        <f>IFERROR(__xludf.DUMMYFUNCTION("""COMPUTED_VALUE"""),"Adrienne Breef-Pilz, Kate")</f>
        <v>Adrienne Breef-Pilz, Kate</v>
      </c>
      <c r="P381" t="str">
        <f>IFERROR(__xludf.DUMMYFUNCTION("""COMPUTED_VALUE"""),"Pam")</f>
        <v>Pam</v>
      </c>
      <c r="Q381" t="str">
        <f>IFERROR(__xludf.DUMMYFUNCTION("""COMPUTED_VALUE"""),"Good")</f>
        <v>Good</v>
      </c>
      <c r="R381" t="str">
        <f>IFERROR(__xludf.DUMMYFUNCTION("""COMPUTED_VALUE"""),"Good")</f>
        <v>Good</v>
      </c>
      <c r="S381" t="str">
        <f>IFERROR(__xludf.DUMMYFUNCTION("""COMPUTED_VALUE"""),"Good")</f>
        <v>Good</v>
      </c>
      <c r="T381" t="str">
        <f>IFERROR(__xludf.DUMMYFUNCTION("""COMPUTED_VALUE"""),"Good")</f>
        <v>Good</v>
      </c>
      <c r="U381" t="str">
        <f>IFERROR(__xludf.DUMMYFUNCTION("""COMPUTED_VALUE"""),"Good")</f>
        <v>Good</v>
      </c>
      <c r="V381" t="str">
        <f>IFERROR(__xludf.DUMMYFUNCTION("""COMPUTED_VALUE"""),"Good")</f>
        <v>Good</v>
      </c>
      <c r="W381" t="str">
        <f>IFERROR(__xludf.DUMMYFUNCTION("""COMPUTED_VALUE"""),"Good")</f>
        <v>Good</v>
      </c>
      <c r="X381" t="str">
        <f>IFERROR(__xludf.DUMMYFUNCTION("""COMPUTED_VALUE"""),"Good")</f>
        <v>Good</v>
      </c>
      <c r="Y381" t="str">
        <f>IFERROR(__xludf.DUMMYFUNCTION("""COMPUTED_VALUE"""),"Good")</f>
        <v>Good</v>
      </c>
      <c r="Z381" t="str">
        <f>IFERROR(__xludf.DUMMYFUNCTION("""COMPUTED_VALUE"""),"Good")</f>
        <v>Good</v>
      </c>
      <c r="AA381" t="str">
        <f>IFERROR(__xludf.DUMMYFUNCTION("""COMPUTED_VALUE"""),"Good")</f>
        <v>Good</v>
      </c>
      <c r="AB381" t="str">
        <f>IFERROR(__xludf.DUMMYFUNCTION("""COMPUTED_VALUE"""),"Good")</f>
        <v>Good</v>
      </c>
      <c r="AC381" t="str">
        <f>IFERROR(__xludf.DUMMYFUNCTION("""COMPUTED_VALUE"""),"Good")</f>
        <v>Good</v>
      </c>
      <c r="AE381" s="11"/>
      <c r="AF381" t="s">
        <v>218</v>
      </c>
      <c r="AG381" s="17" t="s">
        <v>43</v>
      </c>
      <c r="AH381" s="12">
        <v>1855.0</v>
      </c>
      <c r="AI381" s="12" t="s">
        <v>1096</v>
      </c>
      <c r="AJ381" s="19" t="s">
        <v>1097</v>
      </c>
      <c r="AK381" s="20" t="str">
        <f>HYPERLINK("https://docs.google.com/document/d/1qIaFzaKCnPb1lZek9agDPwVAvyZMEizaSV_xR-V6yDE/edit?usp=drivesdk","Pam Marcum - 10/1/2019 3:00 PM")</f>
        <v>Pam Marcum - 10/1/2019 3:00 PM</v>
      </c>
      <c r="AL381" s="12" t="s">
        <v>1098</v>
      </c>
    </row>
    <row r="382">
      <c r="A382" s="10">
        <f>IFERROR(__xludf.DUMMYFUNCTION("""COMPUTED_VALUE"""),43739.542672581025)</f>
        <v>43739.54267</v>
      </c>
      <c r="B382" s="11" t="str">
        <f>IFERROR(__xludf.DUMMYFUNCTION("""COMPUTED_VALUE"""),"Alexandria Knoell")</f>
        <v>Alexandria Knoell</v>
      </c>
      <c r="C382" t="str">
        <f>IFERROR(__xludf.DUMMYFUNCTION("""COMPUTED_VALUE"""),"alee.knoell@floridadep.gov")</f>
        <v>alee.knoell@floridadep.gov</v>
      </c>
      <c r="D382" t="str">
        <f>IFERROR(__xludf.DUMMYFUNCTION("""COMPUTED_VALUE"""),"Research/Pam")</f>
        <v>Research/Pam</v>
      </c>
      <c r="E382" t="str">
        <f>IFERROR(__xludf.DUMMYFUNCTION("""COMPUTED_VALUE"""),"Shore Dr.")</f>
        <v>Shore Dr.</v>
      </c>
      <c r="F382" s="13">
        <f>IFERROR(__xludf.DUMMYFUNCTION("""COMPUTED_VALUE"""),0.5833333333321207)</f>
        <v>0.5833333333</v>
      </c>
      <c r="G382" s="24">
        <f>IFERROR(__xludf.DUMMYFUNCTION("""COMPUTED_VALUE"""),43740.0)</f>
        <v>43740</v>
      </c>
      <c r="H382" t="str">
        <f>IFERROR(__xludf.DUMMYFUNCTION("""COMPUTED_VALUE"""),"Matanzas River")</f>
        <v>Matanzas River</v>
      </c>
      <c r="I382" s="15">
        <f>IFERROR(__xludf.DUMMYFUNCTION("""COMPUTED_VALUE"""),0.75)</f>
        <v>0.75</v>
      </c>
      <c r="J382" s="16">
        <f>IFERROR(__xludf.DUMMYFUNCTION("""COMPUTED_VALUE"""),43740.77083333333)</f>
        <v>43740.77083</v>
      </c>
      <c r="K382" t="str">
        <f>IFERROR(__xludf.DUMMYFUNCTION("""COMPUTED_VALUE"""),"17ft Skiff (Marsha) FL0642GW DEP07239")</f>
        <v>17ft Skiff (Marsha) FL0642GW DEP07239</v>
      </c>
      <c r="M382" t="str">
        <f>IFERROR(__xludf.DUMMYFUNCTION("""COMPUTED_VALUE"""),"Ford F150 2015 (White) - DEP21448")</f>
        <v>Ford F150 2015 (White) - DEP21448</v>
      </c>
      <c r="N382" t="str">
        <f>IFERROR(__xludf.DUMMYFUNCTION("""COMPUTED_VALUE"""),"Remo Mondazzi")</f>
        <v>Remo Mondazzi</v>
      </c>
      <c r="O382" t="str">
        <f>IFERROR(__xludf.DUMMYFUNCTION("""COMPUTED_VALUE"""),"Alee Knoell, (619) 750-4833")</f>
        <v>Alee Knoell, (619) 750-4833</v>
      </c>
      <c r="P382" t="str">
        <f>IFERROR(__xludf.DUMMYFUNCTION("""COMPUTED_VALUE"""),"Remo Mondazzi")</f>
        <v>Remo Mondazzi</v>
      </c>
      <c r="Q382" t="str">
        <f>IFERROR(__xludf.DUMMYFUNCTION("""COMPUTED_VALUE"""),"By checking here, you certify that you have checked all of the items listed")</f>
        <v>By checking here, you certify that you have checked all of the items listed</v>
      </c>
      <c r="AE382" s="11"/>
      <c r="AF382" t="s">
        <v>262</v>
      </c>
      <c r="AG382" s="17" t="s">
        <v>141</v>
      </c>
      <c r="AH382" s="12">
        <v>1830.0</v>
      </c>
      <c r="AI382" s="12" t="s">
        <v>1099</v>
      </c>
      <c r="AJ382" s="19" t="s">
        <v>1100</v>
      </c>
      <c r="AK382" s="20" t="str">
        <f>HYPERLINK("https://docs.google.com/document/d/1Z3xYCrnpat_lvHHxFDMS8j1Zd0EyO6PwPk4_SrgvZEg/edit?usp=drivesdk","Alexandria Knoell - 10/2/2019 2:00 PM")</f>
        <v>Alexandria Knoell - 10/2/2019 2:00 PM</v>
      </c>
      <c r="AL382" s="12" t="s">
        <v>1101</v>
      </c>
    </row>
    <row r="383">
      <c r="A383" s="10">
        <f>IFERROR(__xludf.DUMMYFUNCTION("""COMPUTED_VALUE"""),43740.31267363426)</f>
        <v>43740.31267</v>
      </c>
      <c r="B383" s="11" t="str">
        <f>IFERROR(__xludf.DUMMYFUNCTION("""COMPUTED_VALUE"""),"Shannon Dunnigan")</f>
        <v>Shannon Dunnigan</v>
      </c>
      <c r="C383" t="str">
        <f>IFERROR(__xludf.DUMMYFUNCTION("""COMPUTED_VALUE"""),"shannon.dunnigan@floridadep.gov")</f>
        <v>shannon.dunnigan@floridadep.gov</v>
      </c>
      <c r="D383" t="str">
        <f>IFERROR(__xludf.DUMMYFUNCTION("""COMPUTED_VALUE"""),"Research/Nikki")</f>
        <v>Research/Nikki</v>
      </c>
      <c r="E383" t="str">
        <f>IFERROR(__xludf.DUMMYFUNCTION("""COMPUTED_VALUE"""),"Bings Landing")</f>
        <v>Bings Landing</v>
      </c>
      <c r="F383" s="13">
        <f>IFERROR(__xludf.DUMMYFUNCTION("""COMPUTED_VALUE"""),0.3194444444452529)</f>
        <v>0.3194444444</v>
      </c>
      <c r="G383" s="14">
        <f>IFERROR(__xludf.DUMMYFUNCTION("""COMPUTED_VALUE"""),43740.0)</f>
        <v>43740</v>
      </c>
      <c r="H383" t="str">
        <f>IFERROR(__xludf.DUMMYFUNCTION("""COMPUTED_VALUE"""),"Washington Oaks veg platforms")</f>
        <v>Washington Oaks veg platforms</v>
      </c>
      <c r="I383" s="15">
        <f>IFERROR(__xludf.DUMMYFUNCTION("""COMPUTED_VALUE"""),0.5416666666678793)</f>
        <v>0.5416666667</v>
      </c>
      <c r="J383" s="16">
        <f>IFERROR(__xludf.DUMMYFUNCTION("""COMPUTED_VALUE"""),43740.64583333333)</f>
        <v>43740.64583</v>
      </c>
      <c r="K383" t="str">
        <f>IFERROR(__xludf.DUMMYFUNCTION("""COMPUTED_VALUE"""),"20ft Sea Ark FL5351SJ UNF 2015")</f>
        <v>20ft Sea Ark FL5351SJ UNF 2015</v>
      </c>
      <c r="M383" t="str">
        <f>IFERROR(__xludf.DUMMYFUNCTION("""COMPUTED_VALUE"""),"Ford F250 2017 (Moby Dix) - DEP0021578")</f>
        <v>Ford F250 2017 (Moby Dix) - DEP0021578</v>
      </c>
      <c r="N383" t="str">
        <f>IFERROR(__xludf.DUMMYFUNCTION("""COMPUTED_VALUE"""),"Shannon Dunnigan, (803) 727-5734, Silas Tanner, (904) 483-8423")</f>
        <v>Shannon Dunnigan, (803) 727-5734, Silas Tanner, (904) 483-8423</v>
      </c>
      <c r="O383" t="str">
        <f>IFERROR(__xludf.DUMMYFUNCTION("""COMPUTED_VALUE"""),"Alee Knoell, (619) 750-4833, Casey McClure")</f>
        <v>Alee Knoell, (619) 750-4833, Casey McClure</v>
      </c>
      <c r="P383" t="str">
        <f>IFERROR(__xludf.DUMMYFUNCTION("""COMPUTED_VALUE"""),"Shannon")</f>
        <v>Shannon</v>
      </c>
      <c r="Q383" t="str">
        <f>IFERROR(__xludf.DUMMYFUNCTION("""COMPUTED_VALUE"""),"By checking here, you certify that you have checked all of the items listed")</f>
        <v>By checking here, you certify that you have checked all of the items listed</v>
      </c>
      <c r="AE383" s="11"/>
      <c r="AF383" t="s">
        <v>218</v>
      </c>
      <c r="AG383" s="17" t="s">
        <v>43</v>
      </c>
      <c r="AH383" s="12">
        <v>1105.0</v>
      </c>
      <c r="AI383" s="12" t="s">
        <v>1102</v>
      </c>
      <c r="AJ383" s="19" t="s">
        <v>1103</v>
      </c>
      <c r="AK383" s="20" t="str">
        <f>HYPERLINK("https://docs.google.com/document/d/1c3oIBDOSh2u6pFvXb4E_3APsR9Lem7S_3eSczmJQrGg/edit?usp=drivesdk","Shannon Dunnigan - 10/2/2019 7:40 AM")</f>
        <v>Shannon Dunnigan - 10/2/2019 7:40 AM</v>
      </c>
      <c r="AL383" s="12" t="s">
        <v>1104</v>
      </c>
    </row>
    <row r="384">
      <c r="A384" s="10">
        <f>IFERROR(__xludf.DUMMYFUNCTION("""COMPUTED_VALUE"""),43740.34041193287)</f>
        <v>43740.34041</v>
      </c>
      <c r="B384" s="11" t="str">
        <f>IFERROR(__xludf.DUMMYFUNCTION("""COMPUTED_VALUE"""),"Pamela Marcum")</f>
        <v>Pamela Marcum</v>
      </c>
      <c r="C384" t="str">
        <f>IFERROR(__xludf.DUMMYFUNCTION("""COMPUTED_VALUE"""),"Pamela.Marcum@floridadep.gov")</f>
        <v>Pamela.Marcum@floridadep.gov</v>
      </c>
      <c r="D384" t="str">
        <f>IFERROR(__xludf.DUMMYFUNCTION("""COMPUTED_VALUE"""),"Research/Nikki")</f>
        <v>Research/Nikki</v>
      </c>
      <c r="E384" t="str">
        <f>IFERROR(__xludf.DUMMYFUNCTION("""COMPUTED_VALUE"""),"Faver dykes")</f>
        <v>Faver dykes</v>
      </c>
      <c r="F384" s="13">
        <f>IFERROR(__xludf.DUMMYFUNCTION("""COMPUTED_VALUE"""),0.3333333333321207)</f>
        <v>0.3333333333</v>
      </c>
      <c r="G384" s="14">
        <f>IFERROR(__xludf.DUMMYFUNCTION("""COMPUTED_VALUE"""),43740.0)</f>
        <v>43740</v>
      </c>
      <c r="H384" t="str">
        <f>IFERROR(__xludf.DUMMYFUNCTION("""COMPUTED_VALUE"""),"Upper pellicer creek")</f>
        <v>Upper pellicer creek</v>
      </c>
      <c r="I384" s="15">
        <f>IFERROR(__xludf.DUMMYFUNCTION("""COMPUTED_VALUE"""),0.5416666666678793)</f>
        <v>0.5416666667</v>
      </c>
      <c r="J384" s="16">
        <f>IFERROR(__xludf.DUMMYFUNCTION("""COMPUTED_VALUE"""),43740.60416666667)</f>
        <v>43740.60417</v>
      </c>
      <c r="K384" t="str">
        <f>IFERROR(__xludf.DUMMYFUNCTION("""COMPUTED_VALUE"""),"17ft Skiff (Marsha) FL0642GW DEP07239")</f>
        <v>17ft Skiff (Marsha) FL0642GW DEP07239</v>
      </c>
      <c r="M384" t="str">
        <f>IFERROR(__xludf.DUMMYFUNCTION("""COMPUTED_VALUE"""),"Ford F150 2015 (White) - DEP21448")</f>
        <v>Ford F150 2015 (White) - DEP21448</v>
      </c>
      <c r="N384" t="str">
        <f>IFERROR(__xludf.DUMMYFUNCTION("""COMPUTED_VALUE"""),"Pam Marcum, (480) 332-5414")</f>
        <v>Pam Marcum, (480) 332-5414</v>
      </c>
      <c r="O384" t="str">
        <f>IFERROR(__xludf.DUMMYFUNCTION("""COMPUTED_VALUE"""),"Jay")</f>
        <v>Jay</v>
      </c>
      <c r="P384" t="str">
        <f>IFERROR(__xludf.DUMMYFUNCTION("""COMPUTED_VALUE"""),"Pam")</f>
        <v>Pam</v>
      </c>
      <c r="Q384" t="str">
        <f>IFERROR(__xludf.DUMMYFUNCTION("""COMPUTED_VALUE"""),"By checking here, you certify that you have checked all of the items listed")</f>
        <v>By checking here, you certify that you have checked all of the items listed</v>
      </c>
      <c r="AE384" s="11"/>
      <c r="AF384" t="s">
        <v>218</v>
      </c>
      <c r="AG384" s="17" t="s">
        <v>115</v>
      </c>
      <c r="AH384" s="12">
        <v>1203.0</v>
      </c>
      <c r="AI384" s="12" t="s">
        <v>1105</v>
      </c>
      <c r="AJ384" s="19" t="s">
        <v>1106</v>
      </c>
      <c r="AK384" s="20" t="str">
        <f>HYPERLINK("https://docs.google.com/document/d/1xJ9T5reUjpXl3feP0fqVH6FQi3ovB4PsTEfdY2ZNAcA/edit?usp=drivesdk","Pamela Marcum - 10/2/2019 8:00 AM")</f>
        <v>Pamela Marcum - 10/2/2019 8:00 AM</v>
      </c>
      <c r="AL384" s="12" t="s">
        <v>1107</v>
      </c>
    </row>
    <row r="385">
      <c r="A385" s="10">
        <f>IFERROR(__xludf.DUMMYFUNCTION("""COMPUTED_VALUE"""),43741.296664884256)</f>
        <v>43741.29666</v>
      </c>
      <c r="B385" s="11" t="str">
        <f>IFERROR(__xludf.DUMMYFUNCTION("""COMPUTED_VALUE"""),"Alexandria Knoell")</f>
        <v>Alexandria Knoell</v>
      </c>
      <c r="C385" t="str">
        <f>IFERROR(__xludf.DUMMYFUNCTION("""COMPUTED_VALUE"""),"alee.knoell@floridadep.gov")</f>
        <v>alee.knoell@floridadep.gov</v>
      </c>
      <c r="D385" t="str">
        <f>IFERROR(__xludf.DUMMYFUNCTION("""COMPUTED_VALUE"""),"Research/Pam")</f>
        <v>Research/Pam</v>
      </c>
      <c r="E385" t="str">
        <f>IFERROR(__xludf.DUMMYFUNCTION("""COMPUTED_VALUE"""),"Lighthouse")</f>
        <v>Lighthouse</v>
      </c>
      <c r="F385" s="13">
        <f>IFERROR(__xludf.DUMMYFUNCTION("""COMPUTED_VALUE"""),0.3125)</f>
        <v>0.3125</v>
      </c>
      <c r="G385" s="14">
        <f>IFERROR(__xludf.DUMMYFUNCTION("""COMPUTED_VALUE"""),43741.0)</f>
        <v>43741</v>
      </c>
      <c r="H385" t="str">
        <f>IFERROR(__xludf.DUMMYFUNCTION("""COMPUTED_VALUE"""),"Salt Run")</f>
        <v>Salt Run</v>
      </c>
      <c r="I385" s="15">
        <f>IFERROR(__xludf.DUMMYFUNCTION("""COMPUTED_VALUE"""),0.4166666666678793)</f>
        <v>0.4166666667</v>
      </c>
      <c r="J385" s="16">
        <f>IFERROR(__xludf.DUMMYFUNCTION("""COMPUTED_VALUE"""),43740.41666666667)</f>
        <v>43740.41667</v>
      </c>
      <c r="K385" t="str">
        <f>IFERROR(__xludf.DUMMYFUNCTION("""COMPUTED_VALUE"""),"17ft Skiff (Marsha) FL0642GW DEP07239")</f>
        <v>17ft Skiff (Marsha) FL0642GW DEP07239</v>
      </c>
      <c r="M385" t="str">
        <f>IFERROR(__xludf.DUMMYFUNCTION("""COMPUTED_VALUE"""),"Ford F150 2015 (White) - DEP21448")</f>
        <v>Ford F150 2015 (White) - DEP21448</v>
      </c>
      <c r="N385" t="str">
        <f>IFERROR(__xludf.DUMMYFUNCTION("""COMPUTED_VALUE"""),"Pam Marcum, (480) 332-5414")</f>
        <v>Pam Marcum, (480) 332-5414</v>
      </c>
      <c r="O385" t="str">
        <f>IFERROR(__xludf.DUMMYFUNCTION("""COMPUTED_VALUE"""),"Alee Knoell, (619) 750-4833")</f>
        <v>Alee Knoell, (619) 750-4833</v>
      </c>
      <c r="P385" t="str">
        <f>IFERROR(__xludf.DUMMYFUNCTION("""COMPUTED_VALUE"""),"Pam Marcum")</f>
        <v>Pam Marcum</v>
      </c>
      <c r="Q385" t="str">
        <f>IFERROR(__xludf.DUMMYFUNCTION("""COMPUTED_VALUE"""),"By checking here, you certify that you have checked all of the items listed")</f>
        <v>By checking here, you certify that you have checked all of the items listed</v>
      </c>
      <c r="AE385" s="11"/>
      <c r="AF385" t="s">
        <v>262</v>
      </c>
      <c r="AG385" s="17" t="s">
        <v>141</v>
      </c>
      <c r="AH385" s="12">
        <v>830.0</v>
      </c>
      <c r="AI385" s="12" t="s">
        <v>1108</v>
      </c>
      <c r="AJ385" s="19" t="s">
        <v>1109</v>
      </c>
      <c r="AK385" s="20" t="str">
        <f>HYPERLINK("https://docs.google.com/document/d/1gzBZ5HfQJnnJWXvG5NS6oS9z2fy4WrO3XnzB6x8mkYc/edit?usp=drivesdk","&lt;&lt;YOUR NAME&gt;&gt; - &lt;&lt;Date you plan to launch&gt;&gt; &lt;&lt;Time you plan to launch&gt;&gt;")</f>
        <v>&lt;&lt;YOUR NAME&gt;&gt; - &lt;&lt;Date you plan to launch&gt;&gt; &lt;&lt;Time you plan to launch&gt;&gt;</v>
      </c>
      <c r="AL385" s="12" t="s">
        <v>1110</v>
      </c>
    </row>
    <row r="386">
      <c r="A386" s="10">
        <f>IFERROR(__xludf.DUMMYFUNCTION("""COMPUTED_VALUE"""),43741.361155844905)</f>
        <v>43741.36116</v>
      </c>
      <c r="B386" s="11" t="str">
        <f>IFERROR(__xludf.DUMMYFUNCTION("""COMPUTED_VALUE"""),"Alexandria Knoell")</f>
        <v>Alexandria Knoell</v>
      </c>
      <c r="C386" t="str">
        <f>IFERROR(__xludf.DUMMYFUNCTION("""COMPUTED_VALUE"""),"alee.knoell@floridadep.gov")</f>
        <v>alee.knoell@floridadep.gov</v>
      </c>
      <c r="D386" t="str">
        <f>IFERROR(__xludf.DUMMYFUNCTION("""COMPUTED_VALUE"""),"Research/Nikki")</f>
        <v>Research/Nikki</v>
      </c>
      <c r="E386" t="str">
        <f>IFERROR(__xludf.DUMMYFUNCTION("""COMPUTED_VALUE"""),"Green road")</f>
        <v>Green road</v>
      </c>
      <c r="F386" s="13">
        <f>IFERROR(__xludf.DUMMYFUNCTION("""COMPUTED_VALUE"""),0.375)</f>
        <v>0.375</v>
      </c>
      <c r="G386" s="14">
        <f>IFERROR(__xludf.DUMMYFUNCTION("""COMPUTED_VALUE"""),43741.0)</f>
        <v>43741</v>
      </c>
      <c r="H386" t="str">
        <f>IFERROR(__xludf.DUMMYFUNCTION("""COMPUTED_VALUE"""),"Devils elbow")</f>
        <v>Devils elbow</v>
      </c>
      <c r="I386" s="15">
        <f>IFERROR(__xludf.DUMMYFUNCTION("""COMPUTED_VALUE"""),0.4166666666678793)</f>
        <v>0.4166666667</v>
      </c>
      <c r="J386" s="16">
        <f>IFERROR(__xludf.DUMMYFUNCTION("""COMPUTED_VALUE"""),43741.66666666667)</f>
        <v>43741.66667</v>
      </c>
      <c r="K386" t="str">
        <f>IFERROR(__xludf.DUMMYFUNCTION("""COMPUTED_VALUE"""),"17ft Skiff (Marsha) FL0642GW DEP07239")</f>
        <v>17ft Skiff (Marsha) FL0642GW DEP07239</v>
      </c>
      <c r="M386" t="str">
        <f>IFERROR(__xludf.DUMMYFUNCTION("""COMPUTED_VALUE"""),"Ford F150 2015 (White) - DEP21448")</f>
        <v>Ford F150 2015 (White) - DEP21448</v>
      </c>
      <c r="N386" t="str">
        <f>IFERROR(__xludf.DUMMYFUNCTION("""COMPUTED_VALUE"""),"Pam Marcum, (480) 332-5414")</f>
        <v>Pam Marcum, (480) 332-5414</v>
      </c>
      <c r="O386" t="str">
        <f>IFERROR(__xludf.DUMMYFUNCTION("""COMPUTED_VALUE"""),"Alee Knoell, (619) 750-4833")</f>
        <v>Alee Knoell, (619) 750-4833</v>
      </c>
      <c r="P386" t="str">
        <f>IFERROR(__xludf.DUMMYFUNCTION("""COMPUTED_VALUE"""),"Pam marcum")</f>
        <v>Pam marcum</v>
      </c>
      <c r="Q386" t="str">
        <f>IFERROR(__xludf.DUMMYFUNCTION("""COMPUTED_VALUE"""),"By checking here, you certify that you have checked all of the items listed")</f>
        <v>By checking here, you certify that you have checked all of the items listed</v>
      </c>
      <c r="AE386" s="11"/>
      <c r="AF386" t="s">
        <v>218</v>
      </c>
      <c r="AG386" s="17" t="s">
        <v>141</v>
      </c>
      <c r="AH386" s="12">
        <v>1030.0</v>
      </c>
      <c r="AI386" s="12" t="s">
        <v>1111</v>
      </c>
      <c r="AJ386" s="19" t="s">
        <v>1112</v>
      </c>
      <c r="AK386" s="20" t="str">
        <f>HYPERLINK("https://docs.google.com/document/d/1BAinsbnizosXnxABViaWb-GWFCx3cHjCFySCLmnYpts/edit?usp=drivesdk","&lt;&lt;YOUR NAME&gt;&gt; - &lt;&lt;Date you plan to launch&gt;&gt; &lt;&lt;Time you plan to launch&gt;&gt;")</f>
        <v>&lt;&lt;YOUR NAME&gt;&gt; - &lt;&lt;Date you plan to launch&gt;&gt; &lt;&lt;Time you plan to launch&gt;&gt;</v>
      </c>
      <c r="AL386" s="12" t="s">
        <v>1113</v>
      </c>
    </row>
    <row r="387">
      <c r="A387" s="10">
        <f>IFERROR(__xludf.DUMMYFUNCTION("""COMPUTED_VALUE"""),43741.444447685186)</f>
        <v>43741.44445</v>
      </c>
      <c r="B387" s="11" t="str">
        <f>IFERROR(__xludf.DUMMYFUNCTION("""COMPUTED_VALUE"""),"Alexandria Knoell")</f>
        <v>Alexandria Knoell</v>
      </c>
      <c r="C387" t="str">
        <f>IFERROR(__xludf.DUMMYFUNCTION("""COMPUTED_VALUE"""),"alee.knoell@floridadep.gov")</f>
        <v>alee.knoell@floridadep.gov</v>
      </c>
      <c r="D387" t="str">
        <f>IFERROR(__xludf.DUMMYFUNCTION("""COMPUTED_VALUE"""),"Research/Nikki")</f>
        <v>Research/Nikki</v>
      </c>
      <c r="E387" t="str">
        <f>IFERROR(__xludf.DUMMYFUNCTION("""COMPUTED_VALUE"""),"Faver dykes")</f>
        <v>Faver dykes</v>
      </c>
      <c r="F387" s="13">
        <f>IFERROR(__xludf.DUMMYFUNCTION("""COMPUTED_VALUE"""),0.9583333333321207)</f>
        <v>0.9583333333</v>
      </c>
      <c r="G387" s="14">
        <f>IFERROR(__xludf.DUMMYFUNCTION("""COMPUTED_VALUE"""),43741.0)</f>
        <v>43741</v>
      </c>
      <c r="H387" t="str">
        <f>IFERROR(__xludf.DUMMYFUNCTION("""COMPUTED_VALUE"""),"Pelicer Creek")</f>
        <v>Pelicer Creek</v>
      </c>
      <c r="I387" s="15">
        <f>IFERROR(__xludf.DUMMYFUNCTION("""COMPUTED_VALUE"""),0.6666666666678793)</f>
        <v>0.6666666667</v>
      </c>
      <c r="J387" s="16">
        <f>IFERROR(__xludf.DUMMYFUNCTION("""COMPUTED_VALUE"""),43741.70833333333)</f>
        <v>43741.70833</v>
      </c>
      <c r="K387" t="str">
        <f>IFERROR(__xludf.DUMMYFUNCTION("""COMPUTED_VALUE"""),"17ft Skiff (Marsha) FL0642GW DEP07239")</f>
        <v>17ft Skiff (Marsha) FL0642GW DEP07239</v>
      </c>
      <c r="M387" t="str">
        <f>IFERROR(__xludf.DUMMYFUNCTION("""COMPUTED_VALUE"""),"Ford F150 2015 (White) - DEP21448")</f>
        <v>Ford F150 2015 (White) - DEP21448</v>
      </c>
      <c r="N387" t="str">
        <f>IFERROR(__xludf.DUMMYFUNCTION("""COMPUTED_VALUE"""),"Pam Marcum, (480) 332-5414")</f>
        <v>Pam Marcum, (480) 332-5414</v>
      </c>
      <c r="O387" t="str">
        <f>IFERROR(__xludf.DUMMYFUNCTION("""COMPUTED_VALUE"""),"Alee Knoell, (619) 750-4833")</f>
        <v>Alee Knoell, (619) 750-4833</v>
      </c>
      <c r="P387" t="str">
        <f>IFERROR(__xludf.DUMMYFUNCTION("""COMPUTED_VALUE"""),"Pam marcum")</f>
        <v>Pam marcum</v>
      </c>
      <c r="Q387" t="str">
        <f>IFERROR(__xludf.DUMMYFUNCTION("""COMPUTED_VALUE"""),"By checking here, you certify that you have checked all of the items listed")</f>
        <v>By checking here, you certify that you have checked all of the items listed</v>
      </c>
      <c r="AE387" s="11"/>
      <c r="AF387" t="s">
        <v>218</v>
      </c>
      <c r="AG387" s="17" t="s">
        <v>1114</v>
      </c>
      <c r="AH387" s="12">
        <v>1402.0</v>
      </c>
      <c r="AI387" s="12" t="s">
        <v>1115</v>
      </c>
      <c r="AJ387" s="19" t="s">
        <v>1116</v>
      </c>
      <c r="AK387" s="20" t="str">
        <f>HYPERLINK("https://docs.google.com/document/d/1LTJH8ulRvbXzhhYPuyDroEp7Q2546Kpw3GyUZ3Rj3OQ/edit?usp=drivesdk","&lt;&lt;YOUR NAME&gt;&gt; - &lt;&lt;Date you plan to launch&gt;&gt; &lt;&lt;Time you plan to launch&gt;&gt;")</f>
        <v>&lt;&lt;YOUR NAME&gt;&gt; - &lt;&lt;Date you plan to launch&gt;&gt; &lt;&lt;Time you plan to launch&gt;&gt;</v>
      </c>
      <c r="AL387" s="12" t="s">
        <v>1117</v>
      </c>
    </row>
    <row r="388">
      <c r="A388" s="10">
        <f>IFERROR(__xludf.DUMMYFUNCTION("""COMPUTED_VALUE"""),43741.46477439815)</f>
        <v>43741.46477</v>
      </c>
      <c r="B388" s="11" t="str">
        <f>IFERROR(__xludf.DUMMYFUNCTION("""COMPUTED_VALUE"""),"Pam Marcum")</f>
        <v>Pam Marcum</v>
      </c>
      <c r="C388" t="str">
        <f>IFERROR(__xludf.DUMMYFUNCTION("""COMPUTED_VALUE"""),"pamela.marcum@floridadep.gov")</f>
        <v>pamela.marcum@floridadep.gov</v>
      </c>
      <c r="D388" t="str">
        <f>IFERROR(__xludf.DUMMYFUNCTION("""COMPUTED_VALUE"""),"Research/Nikki")</f>
        <v>Research/Nikki</v>
      </c>
      <c r="E388" t="str">
        <f>IFERROR(__xludf.DUMMYFUNCTION("""COMPUTED_VALUE"""),"Faver Dykes")</f>
        <v>Faver Dykes</v>
      </c>
      <c r="F388" s="13">
        <f>IFERROR(__xludf.DUMMYFUNCTION("""COMPUTED_VALUE"""),0.46875)</f>
        <v>0.46875</v>
      </c>
      <c r="G388" s="14">
        <f>IFERROR(__xludf.DUMMYFUNCTION("""COMPUTED_VALUE"""),43741.0)</f>
        <v>43741</v>
      </c>
      <c r="H388" t="str">
        <f>IFERROR(__xludf.DUMMYFUNCTION("""COMPUTED_VALUE"""),"Pellicer Creek")</f>
        <v>Pellicer Creek</v>
      </c>
      <c r="I388" s="15">
        <f>IFERROR(__xludf.DUMMYFUNCTION("""COMPUTED_VALUE"""),0.625)</f>
        <v>0.625</v>
      </c>
      <c r="J388" s="16">
        <f>IFERROR(__xludf.DUMMYFUNCTION("""COMPUTED_VALUE"""),43741.6875)</f>
        <v>43741.6875</v>
      </c>
      <c r="K388" t="str">
        <f>IFERROR(__xludf.DUMMYFUNCTION("""COMPUTED_VALUE"""),"17ft Skiff (Marsha) FL0642GW DEP07239")</f>
        <v>17ft Skiff (Marsha) FL0642GW DEP07239</v>
      </c>
      <c r="M388" t="str">
        <f>IFERROR(__xludf.DUMMYFUNCTION("""COMPUTED_VALUE"""),"Ford F150 2015 (White) - DEP21448")</f>
        <v>Ford F150 2015 (White) - DEP21448</v>
      </c>
      <c r="N388" t="str">
        <f>IFERROR(__xludf.DUMMYFUNCTION("""COMPUTED_VALUE"""),"Pam Marcum, (480) 332-5414")</f>
        <v>Pam Marcum, (480) 332-5414</v>
      </c>
      <c r="O388" t="str">
        <f>IFERROR(__xludf.DUMMYFUNCTION("""COMPUTED_VALUE"""),"Alee Knoell, (619) 750-4833")</f>
        <v>Alee Knoell, (619) 750-4833</v>
      </c>
      <c r="P388" t="str">
        <f>IFERROR(__xludf.DUMMYFUNCTION("""COMPUTED_VALUE"""),"Pam")</f>
        <v>Pam</v>
      </c>
      <c r="Q388" t="str">
        <f>IFERROR(__xludf.DUMMYFUNCTION("""COMPUTED_VALUE"""),"By checking here, you certify that you have checked all of the items listed")</f>
        <v>By checking here, you certify that you have checked all of the items listed</v>
      </c>
      <c r="AE388" s="11"/>
      <c r="AF388" t="s">
        <v>218</v>
      </c>
      <c r="AG388" s="17" t="s">
        <v>1114</v>
      </c>
      <c r="AH388" s="12">
        <v>1402.0</v>
      </c>
      <c r="AI388" s="12" t="s">
        <v>1118</v>
      </c>
      <c r="AJ388" s="19" t="s">
        <v>1119</v>
      </c>
      <c r="AK388" s="20" t="str">
        <f>HYPERLINK("https://docs.google.com/document/d/1CnmyIB1CMEK3y8oTsG8VVvIk28_ZM3rcS_hbz0BaXpM/edit?usp=drivesdk","&lt;&lt;YOUR NAME&gt;&gt; - &lt;&lt;Date you plan to launch&gt;&gt; &lt;&lt;Time you plan to launch&gt;&gt;")</f>
        <v>&lt;&lt;YOUR NAME&gt;&gt; - &lt;&lt;Date you plan to launch&gt;&gt; &lt;&lt;Time you plan to launch&gt;&gt;</v>
      </c>
      <c r="AL388" s="12" t="s">
        <v>1120</v>
      </c>
    </row>
    <row r="389">
      <c r="A389" s="10">
        <f>IFERROR(__xludf.DUMMYFUNCTION("""COMPUTED_VALUE"""),43741.4851649537)</f>
        <v>43741.48516</v>
      </c>
      <c r="B389" s="11" t="str">
        <f>IFERROR(__xludf.DUMMYFUNCTION("""COMPUTED_VALUE"""),"Silas Tanner")</f>
        <v>Silas Tanner</v>
      </c>
      <c r="C389" t="str">
        <f>IFERROR(__xludf.DUMMYFUNCTION("""COMPUTED_VALUE"""),"silas.tanner@floridadep.gov")</f>
        <v>silas.tanner@floridadep.gov</v>
      </c>
      <c r="D389" t="str">
        <f>IFERROR(__xludf.DUMMYFUNCTION("""COMPUTED_VALUE"""),"Research/Nikki")</f>
        <v>Research/Nikki</v>
      </c>
      <c r="E389" t="str">
        <f>IFERROR(__xludf.DUMMYFUNCTION("""COMPUTED_VALUE"""),"Palm Valley 210")</f>
        <v>Palm Valley 210</v>
      </c>
      <c r="F389" s="13">
        <f>IFERROR(__xludf.DUMMYFUNCTION("""COMPUTED_VALUE"""),0.3229166666678793)</f>
        <v>0.3229166667</v>
      </c>
      <c r="G389" s="14">
        <f>IFERROR(__xludf.DUMMYFUNCTION("""COMPUTED_VALUE"""),43741.0)</f>
        <v>43741</v>
      </c>
      <c r="H389" t="str">
        <f>IFERROR(__xludf.DUMMYFUNCTION("""COMPUTED_VALUE"""),"Pine Island platforms")</f>
        <v>Pine Island platforms</v>
      </c>
      <c r="I389" s="15">
        <f>IFERROR(__xludf.DUMMYFUNCTION("""COMPUTED_VALUE"""),0.5006944444430701)</f>
        <v>0.5006944444</v>
      </c>
      <c r="J389" s="16">
        <f>IFERROR(__xludf.DUMMYFUNCTION("""COMPUTED_VALUE"""),43741.52083333333)</f>
        <v>43741.52083</v>
      </c>
      <c r="K389" t="str">
        <f>IFERROR(__xludf.DUMMYFUNCTION("""COMPUTED_VALUE"""),"20ft Sea Ark FL5351SJ UNF 2015")</f>
        <v>20ft Sea Ark FL5351SJ UNF 2015</v>
      </c>
      <c r="M389" t="str">
        <f>IFERROR(__xludf.DUMMYFUNCTION("""COMPUTED_VALUE"""),"Ford F250 2017 (Moby Dix) - DEP0021578")</f>
        <v>Ford F250 2017 (Moby Dix) - DEP0021578</v>
      </c>
      <c r="N389" t="str">
        <f>IFERROR(__xludf.DUMMYFUNCTION("""COMPUTED_VALUE"""),"Shannon Dunnigan, (803) 727-5734, Silas Tanner, (904) 483-8423")</f>
        <v>Shannon Dunnigan, (803) 727-5734, Silas Tanner, (904) 483-8423</v>
      </c>
      <c r="O389" t="str">
        <f>IFERROR(__xludf.DUMMYFUNCTION("""COMPUTED_VALUE"""),"Abby Kuhn")</f>
        <v>Abby Kuhn</v>
      </c>
      <c r="P389" t="str">
        <f>IFERROR(__xludf.DUMMYFUNCTION("""COMPUTED_VALUE"""),"S Dunnigan")</f>
        <v>S Dunnigan</v>
      </c>
      <c r="Q389" t="str">
        <f>IFERROR(__xludf.DUMMYFUNCTION("""COMPUTED_VALUE"""),"By checking here, you certify that you have checked all of the items listed")</f>
        <v>By checking here, you certify that you have checked all of the items listed</v>
      </c>
      <c r="AE389" s="11"/>
      <c r="AF389" t="s">
        <v>218</v>
      </c>
      <c r="AG389" s="17" t="s">
        <v>18</v>
      </c>
      <c r="AH389" s="12">
        <v>1220.0</v>
      </c>
      <c r="AI389" s="12" t="s">
        <v>1121</v>
      </c>
      <c r="AJ389" s="19" t="s">
        <v>1122</v>
      </c>
      <c r="AK389" s="20" t="str">
        <f>HYPERLINK("https://docs.google.com/document/d/1qxj8kHphmaIWg1tKrIOUvKkGlR3JL7DkmWriw0FlSr0/edit?usp=drivesdk","&lt;&lt;YOUR NAME&gt;&gt; - &lt;&lt;Date you plan to launch&gt;&gt; &lt;&lt;Time you plan to launch&gt;&gt;")</f>
        <v>&lt;&lt;YOUR NAME&gt;&gt; - &lt;&lt;Date you plan to launch&gt;&gt; &lt;&lt;Time you plan to launch&gt;&gt;</v>
      </c>
      <c r="AL389" s="12" t="s">
        <v>1123</v>
      </c>
    </row>
    <row r="390">
      <c r="A390" s="10">
        <f>IFERROR(__xludf.DUMMYFUNCTION("""COMPUTED_VALUE"""),43741.71352362268)</f>
        <v>43741.71352</v>
      </c>
      <c r="B390" s="11" t="str">
        <f>IFERROR(__xludf.DUMMYFUNCTION("""COMPUTED_VALUE"""),"Pamela Marcum")</f>
        <v>Pamela Marcum</v>
      </c>
      <c r="C390" t="str">
        <f>IFERROR(__xludf.DUMMYFUNCTION("""COMPUTED_VALUE"""),"Pamela.Marcum@floridadep.gov")</f>
        <v>Pamela.Marcum@floridadep.gov</v>
      </c>
      <c r="D390" t="str">
        <f>IFERROR(__xludf.DUMMYFUNCTION("""COMPUTED_VALUE"""),"Research/Nikki")</f>
        <v>Research/Nikki</v>
      </c>
      <c r="E390" t="str">
        <f>IFERROR(__xludf.DUMMYFUNCTION("""COMPUTED_VALUE"""),"Moses Creek Dock")</f>
        <v>Moses Creek Dock</v>
      </c>
      <c r="F390" s="13">
        <f>IFERROR(__xludf.DUMMYFUNCTION("""COMPUTED_VALUE"""),0.3333333333321207)</f>
        <v>0.3333333333</v>
      </c>
      <c r="G390" s="14">
        <f>IFERROR(__xludf.DUMMYFUNCTION("""COMPUTED_VALUE"""),43742.0)</f>
        <v>43742</v>
      </c>
      <c r="H390" t="str">
        <f>IFERROR(__xludf.DUMMYFUNCTION("""COMPUTED_VALUE"""),"Moses Creek")</f>
        <v>Moses Creek</v>
      </c>
      <c r="I390" s="15">
        <f>IFERROR(__xludf.DUMMYFUNCTION("""COMPUTED_VALUE"""),0.5833333333321207)</f>
        <v>0.5833333333</v>
      </c>
      <c r="J390" s="16">
        <f>IFERROR(__xludf.DUMMYFUNCTION("""COMPUTED_VALUE"""),43742.625)</f>
        <v>43742.625</v>
      </c>
      <c r="K390" t="str">
        <f>IFERROR(__xludf.DUMMYFUNCTION("""COMPUTED_VALUE"""),"Canoe(s), Kayak(s)")</f>
        <v>Canoe(s), Kayak(s)</v>
      </c>
      <c r="L390">
        <f>IFERROR(__xludf.DUMMYFUNCTION("""COMPUTED_VALUE"""),3.0)</f>
        <v>3</v>
      </c>
      <c r="M390" t="str">
        <f>IFERROR(__xludf.DUMMYFUNCTION("""COMPUTED_VALUE"""),"Ford F250 2017 (Moby Dix) - DEP0021578")</f>
        <v>Ford F250 2017 (Moby Dix) - DEP0021578</v>
      </c>
      <c r="N390" t="str">
        <f>IFERROR(__xludf.DUMMYFUNCTION("""COMPUTED_VALUE"""),"Pam Marcum, (480) 332-5414, Shannon Dunnigan, (803) 727-5734, Silas Tanner, (904) 483-8423, Alee Knoell")</f>
        <v>Pam Marcum, (480) 332-5414, Shannon Dunnigan, (803) 727-5734, Silas Tanner, (904) 483-8423, Alee Knoell</v>
      </c>
      <c r="P390" t="str">
        <f>IFERROR(__xludf.DUMMYFUNCTION("""COMPUTED_VALUE"""),"Silas")</f>
        <v>Silas</v>
      </c>
      <c r="Q390" t="str">
        <f>IFERROR(__xludf.DUMMYFUNCTION("""COMPUTED_VALUE"""),"By checking here, you certify that you have checked all of the items listed")</f>
        <v>By checking here, you certify that you have checked all of the items listed</v>
      </c>
      <c r="AE390" s="11"/>
      <c r="AF390" t="s">
        <v>218</v>
      </c>
      <c r="AG390" s="17" t="s">
        <v>60</v>
      </c>
      <c r="AH390" s="12">
        <v>1403.0</v>
      </c>
      <c r="AI390" s="12" t="s">
        <v>1124</v>
      </c>
      <c r="AJ390" s="19" t="s">
        <v>1125</v>
      </c>
      <c r="AK390" s="20" t="str">
        <f>HYPERLINK("https://docs.google.com/document/d/1a_HZ0U1E4XkOCKRPrQgoKZZY19dqXs-pCBV4X0YTWX8/edit?usp=drivesdk","Pamela Marcum - 10/4/2019 8:00 AM")</f>
        <v>Pamela Marcum - 10/4/2019 8:00 AM</v>
      </c>
      <c r="AL390" s="12" t="s">
        <v>1126</v>
      </c>
    </row>
    <row r="391">
      <c r="A391" s="10">
        <f>IFERROR(__xludf.DUMMYFUNCTION("""COMPUTED_VALUE"""),43742.26729585648)</f>
        <v>43742.2673</v>
      </c>
      <c r="B391" s="11" t="str">
        <f>IFERROR(__xludf.DUMMYFUNCTION("""COMPUTED_VALUE"""),"Silas Tanner")</f>
        <v>Silas Tanner</v>
      </c>
      <c r="C391" t="str">
        <f>IFERROR(__xludf.DUMMYFUNCTION("""COMPUTED_VALUE"""),"silas.tanner@floridadep.gov")</f>
        <v>silas.tanner@floridadep.gov</v>
      </c>
      <c r="D391" t="str">
        <f>IFERROR(__xludf.DUMMYFUNCTION("""COMPUTED_VALUE"""),"Research/Nikki")</f>
        <v>Research/Nikki</v>
      </c>
      <c r="E391" t="str">
        <f>IFERROR(__xludf.DUMMYFUNCTION("""COMPUTED_VALUE"""),"Moses Creek floating dock")</f>
        <v>Moses Creek floating dock</v>
      </c>
      <c r="F391" s="13">
        <f>IFERROR(__xludf.DUMMYFUNCTION("""COMPUTED_VALUE"""),0.3333333333321207)</f>
        <v>0.3333333333</v>
      </c>
      <c r="G391" s="14">
        <f>IFERROR(__xludf.DUMMYFUNCTION("""COMPUTED_VALUE"""),43742.0)</f>
        <v>43742</v>
      </c>
      <c r="H391" t="str">
        <f>IFERROR(__xludf.DUMMYFUNCTION("""COMPUTED_VALUE"""),"Moses Creek SWMP platforms")</f>
        <v>Moses Creek SWMP platforms</v>
      </c>
      <c r="I391" s="15">
        <f>IFERROR(__xludf.DUMMYFUNCTION("""COMPUTED_VALUE"""),0.5625)</f>
        <v>0.5625</v>
      </c>
      <c r="J391" s="16">
        <f>IFERROR(__xludf.DUMMYFUNCTION("""COMPUTED_VALUE"""),43742.60416666667)</f>
        <v>43742.60417</v>
      </c>
      <c r="K391" t="str">
        <f>IFERROR(__xludf.DUMMYFUNCTION("""COMPUTED_VALUE"""),"Canoe(s), Kayak(s), Canoe/Kayak Trailer DEP06086")</f>
        <v>Canoe(s), Kayak(s), Canoe/Kayak Trailer DEP06086</v>
      </c>
      <c r="L391">
        <f>IFERROR(__xludf.DUMMYFUNCTION("""COMPUTED_VALUE"""),3.0)</f>
        <v>3</v>
      </c>
      <c r="M391" t="str">
        <f>IFERROR(__xludf.DUMMYFUNCTION("""COMPUTED_VALUE"""),"Ford F250 2017 (Moby Dix) - DEP0021578")</f>
        <v>Ford F250 2017 (Moby Dix) - DEP0021578</v>
      </c>
      <c r="N391" t="str">
        <f>IFERROR(__xludf.DUMMYFUNCTION("""COMPUTED_VALUE"""),"Pam Marcum, (480) 332-5414, Shannon Dunnigan, (803) 727-5734, Silas Tanner, (904) 483-8423")</f>
        <v>Pam Marcum, (480) 332-5414, Shannon Dunnigan, (803) 727-5734, Silas Tanner, (904) 483-8423</v>
      </c>
      <c r="O391" t="str">
        <f>IFERROR(__xludf.DUMMYFUNCTION("""COMPUTED_VALUE"""),"Alee Knoell, (619) 750-4833, Casey McClure")</f>
        <v>Alee Knoell, (619) 750-4833, Casey McClure</v>
      </c>
      <c r="P391" t="str">
        <f>IFERROR(__xludf.DUMMYFUNCTION("""COMPUTED_VALUE"""),"S. Dunnigan")</f>
        <v>S. Dunnigan</v>
      </c>
      <c r="Q391" t="str">
        <f>IFERROR(__xludf.DUMMYFUNCTION("""COMPUTED_VALUE"""),"By checking here, you certify that you have checked all of the items listed")</f>
        <v>By checking here, you certify that you have checked all of the items listed</v>
      </c>
      <c r="AE391" s="11"/>
      <c r="AF391" t="s">
        <v>218</v>
      </c>
      <c r="AG391" s="17" t="s">
        <v>18</v>
      </c>
      <c r="AH391" s="12">
        <v>1430.0</v>
      </c>
      <c r="AI391" s="12" t="s">
        <v>1127</v>
      </c>
      <c r="AJ391" s="19" t="s">
        <v>1128</v>
      </c>
      <c r="AK391" s="20" t="str">
        <f>HYPERLINK("https://docs.google.com/document/d/1JowoqJjlGGOkTTrpZAL3e8PWLUS-yZZHWCQCIh7zT0w/edit?usp=drivesdk","Silas Tanner - 10/4/2019 8:00 AM")</f>
        <v>Silas Tanner - 10/4/2019 8:00 AM</v>
      </c>
      <c r="AL391" s="12" t="s">
        <v>1129</v>
      </c>
    </row>
    <row r="392">
      <c r="A392" s="10">
        <f>IFERROR(__xludf.DUMMYFUNCTION("""COMPUTED_VALUE"""),43746.367207662035)</f>
        <v>43746.36721</v>
      </c>
      <c r="B392" s="11" t="str">
        <f>IFERROR(__xludf.DUMMYFUNCTION("""COMPUTED_VALUE"""),"Silas Tanner")</f>
        <v>Silas Tanner</v>
      </c>
      <c r="C392" t="str">
        <f>IFERROR(__xludf.DUMMYFUNCTION("""COMPUTED_VALUE"""),"silas.tanner@floridadep.gov")</f>
        <v>silas.tanner@floridadep.gov</v>
      </c>
      <c r="D392" t="str">
        <f>IFERROR(__xludf.DUMMYFUNCTION("""COMPUTED_VALUE"""),"Research/Nikki")</f>
        <v>Research/Nikki</v>
      </c>
      <c r="E392" t="str">
        <f>IFERROR(__xludf.DUMMYFUNCTION("""COMPUTED_VALUE"""),"Usina Ramp - Aunt Kate's")</f>
        <v>Usina Ramp - Aunt Kate's</v>
      </c>
      <c r="F392" s="13">
        <f>IFERROR(__xludf.DUMMYFUNCTION("""COMPUTED_VALUE"""),0.3854166666678793)</f>
        <v>0.3854166667</v>
      </c>
      <c r="G392" s="14">
        <f>IFERROR(__xludf.DUMMYFUNCTION("""COMPUTED_VALUE"""),43746.0)</f>
        <v>43746</v>
      </c>
      <c r="H392" t="str">
        <f>IFERROR(__xludf.DUMMYFUNCTION("""COMPUTED_VALUE"""),"Hat Island monitoring platforms")</f>
        <v>Hat Island monitoring platforms</v>
      </c>
      <c r="I392" s="15">
        <f>IFERROR(__xludf.DUMMYFUNCTION("""COMPUTED_VALUE"""),0.6145833333321207)</f>
        <v>0.6145833333</v>
      </c>
      <c r="J392" s="16">
        <f>IFERROR(__xludf.DUMMYFUNCTION("""COMPUTED_VALUE"""),43746.625)</f>
        <v>43746.625</v>
      </c>
      <c r="K392" t="str">
        <f>IFERROR(__xludf.DUMMYFUNCTION("""COMPUTED_VALUE"""),"20ft Sea Ark FL5351SJ UNF 2015")</f>
        <v>20ft Sea Ark FL5351SJ UNF 2015</v>
      </c>
      <c r="M392" t="str">
        <f>IFERROR(__xludf.DUMMYFUNCTION("""COMPUTED_VALUE"""),"Ford F250 2017 (Moby Dix) - DEP0021578")</f>
        <v>Ford F250 2017 (Moby Dix) - DEP0021578</v>
      </c>
      <c r="N392" t="str">
        <f>IFERROR(__xludf.DUMMYFUNCTION("""COMPUTED_VALUE"""),"Shannon Dunnigan, (803) 727-5734, Silas Tanner, (904) 483-8423")</f>
        <v>Shannon Dunnigan, (803) 727-5734, Silas Tanner, (904) 483-8423</v>
      </c>
      <c r="O392" t="str">
        <f>IFERROR(__xludf.DUMMYFUNCTION("""COMPUTED_VALUE"""),"Casey McClure")</f>
        <v>Casey McClure</v>
      </c>
      <c r="P392" t="str">
        <f>IFERROR(__xludf.DUMMYFUNCTION("""COMPUTED_VALUE"""),"S. Dunnigan")</f>
        <v>S. Dunnigan</v>
      </c>
      <c r="Q392" t="str">
        <f>IFERROR(__xludf.DUMMYFUNCTION("""COMPUTED_VALUE"""),"By checking here, you certify that you have checked all of the items listed")</f>
        <v>By checking here, you certify that you have checked all of the items listed</v>
      </c>
      <c r="AD392" t="str">
        <f>IFERROR(__xludf.DUMMYFUNCTION("""COMPUTED_VALUE"""),"not great")</f>
        <v>not great</v>
      </c>
      <c r="AE392" s="11"/>
      <c r="AF392" t="s">
        <v>218</v>
      </c>
      <c r="AG392" s="17" t="s">
        <v>43</v>
      </c>
      <c r="AH392" s="12">
        <v>1530.0</v>
      </c>
      <c r="AI392" s="12" t="s">
        <v>1130</v>
      </c>
      <c r="AJ392" s="19" t="s">
        <v>1131</v>
      </c>
      <c r="AK392" s="20" t="str">
        <f>HYPERLINK("https://docs.google.com/document/d/1Weo71KyE42pJv6eQho_VuZl_I_N1oT_tQDYaPUWJgXg/edit?usp=drivesdk","Silas Tanner - 10/8/2019 9:15 AM")</f>
        <v>Silas Tanner - 10/8/2019 9:15 AM</v>
      </c>
      <c r="AL392" s="12" t="s">
        <v>1132</v>
      </c>
    </row>
    <row r="393">
      <c r="A393" s="10">
        <f>IFERROR(__xludf.DUMMYFUNCTION("""COMPUTED_VALUE"""),43747.420042743055)</f>
        <v>43747.42004</v>
      </c>
      <c r="B393" s="11" t="str">
        <f>IFERROR(__xludf.DUMMYFUNCTION("""COMPUTED_VALUE"""),"Shannon Dunnigan")</f>
        <v>Shannon Dunnigan</v>
      </c>
      <c r="C393" t="str">
        <f>IFERROR(__xludf.DUMMYFUNCTION("""COMPUTED_VALUE"""),"shannon.dunnigan@floridadep.gov")</f>
        <v>shannon.dunnigan@floridadep.gov</v>
      </c>
      <c r="D393" t="str">
        <f>IFERROR(__xludf.DUMMYFUNCTION("""COMPUTED_VALUE"""),"Research/Nikki")</f>
        <v>Research/Nikki</v>
      </c>
      <c r="E393" t="str">
        <f>IFERROR(__xludf.DUMMYFUNCTION("""COMPUTED_VALUE"""),"Aunt Kate’s")</f>
        <v>Aunt Kate’s</v>
      </c>
      <c r="F393" s="13">
        <f>IFERROR(__xludf.DUMMYFUNCTION("""COMPUTED_VALUE"""),0.4375)</f>
        <v>0.4375</v>
      </c>
      <c r="G393" s="14">
        <f>IFERROR(__xludf.DUMMYFUNCTION("""COMPUTED_VALUE"""),43747.0)</f>
        <v>43747</v>
      </c>
      <c r="H393" t="str">
        <f>IFERROR(__xludf.DUMMYFUNCTION("""COMPUTED_VALUE"""),"Hat Island veg platforms")</f>
        <v>Hat Island veg platforms</v>
      </c>
      <c r="I393" s="15">
        <f>IFERROR(__xludf.DUMMYFUNCTION("""COMPUTED_VALUE"""),0.625)</f>
        <v>0.625</v>
      </c>
      <c r="J393" s="16">
        <f>IFERROR(__xludf.DUMMYFUNCTION("""COMPUTED_VALUE"""),43747.66666666667)</f>
        <v>43747.66667</v>
      </c>
      <c r="K393" t="str">
        <f>IFERROR(__xludf.DUMMYFUNCTION("""COMPUTED_VALUE"""),"20ft Sea Ark FL5351SJ UNF 2015")</f>
        <v>20ft Sea Ark FL5351SJ UNF 2015</v>
      </c>
      <c r="M393" t="str">
        <f>IFERROR(__xludf.DUMMYFUNCTION("""COMPUTED_VALUE"""),"Ford F250 2017 (Moby Dix) - DEP0021578")</f>
        <v>Ford F250 2017 (Moby Dix) - DEP0021578</v>
      </c>
      <c r="N393" t="str">
        <f>IFERROR(__xludf.DUMMYFUNCTION("""COMPUTED_VALUE"""),"Shannon Dunnigan, (803) 727-5734, Silas Tanner, (904) 483-8423")</f>
        <v>Shannon Dunnigan, (803) 727-5734, Silas Tanner, (904) 483-8423</v>
      </c>
      <c r="P393" t="str">
        <f>IFERROR(__xludf.DUMMYFUNCTION("""COMPUTED_VALUE"""),"Shannon ")</f>
        <v>Shannon </v>
      </c>
      <c r="Q393" t="str">
        <f>IFERROR(__xludf.DUMMYFUNCTION("""COMPUTED_VALUE"""),"All items in working order")</f>
        <v>All items in working order</v>
      </c>
      <c r="AE393" s="11"/>
      <c r="AF393" t="s">
        <v>218</v>
      </c>
      <c r="AG393" s="17" t="s">
        <v>60</v>
      </c>
      <c r="AH393" s="12">
        <v>1314.0</v>
      </c>
      <c r="AI393" s="12" t="s">
        <v>1133</v>
      </c>
      <c r="AJ393" s="19" t="s">
        <v>1134</v>
      </c>
      <c r="AK393" s="20" t="str">
        <f>HYPERLINK("https://docs.google.com/document/d/1Nkj7T_FeDiyVW9nQImrjvRaLtq2W7lwf3wsxD_brvdg/edit?usp=drivesdk","Shannon Dunnigan - 10/9/2019 10:30 AM")</f>
        <v>Shannon Dunnigan - 10/9/2019 10:30 AM</v>
      </c>
      <c r="AL393" s="12" t="s">
        <v>1135</v>
      </c>
    </row>
    <row r="394">
      <c r="A394" s="10">
        <f>IFERROR(__xludf.DUMMYFUNCTION("""COMPUTED_VALUE"""),43748.28780870371)</f>
        <v>43748.28781</v>
      </c>
      <c r="B394" s="11" t="str">
        <f>IFERROR(__xludf.DUMMYFUNCTION("""COMPUTED_VALUE"""),"Pam Marcum")</f>
        <v>Pam Marcum</v>
      </c>
      <c r="C394" t="str">
        <f>IFERROR(__xludf.DUMMYFUNCTION("""COMPUTED_VALUE"""),"Pamela.Marcum@dep.state.fl.us")</f>
        <v>Pamela.Marcum@dep.state.fl.us</v>
      </c>
      <c r="D394" t="str">
        <f>IFERROR(__xludf.DUMMYFUNCTION("""COMPUTED_VALUE"""),"Research/Nikki")</f>
        <v>Research/Nikki</v>
      </c>
      <c r="E394" t="str">
        <f>IFERROR(__xludf.DUMMYFUNCTION("""COMPUTED_VALUE"""),"Faver-Dykes State Park")</f>
        <v>Faver-Dykes State Park</v>
      </c>
      <c r="F394" s="13">
        <f>IFERROR(__xludf.DUMMYFUNCTION("""COMPUTED_VALUE"""),0.34375)</f>
        <v>0.34375</v>
      </c>
      <c r="G394" s="14">
        <f>IFERROR(__xludf.DUMMYFUNCTION("""COMPUTED_VALUE"""),43748.0)</f>
        <v>43748</v>
      </c>
      <c r="H394" t="str">
        <f>IFERROR(__xludf.DUMMYFUNCTION("""COMPUTED_VALUE"""),"Pellicer Creek mouth")</f>
        <v>Pellicer Creek mouth</v>
      </c>
      <c r="I394" s="15">
        <f>IFERROR(__xludf.DUMMYFUNCTION("""COMPUTED_VALUE"""),0.5416666666678793)</f>
        <v>0.5416666667</v>
      </c>
      <c r="J394" s="16">
        <f>IFERROR(__xludf.DUMMYFUNCTION("""COMPUTED_VALUE"""),43748.58333333333)</f>
        <v>43748.58333</v>
      </c>
      <c r="K394" t="str">
        <f>IFERROR(__xludf.DUMMYFUNCTION("""COMPUTED_VALUE"""),"17ft Skiff (Marsha) FL0642GW DEP07239")</f>
        <v>17ft Skiff (Marsha) FL0642GW DEP07239</v>
      </c>
      <c r="M394" t="str">
        <f>IFERROR(__xludf.DUMMYFUNCTION("""COMPUTED_VALUE"""),"Ford F150 2010 (4 Door) - DEP07668")</f>
        <v>Ford F150 2010 (4 Door) - DEP07668</v>
      </c>
      <c r="N394" t="str">
        <f>IFERROR(__xludf.DUMMYFUNCTION("""COMPUTED_VALUE"""),"Pam Marcum, (480) 332-5414")</f>
        <v>Pam Marcum, (480) 332-5414</v>
      </c>
      <c r="O394" t="str">
        <f>IFERROR(__xludf.DUMMYFUNCTION("""COMPUTED_VALUE"""),"Vincent McClure")</f>
        <v>Vincent McClure</v>
      </c>
      <c r="P394" t="str">
        <f>IFERROR(__xludf.DUMMYFUNCTION("""COMPUTED_VALUE"""),"Pam")</f>
        <v>Pam</v>
      </c>
      <c r="Q394" t="str">
        <f>IFERROR(__xludf.DUMMYFUNCTION("""COMPUTED_VALUE"""),"All items in working order")</f>
        <v>All items in working order</v>
      </c>
      <c r="AE394" s="11"/>
      <c r="AF394" t="s">
        <v>218</v>
      </c>
      <c r="AG394" s="17" t="s">
        <v>18</v>
      </c>
      <c r="AH394" s="12">
        <v>1400.0</v>
      </c>
      <c r="AI394" s="12" t="s">
        <v>1136</v>
      </c>
      <c r="AJ394" s="19" t="s">
        <v>1137</v>
      </c>
      <c r="AK394" s="20" t="str">
        <f>HYPERLINK("https://docs.google.com/document/d/1R67aWa6YbeD9LJQCyYhLFFgo-n7BFuc4yGofXLj2i4s/edit?usp=drivesdk","Pam Marcum - 10/10/2019 8:15 AM")</f>
        <v>Pam Marcum - 10/10/2019 8:15 AM</v>
      </c>
      <c r="AL394" s="12" t="s">
        <v>1138</v>
      </c>
    </row>
    <row r="395">
      <c r="A395" s="10">
        <f>IFERROR(__xludf.DUMMYFUNCTION("""COMPUTED_VALUE"""),43748.63852334491)</f>
        <v>43748.63852</v>
      </c>
      <c r="B395" s="11" t="str">
        <f>IFERROR(__xludf.DUMMYFUNCTION("""COMPUTED_VALUE"""),"Silas Tanner")</f>
        <v>Silas Tanner</v>
      </c>
      <c r="C395" t="str">
        <f>IFERROR(__xludf.DUMMYFUNCTION("""COMPUTED_VALUE"""),"silas.tanner@floridadep.gov")</f>
        <v>silas.tanner@floridadep.gov</v>
      </c>
      <c r="D395" t="str">
        <f>IFERROR(__xludf.DUMMYFUNCTION("""COMPUTED_VALUE"""),"Research/Nikki")</f>
        <v>Research/Nikki</v>
      </c>
      <c r="E395" t="str">
        <f>IFERROR(__xludf.DUMMYFUNCTION("""COMPUTED_VALUE"""),"Faver Dykes dock")</f>
        <v>Faver Dykes dock</v>
      </c>
      <c r="F395" s="13">
        <f>IFERROR(__xludf.DUMMYFUNCTION("""COMPUTED_VALUE"""),0.6388888888905058)</f>
        <v>0.6388888889</v>
      </c>
      <c r="G395" s="14">
        <f>IFERROR(__xludf.DUMMYFUNCTION("""COMPUTED_VALUE"""),43748.0)</f>
        <v>43748</v>
      </c>
      <c r="H395" t="str">
        <f>IFERROR(__xludf.DUMMYFUNCTION("""COMPUTED_VALUE"""),"Pellicer Creek platforms")</f>
        <v>Pellicer Creek platforms</v>
      </c>
      <c r="I395" s="15">
        <f>IFERROR(__xludf.DUMMYFUNCTION("""COMPUTED_VALUE"""),0.6979166666678793)</f>
        <v>0.6979166667</v>
      </c>
      <c r="J395" s="16">
        <f>IFERROR(__xludf.DUMMYFUNCTION("""COMPUTED_VALUE"""),43748.73958333333)</f>
        <v>43748.73958</v>
      </c>
      <c r="K395" t="str">
        <f>IFERROR(__xludf.DUMMYFUNCTION("""COMPUTED_VALUE"""),"20ft Sea Ark FL5351SJ UNF 2015")</f>
        <v>20ft Sea Ark FL5351SJ UNF 2015</v>
      </c>
      <c r="M395" t="str">
        <f>IFERROR(__xludf.DUMMYFUNCTION("""COMPUTED_VALUE"""),"Ford F250 2017 (Moby Dix) - DEP0021578")</f>
        <v>Ford F250 2017 (Moby Dix) - DEP0021578</v>
      </c>
      <c r="N395" t="str">
        <f>IFERROR(__xludf.DUMMYFUNCTION("""COMPUTED_VALUE"""),"Shannon Dunnigan, (803) 727-5734, Silas Tanner, (904) 483-8423")</f>
        <v>Shannon Dunnigan, (803) 727-5734, Silas Tanner, (904) 483-8423</v>
      </c>
      <c r="P395" t="str">
        <f>IFERROR(__xludf.DUMMYFUNCTION("""COMPUTED_VALUE"""),"Dunnigan")</f>
        <v>Dunnigan</v>
      </c>
      <c r="Q395" t="str">
        <f>IFERROR(__xludf.DUMMYFUNCTION("""COMPUTED_VALUE"""),"All items in working order")</f>
        <v>All items in working order</v>
      </c>
      <c r="AE395" s="11"/>
      <c r="AF395" t="s">
        <v>218</v>
      </c>
      <c r="AG395" s="17" t="s">
        <v>18</v>
      </c>
      <c r="AH395" s="12">
        <v>1615.0</v>
      </c>
      <c r="AI395" s="12" t="s">
        <v>1139</v>
      </c>
      <c r="AJ395" s="19" t="s">
        <v>1140</v>
      </c>
      <c r="AK395" s="20" t="str">
        <f>HYPERLINK("https://docs.google.com/document/d/1i0dCUy4yeQ9EZHTLMk-Eqs7L_Kd-gV0olElUP-cbPpQ/edit?usp=drivesdk","Silas Tanner - 10/10/2019 3:20 PM")</f>
        <v>Silas Tanner - 10/10/2019 3:20 PM</v>
      </c>
      <c r="AL395" s="12" t="s">
        <v>1141</v>
      </c>
    </row>
    <row r="396">
      <c r="A396" s="10">
        <f>IFERROR(__xludf.DUMMYFUNCTION("""COMPUTED_VALUE"""),43752.375165254634)</f>
        <v>43752.37517</v>
      </c>
      <c r="B396" s="11" t="str">
        <f>IFERROR(__xludf.DUMMYFUNCTION("""COMPUTED_VALUE"""),"Jimmy Tomazinis")</f>
        <v>Jimmy Tomazinis</v>
      </c>
      <c r="C396" t="str">
        <f>IFERROR(__xludf.DUMMYFUNCTION("""COMPUTED_VALUE"""),"james.tomazinis@floridadep.gov")</f>
        <v>james.tomazinis@floridadep.gov</v>
      </c>
      <c r="D396" t="str">
        <f>IFERROR(__xludf.DUMMYFUNCTION("""COMPUTED_VALUE"""),"Stewardship (Aquatic)")</f>
        <v>Stewardship (Aquatic)</v>
      </c>
      <c r="E396" t="str">
        <f>IFERROR(__xludf.DUMMYFUNCTION("""COMPUTED_VALUE"""),"Dee Dee Bartels and Goffinsville Park")</f>
        <v>Dee Dee Bartels and Goffinsville Park</v>
      </c>
      <c r="F396" s="13">
        <f>IFERROR(__xludf.DUMMYFUNCTION("""COMPUTED_VALUE"""),0.4166666666678793)</f>
        <v>0.4166666667</v>
      </c>
      <c r="G396" s="14">
        <f>IFERROR(__xludf.DUMMYFUNCTION("""COMPUTED_VALUE"""),43752.0)</f>
        <v>43752</v>
      </c>
      <c r="H396" t="str">
        <f>IFERROR(__xludf.DUMMYFUNCTION("""COMPUTED_VALUE"""),"NEAP WQ sites")</f>
        <v>NEAP WQ sites</v>
      </c>
      <c r="I396" s="15">
        <f>IFERROR(__xludf.DUMMYFUNCTION("""COMPUTED_VALUE"""),0.625)</f>
        <v>0.625</v>
      </c>
      <c r="J396" s="16"/>
      <c r="K396" t="str">
        <f>IFERROR(__xludf.DUMMYFUNCTION("""COMPUTED_VALUE"""),"17ft Skiff (Marsha) FL0642GW DEP07239")</f>
        <v>17ft Skiff (Marsha) FL0642GW DEP07239</v>
      </c>
      <c r="M396" t="str">
        <f>IFERROR(__xludf.DUMMYFUNCTION("""COMPUTED_VALUE"""),"Ford F150 2008 (SWMP Thing) - DEP18041")</f>
        <v>Ford F150 2008 (SWMP Thing) - DEP18041</v>
      </c>
      <c r="N396" t="str">
        <f>IFERROR(__xludf.DUMMYFUNCTION("""COMPUTED_VALUE"""),"Jimmy Tomazinis, (904) 547-0094")</f>
        <v>Jimmy Tomazinis, (904) 547-0094</v>
      </c>
      <c r="O396" t="str">
        <f>IFERROR(__xludf.DUMMYFUNCTION("""COMPUTED_VALUE"""),"Suzi")</f>
        <v>Suzi</v>
      </c>
      <c r="P396" t="str">
        <f>IFERROR(__xludf.DUMMYFUNCTION("""COMPUTED_VALUE"""),"Jimmy")</f>
        <v>Jimmy</v>
      </c>
      <c r="Q396" t="str">
        <f>IFERROR(__xludf.DUMMYFUNCTION("""COMPUTED_VALUE"""),"All items in working order")</f>
        <v>All items in working order</v>
      </c>
      <c r="AE396" s="11"/>
      <c r="AF396" t="s">
        <v>32</v>
      </c>
      <c r="AG396" s="17" t="s">
        <v>18</v>
      </c>
      <c r="AH396" s="12">
        <v>1445.0</v>
      </c>
      <c r="AI396" s="12" t="s">
        <v>1142</v>
      </c>
      <c r="AJ396" s="19" t="s">
        <v>1143</v>
      </c>
      <c r="AK396" s="20" t="str">
        <f>HYPERLINK("https://docs.google.com/document/d/1_OnavftpgaDV9tNWiIoIvKJWpdcg19g3rscONyVRkDo/edit?usp=drivesdk","Jimmy Tomazinis - 10/14/2019 10:00 AM")</f>
        <v>Jimmy Tomazinis - 10/14/2019 10:00 AM</v>
      </c>
      <c r="AL396" s="12" t="s">
        <v>1144</v>
      </c>
    </row>
    <row r="397">
      <c r="A397" s="10">
        <f>IFERROR(__xludf.DUMMYFUNCTION("""COMPUTED_VALUE"""),43752.37637513889)</f>
        <v>43752.37638</v>
      </c>
      <c r="B397" s="11" t="str">
        <f>IFERROR(__xludf.DUMMYFUNCTION("""COMPUTED_VALUE"""),"Scott Eastman")</f>
        <v>Scott Eastman</v>
      </c>
      <c r="C397" t="str">
        <f>IFERROR(__xludf.DUMMYFUNCTION("""COMPUTED_VALUE"""),"scott.eastman@floridadep.gov")</f>
        <v>scott.eastman@floridadep.gov</v>
      </c>
      <c r="D397" t="str">
        <f>IFERROR(__xludf.DUMMYFUNCTION("""COMPUTED_VALUE"""),"Stewardship (Aquatic)")</f>
        <v>Stewardship (Aquatic)</v>
      </c>
      <c r="E397" t="str">
        <f>IFERROR(__xludf.DUMMYFUNCTION("""COMPUTED_VALUE"""),"Guana Dam")</f>
        <v>Guana Dam</v>
      </c>
      <c r="F397" s="13">
        <f>IFERROR(__xludf.DUMMYFUNCTION("""COMPUTED_VALUE"""),0.4375)</f>
        <v>0.4375</v>
      </c>
      <c r="G397" s="14">
        <f>IFERROR(__xludf.DUMMYFUNCTION("""COMPUTED_VALUE"""),43752.0)</f>
        <v>43752</v>
      </c>
      <c r="H397" t="str">
        <f>IFERROR(__xludf.DUMMYFUNCTION("""COMPUTED_VALUE"""),"Guana River WQ sites")</f>
        <v>Guana River WQ sites</v>
      </c>
      <c r="I397" s="15">
        <f>IFERROR(__xludf.DUMMYFUNCTION("""COMPUTED_VALUE"""),0.5)</f>
        <v>0.5</v>
      </c>
      <c r="J397" s="16"/>
      <c r="K397" t="str">
        <f>IFERROR(__xludf.DUMMYFUNCTION("""COMPUTED_VALUE"""),"Jon Boat FL0484NP DEP06819")</f>
        <v>Jon Boat FL0484NP DEP06819</v>
      </c>
      <c r="M397" t="str">
        <f>IFERROR(__xludf.DUMMYFUNCTION("""COMPUTED_VALUE"""),"Ford F150 2015 (White) - DEP21448")</f>
        <v>Ford F150 2015 (White) - DEP21448</v>
      </c>
      <c r="N397" t="str">
        <f>IFERROR(__xludf.DUMMYFUNCTION("""COMPUTED_VALUE"""),"Scott Eastman, (904) 501-9267")</f>
        <v>Scott Eastman, (904) 501-9267</v>
      </c>
      <c r="O397" t="str">
        <f>IFERROR(__xludf.DUMMYFUNCTION("""COMPUTED_VALUE"""),"Jessica Lee")</f>
        <v>Jessica Lee</v>
      </c>
      <c r="P397" t="str">
        <f>IFERROR(__xludf.DUMMYFUNCTION("""COMPUTED_VALUE"""),"Scott")</f>
        <v>Scott</v>
      </c>
      <c r="Q397" t="str">
        <f>IFERROR(__xludf.DUMMYFUNCTION("""COMPUTED_VALUE"""),"All items in working order")</f>
        <v>All items in working order</v>
      </c>
      <c r="AE397" s="11"/>
      <c r="AF397" t="s">
        <v>32</v>
      </c>
      <c r="AG397" s="25" t="s">
        <v>18</v>
      </c>
      <c r="AH397" s="12">
        <v>1200.0</v>
      </c>
      <c r="AI397" s="12" t="s">
        <v>1145</v>
      </c>
      <c r="AJ397" s="19" t="s">
        <v>1146</v>
      </c>
      <c r="AK397" s="20" t="str">
        <f>HYPERLINK("https://docs.google.com/document/d/1T1xgt2ahMRDccE_WEFm_45PLgPC27Ub_s2m5i78_c2Q/edit?usp=drivesdk","Scott Eastman - 10/14/2019 10:30 AM")</f>
        <v>Scott Eastman - 10/14/2019 10:30 AM</v>
      </c>
      <c r="AL397" s="12" t="s">
        <v>1147</v>
      </c>
    </row>
    <row r="398">
      <c r="A398" s="10">
        <f>IFERROR(__xludf.DUMMYFUNCTION("""COMPUTED_VALUE"""),43753.36580854166)</f>
        <v>43753.36581</v>
      </c>
      <c r="B398" s="11" t="str">
        <f>IFERROR(__xludf.DUMMYFUNCTION("""COMPUTED_VALUE"""),"Silas Tanner")</f>
        <v>Silas Tanner</v>
      </c>
      <c r="C398" t="str">
        <f>IFERROR(__xludf.DUMMYFUNCTION("""COMPUTED_VALUE"""),"silas.tanner@floridadep.gov")</f>
        <v>silas.tanner@floridadep.gov</v>
      </c>
      <c r="D398" t="str">
        <f>IFERROR(__xludf.DUMMYFUNCTION("""COMPUTED_VALUE"""),"Research/Nikki")</f>
        <v>Research/Nikki</v>
      </c>
      <c r="E398" t="str">
        <f>IFERROR(__xludf.DUMMYFUNCTION("""COMPUTED_VALUE"""),"Vilano Landing")</f>
        <v>Vilano Landing</v>
      </c>
      <c r="F398" s="13">
        <f>IFERROR(__xludf.DUMMYFUNCTION("""COMPUTED_VALUE"""),0.3958333333321207)</f>
        <v>0.3958333333</v>
      </c>
      <c r="G398" s="14">
        <f>IFERROR(__xludf.DUMMYFUNCTION("""COMPUTED_VALUE"""),43753.0)</f>
        <v>43753</v>
      </c>
      <c r="H398" t="str">
        <f>IFERROR(__xludf.DUMMYFUNCTION("""COMPUTED_VALUE"""),"ICW SWMP sites")</f>
        <v>ICW SWMP sites</v>
      </c>
      <c r="I398" s="15">
        <f>IFERROR(__xludf.DUMMYFUNCTION("""COMPUTED_VALUE"""),0.6041666666678793)</f>
        <v>0.6041666667</v>
      </c>
      <c r="J398" s="16">
        <f>IFERROR(__xludf.DUMMYFUNCTION("""COMPUTED_VALUE"""),43753.625)</f>
        <v>43753.625</v>
      </c>
      <c r="K398" t="str">
        <f>IFERROR(__xludf.DUMMYFUNCTION("""COMPUTED_VALUE"""),"23ft Skiff (Bertha) FL7972LJ DEP07613")</f>
        <v>23ft Skiff (Bertha) FL7972LJ DEP07613</v>
      </c>
      <c r="M398" t="str">
        <f>IFERROR(__xludf.DUMMYFUNCTION("""COMPUTED_VALUE"""),"Ford F150 2015 (White) - DEP21448")</f>
        <v>Ford F150 2015 (White) - DEP21448</v>
      </c>
      <c r="N398" t="str">
        <f>IFERROR(__xludf.DUMMYFUNCTION("""COMPUTED_VALUE"""),"Silas Tanner, (904) 483-8423")</f>
        <v>Silas Tanner, (904) 483-8423</v>
      </c>
      <c r="O398" t="str">
        <f>IFERROR(__xludf.DUMMYFUNCTION("""COMPUTED_VALUE"""),"Alee Knoell, (619) 750-4833, Sloane Stephens, Esther Duffy")</f>
        <v>Alee Knoell, (619) 750-4833, Sloane Stephens, Esther Duffy</v>
      </c>
      <c r="P398" t="str">
        <f>IFERROR(__xludf.DUMMYFUNCTION("""COMPUTED_VALUE"""),"Silas Tanner")</f>
        <v>Silas Tanner</v>
      </c>
      <c r="Q398" t="str">
        <f>IFERROR(__xludf.DUMMYFUNCTION("""COMPUTED_VALUE"""),"All items in working order")</f>
        <v>All items in working order</v>
      </c>
      <c r="AE398" s="11"/>
      <c r="AF398" t="s">
        <v>218</v>
      </c>
      <c r="AG398" s="17" t="s">
        <v>43</v>
      </c>
      <c r="AH398" s="12">
        <v>1436.0</v>
      </c>
      <c r="AI398" s="12" t="s">
        <v>1148</v>
      </c>
      <c r="AJ398" s="19" t="s">
        <v>1149</v>
      </c>
      <c r="AK398" s="20" t="str">
        <f>HYPERLINK("https://docs.google.com/document/d/13H-CpRkpjg-LceS1ZdSkL48440YBkAfc0YrhA4v9dnk/edit?usp=drivesdk","Silas Tanner - 10/15/2019 9:30 AM")</f>
        <v>Silas Tanner - 10/15/2019 9:30 AM</v>
      </c>
      <c r="AL398" s="12" t="s">
        <v>1150</v>
      </c>
    </row>
    <row r="399">
      <c r="A399" s="10">
        <f>IFERROR(__xludf.DUMMYFUNCTION("""COMPUTED_VALUE"""),43753.575940162045)</f>
        <v>43753.57594</v>
      </c>
      <c r="B399" s="11" t="str">
        <f>IFERROR(__xludf.DUMMYFUNCTION("""COMPUTED_VALUE"""),"Jessica Lee")</f>
        <v>Jessica Lee</v>
      </c>
      <c r="C399" t="str">
        <f>IFERROR(__xludf.DUMMYFUNCTION("""COMPUTED_VALUE"""),"jessica.lee@dep.state.fl.us")</f>
        <v>jessica.lee@dep.state.fl.us</v>
      </c>
      <c r="D399" t="str">
        <f>IFERROR(__xludf.DUMMYFUNCTION("""COMPUTED_VALUE"""),"Research/Shannon")</f>
        <v>Research/Shannon</v>
      </c>
      <c r="E399" t="str">
        <f>IFERROR(__xludf.DUMMYFUNCTION("""COMPUTED_VALUE"""),"Guana River Rd")</f>
        <v>Guana River Rd</v>
      </c>
      <c r="F399" s="13">
        <f>IFERROR(__xludf.DUMMYFUNCTION("""COMPUTED_VALUE"""),0.5)</f>
        <v>0.5</v>
      </c>
      <c r="G399" s="14">
        <f>IFERROR(__xludf.DUMMYFUNCTION("""COMPUTED_VALUE"""),43754.0)</f>
        <v>43754</v>
      </c>
      <c r="H399" t="str">
        <f>IFERROR(__xludf.DUMMYFUNCTION("""COMPUTED_VALUE"""),"Guana River")</f>
        <v>Guana River</v>
      </c>
      <c r="I399" s="15">
        <f>IFERROR(__xludf.DUMMYFUNCTION("""COMPUTED_VALUE"""),0.5625)</f>
        <v>0.5625</v>
      </c>
      <c r="J399" s="16">
        <f>IFERROR(__xludf.DUMMYFUNCTION("""COMPUTED_VALUE"""),43754.57291666667)</f>
        <v>43754.57292</v>
      </c>
      <c r="K399" t="str">
        <f>IFERROR(__xludf.DUMMYFUNCTION("""COMPUTED_VALUE"""),"Jon Boat FL0484NP DEP06819")</f>
        <v>Jon Boat FL0484NP DEP06819</v>
      </c>
      <c r="M399" t="str">
        <f>IFERROR(__xludf.DUMMYFUNCTION("""COMPUTED_VALUE"""),"Ford F150 2015 (White) - DEP21448")</f>
        <v>Ford F150 2015 (White) - DEP21448</v>
      </c>
      <c r="N399" t="str">
        <f>IFERROR(__xludf.DUMMYFUNCTION("""COMPUTED_VALUE"""),"Nikki Dix, (352) 219-4079")</f>
        <v>Nikki Dix, (352) 219-4079</v>
      </c>
      <c r="P399" t="str">
        <f>IFERROR(__xludf.DUMMYFUNCTION("""COMPUTED_VALUE"""),"Nikki")</f>
        <v>Nikki</v>
      </c>
      <c r="Q399" t="str">
        <f>IFERROR(__xludf.DUMMYFUNCTION("""COMPUTED_VALUE"""),"All items in working order")</f>
        <v>All items in working order</v>
      </c>
      <c r="AE399" s="11"/>
      <c r="AF399" t="s">
        <v>269</v>
      </c>
      <c r="AG399" s="18"/>
      <c r="AI399" s="12" t="s">
        <v>1151</v>
      </c>
      <c r="AJ399" s="19" t="s">
        <v>1152</v>
      </c>
      <c r="AK399" s="20" t="str">
        <f>HYPERLINK("https://docs.google.com/document/d/1QYU0K6Bg_b60Qb0JUgvwx83i12Fa5B9QcOUKDlg8KR4/edit?usp=drivesdk","Jessica Lee - 10/16/2019 12:00 PM")</f>
        <v>Jessica Lee - 10/16/2019 12:00 PM</v>
      </c>
      <c r="AL399" s="12" t="s">
        <v>1153</v>
      </c>
    </row>
    <row r="400">
      <c r="A400" s="10">
        <f>IFERROR(__xludf.DUMMYFUNCTION("""COMPUTED_VALUE"""),43755.28520549768)</f>
        <v>43755.28521</v>
      </c>
      <c r="B400" s="11" t="str">
        <f>IFERROR(__xludf.DUMMYFUNCTION("""COMPUTED_VALUE"""),"Pam Marcum")</f>
        <v>Pam Marcum</v>
      </c>
      <c r="C400" t="str">
        <f>IFERROR(__xludf.DUMMYFUNCTION("""COMPUTED_VALUE"""),"Pamela.Marcum@dep.state.fl.us")</f>
        <v>Pamela.Marcum@dep.state.fl.us</v>
      </c>
      <c r="D400" t="str">
        <f>IFERROR(__xludf.DUMMYFUNCTION("""COMPUTED_VALUE"""),"Research/Nikki")</f>
        <v>Research/Nikki</v>
      </c>
      <c r="E400" t="str">
        <f>IFERROR(__xludf.DUMMYFUNCTION("""COMPUTED_VALUE"""),"Faver Dykes State Park")</f>
        <v>Faver Dykes State Park</v>
      </c>
      <c r="F400" s="13">
        <f>IFERROR(__xludf.DUMMYFUNCTION("""COMPUTED_VALUE"""),0.34375)</f>
        <v>0.34375</v>
      </c>
      <c r="G400" s="14">
        <f>IFERROR(__xludf.DUMMYFUNCTION("""COMPUTED_VALUE"""),43755.0)</f>
        <v>43755</v>
      </c>
      <c r="H400" t="str">
        <f>IFERROR(__xludf.DUMMYFUNCTION("""COMPUTED_VALUE"""),"Pellicer Mouth")</f>
        <v>Pellicer Mouth</v>
      </c>
      <c r="I400" s="15">
        <f>IFERROR(__xludf.DUMMYFUNCTION("""COMPUTED_VALUE"""),0.5833333333321207)</f>
        <v>0.5833333333</v>
      </c>
      <c r="J400" s="16">
        <f>IFERROR(__xludf.DUMMYFUNCTION("""COMPUTED_VALUE"""),43755.64583333333)</f>
        <v>43755.64583</v>
      </c>
      <c r="K400" t="str">
        <f>IFERROR(__xludf.DUMMYFUNCTION("""COMPUTED_VALUE"""),"17ft Skiff (Marsha) FL0642GW DEP07239")</f>
        <v>17ft Skiff (Marsha) FL0642GW DEP07239</v>
      </c>
      <c r="M400" t="str">
        <f>IFERROR(__xludf.DUMMYFUNCTION("""COMPUTED_VALUE"""),"Ford F150 2008 (SWMP Thing) - DEP18041")</f>
        <v>Ford F150 2008 (SWMP Thing) - DEP18041</v>
      </c>
      <c r="N400" t="str">
        <f>IFERROR(__xludf.DUMMYFUNCTION("""COMPUTED_VALUE"""),"Pam Marcum, (480) 332-5414")</f>
        <v>Pam Marcum, (480) 332-5414</v>
      </c>
      <c r="O400" t="str">
        <f>IFERROR(__xludf.DUMMYFUNCTION("""COMPUTED_VALUE"""),"Alee Knoell, (619) 750-4833")</f>
        <v>Alee Knoell, (619) 750-4833</v>
      </c>
      <c r="P400" t="str">
        <f>IFERROR(__xludf.DUMMYFUNCTION("""COMPUTED_VALUE"""),"Pam")</f>
        <v>Pam</v>
      </c>
      <c r="Q400" t="str">
        <f>IFERROR(__xludf.DUMMYFUNCTION("""COMPUTED_VALUE"""),"All items in working order")</f>
        <v>All items in working order</v>
      </c>
      <c r="AE400" s="11"/>
      <c r="AF400" t="s">
        <v>218</v>
      </c>
      <c r="AG400" s="17" t="s">
        <v>18</v>
      </c>
      <c r="AH400" s="12">
        <v>1230.0</v>
      </c>
      <c r="AI400" s="12" t="s">
        <v>1154</v>
      </c>
      <c r="AJ400" s="19" t="s">
        <v>1155</v>
      </c>
      <c r="AK400" s="20" t="str">
        <f>HYPERLINK("https://docs.google.com/document/d/1al6pBTAEsUyBSpAntmTSWLZzNIag_kw43aas-BmHQso/edit?usp=drivesdk","Pam Marcum - 10/17/2019 8:15 AM")</f>
        <v>Pam Marcum - 10/17/2019 8:15 AM</v>
      </c>
      <c r="AL400" s="12" t="s">
        <v>1156</v>
      </c>
    </row>
    <row r="401">
      <c r="A401" s="10">
        <f>IFERROR(__xludf.DUMMYFUNCTION("""COMPUTED_VALUE"""),43759.34439630787)</f>
        <v>43759.3444</v>
      </c>
      <c r="B401" s="11" t="str">
        <f>IFERROR(__xludf.DUMMYFUNCTION("""COMPUTED_VALUE"""),"Silas Tanner")</f>
        <v>Silas Tanner</v>
      </c>
      <c r="C401" t="str">
        <f>IFERROR(__xludf.DUMMYFUNCTION("""COMPUTED_VALUE"""),"silas.tanner@floridadep.gov")</f>
        <v>silas.tanner@floridadep.gov</v>
      </c>
      <c r="D401" t="str">
        <f>IFERROR(__xludf.DUMMYFUNCTION("""COMPUTED_VALUE"""),"Research/Nikki")</f>
        <v>Research/Nikki</v>
      </c>
      <c r="E401" t="str">
        <f>IFERROR(__xludf.DUMMYFUNCTION("""COMPUTED_VALUE"""),"Faver Dykes State Park")</f>
        <v>Faver Dykes State Park</v>
      </c>
      <c r="F401" s="13">
        <f>IFERROR(__xludf.DUMMYFUNCTION("""COMPUTED_VALUE"""),0.4583333333321207)</f>
        <v>0.4583333333</v>
      </c>
      <c r="G401" s="14">
        <f>IFERROR(__xludf.DUMMYFUNCTION("""COMPUTED_VALUE"""),43759.0)</f>
        <v>43759</v>
      </c>
      <c r="H401" t="str">
        <f>IFERROR(__xludf.DUMMYFUNCTION("""COMPUTED_VALUE"""),"Pellicer Creek SWMP platforms")</f>
        <v>Pellicer Creek SWMP platforms</v>
      </c>
      <c r="I401" s="15">
        <f>IFERROR(__xludf.DUMMYFUNCTION("""COMPUTED_VALUE"""),0.5833333333321207)</f>
        <v>0.5833333333</v>
      </c>
      <c r="J401" s="16">
        <f>IFERROR(__xludf.DUMMYFUNCTION("""COMPUTED_VALUE"""),43759.64583333333)</f>
        <v>43759.64583</v>
      </c>
      <c r="K401" t="str">
        <f>IFERROR(__xludf.DUMMYFUNCTION("""COMPUTED_VALUE"""),"20ft Sea Ark FL5351SJ UNF 2015")</f>
        <v>20ft Sea Ark FL5351SJ UNF 2015</v>
      </c>
      <c r="M401" t="str">
        <f>IFERROR(__xludf.DUMMYFUNCTION("""COMPUTED_VALUE"""),"Ford F250 2017 (Moby Dix) - DEP0021578")</f>
        <v>Ford F250 2017 (Moby Dix) - DEP0021578</v>
      </c>
      <c r="N401" t="str">
        <f>IFERROR(__xludf.DUMMYFUNCTION("""COMPUTED_VALUE"""),"Shannon Dunnigan, (803) 727-5734, Silas Tanner, (904) 483-8423")</f>
        <v>Shannon Dunnigan, (803) 727-5734, Silas Tanner, (904) 483-8423</v>
      </c>
      <c r="O401" t="str">
        <f>IFERROR(__xludf.DUMMYFUNCTION("""COMPUTED_VALUE"""),"Casey McClure")</f>
        <v>Casey McClure</v>
      </c>
      <c r="P401" t="str">
        <f>IFERROR(__xludf.DUMMYFUNCTION("""COMPUTED_VALUE"""),"S. Dunnigan")</f>
        <v>S. Dunnigan</v>
      </c>
      <c r="Q401" t="str">
        <f>IFERROR(__xludf.DUMMYFUNCTION("""COMPUTED_VALUE"""),"All items in working order")</f>
        <v>All items in working order</v>
      </c>
      <c r="AE401" s="11"/>
      <c r="AF401" t="s">
        <v>218</v>
      </c>
      <c r="AG401" s="17" t="s">
        <v>18</v>
      </c>
      <c r="AH401" s="12">
        <v>1320.0</v>
      </c>
      <c r="AI401" s="12" t="s">
        <v>1157</v>
      </c>
      <c r="AJ401" s="19" t="s">
        <v>1158</v>
      </c>
      <c r="AK401" s="20" t="str">
        <f>HYPERLINK("https://docs.google.com/document/d/1n-LG2HTy2qCWVs8L1YdkpPeRR8p2QgvCem4gUFsY-ls/edit?usp=drivesdk","Silas Tanner - 10/21/2019 11:00 AM")</f>
        <v>Silas Tanner - 10/21/2019 11:00 AM</v>
      </c>
      <c r="AL401" s="12" t="s">
        <v>1159</v>
      </c>
    </row>
    <row r="402">
      <c r="A402" s="10">
        <f>IFERROR(__xludf.DUMMYFUNCTION("""COMPUTED_VALUE"""),43760.405569386574)</f>
        <v>43760.40557</v>
      </c>
      <c r="B402" s="11" t="str">
        <f>IFERROR(__xludf.DUMMYFUNCTION("""COMPUTED_VALUE"""),"Pam Marcum")</f>
        <v>Pam Marcum</v>
      </c>
      <c r="C402" t="str">
        <f>IFERROR(__xludf.DUMMYFUNCTION("""COMPUTED_VALUE"""),"Pamela.Marcum@FloridaDEP.gov")</f>
        <v>Pamela.Marcum@FloridaDEP.gov</v>
      </c>
      <c r="D402" t="str">
        <f>IFERROR(__xludf.DUMMYFUNCTION("""COMPUTED_VALUE"""),"Research/Nikki")</f>
        <v>Research/Nikki</v>
      </c>
      <c r="E402" t="str">
        <f>IFERROR(__xludf.DUMMYFUNCTION("""COMPUTED_VALUE"""),"Faver-Dykes")</f>
        <v>Faver-Dykes</v>
      </c>
      <c r="F402" s="13">
        <f>IFERROR(__xludf.DUMMYFUNCTION("""COMPUTED_VALUE"""),0.4791666666678793)</f>
        <v>0.4791666667</v>
      </c>
      <c r="G402" s="14">
        <f>IFERROR(__xludf.DUMMYFUNCTION("""COMPUTED_VALUE"""),43760.0)</f>
        <v>43760</v>
      </c>
      <c r="H402" t="str">
        <f>IFERROR(__xludf.DUMMYFUNCTION("""COMPUTED_VALUE"""),"Pellicer Middle")</f>
        <v>Pellicer Middle</v>
      </c>
      <c r="I402" s="15">
        <f>IFERROR(__xludf.DUMMYFUNCTION("""COMPUTED_VALUE"""),0.625)</f>
        <v>0.625</v>
      </c>
      <c r="J402" s="16">
        <f>IFERROR(__xludf.DUMMYFUNCTION("""COMPUTED_VALUE"""),43760.6875)</f>
        <v>43760.6875</v>
      </c>
      <c r="K402" t="str">
        <f>IFERROR(__xludf.DUMMYFUNCTION("""COMPUTED_VALUE"""),"17ft Skiff (Marsha) FL0642GW DEP07239")</f>
        <v>17ft Skiff (Marsha) FL0642GW DEP07239</v>
      </c>
      <c r="M402" t="str">
        <f>IFERROR(__xludf.DUMMYFUNCTION("""COMPUTED_VALUE"""),"Ford F150 2008 (SWMP Thing) - DEP18041")</f>
        <v>Ford F150 2008 (SWMP Thing) - DEP18041</v>
      </c>
      <c r="N402" t="str">
        <f>IFERROR(__xludf.DUMMYFUNCTION("""COMPUTED_VALUE"""),"Pam Marcum, (480) 332-5414")</f>
        <v>Pam Marcum, (480) 332-5414</v>
      </c>
      <c r="O402" t="str">
        <f>IFERROR(__xludf.DUMMYFUNCTION("""COMPUTED_VALUE"""),"Stephen Brown")</f>
        <v>Stephen Brown</v>
      </c>
      <c r="P402" t="str">
        <f>IFERROR(__xludf.DUMMYFUNCTION("""COMPUTED_VALUE"""),"Pam")</f>
        <v>Pam</v>
      </c>
      <c r="Q402" t="str">
        <f>IFERROR(__xludf.DUMMYFUNCTION("""COMPUTED_VALUE"""),"All items in working order")</f>
        <v>All items in working order</v>
      </c>
      <c r="AE402" s="11"/>
      <c r="AF402" t="s">
        <v>218</v>
      </c>
      <c r="AG402" s="17" t="s">
        <v>60</v>
      </c>
      <c r="AH402" s="12">
        <v>1426.0</v>
      </c>
      <c r="AI402" s="12" t="s">
        <v>1160</v>
      </c>
      <c r="AJ402" s="19" t="s">
        <v>1161</v>
      </c>
      <c r="AK402" s="20" t="str">
        <f>HYPERLINK("https://docs.google.com/document/d/1Y7vwOzLhn0eXI5u7d9d732R4pzu7_c-q0K5-TwlcbW0/edit?usp=drivesdk","Pam Marcum - 10/22/2019 11:30 AM")</f>
        <v>Pam Marcum - 10/22/2019 11:30 AM</v>
      </c>
      <c r="AL402" s="12" t="s">
        <v>1162</v>
      </c>
    </row>
    <row r="403">
      <c r="A403" s="10">
        <f>IFERROR(__xludf.DUMMYFUNCTION("""COMPUTED_VALUE"""),43761.51098082176)</f>
        <v>43761.51098</v>
      </c>
      <c r="B403" s="11" t="str">
        <f>IFERROR(__xludf.DUMMYFUNCTION("""COMPUTED_VALUE"""),"Pam Marcum")</f>
        <v>Pam Marcum</v>
      </c>
      <c r="C403" t="str">
        <f>IFERROR(__xludf.DUMMYFUNCTION("""COMPUTED_VALUE"""),"pamela.marcum@floridadep.gov")</f>
        <v>pamela.marcum@floridadep.gov</v>
      </c>
      <c r="D403" t="str">
        <f>IFERROR(__xludf.DUMMYFUNCTION("""COMPUTED_VALUE"""),"Research/Nikki")</f>
        <v>Research/Nikki</v>
      </c>
      <c r="E403" t="str">
        <f>IFERROR(__xludf.DUMMYFUNCTION("""COMPUTED_VALUE"""),"Faver dykes")</f>
        <v>Faver dykes</v>
      </c>
      <c r="F403" s="13">
        <f>IFERROR(__xludf.DUMMYFUNCTION("""COMPUTED_VALUE"""),0.5208333333321207)</f>
        <v>0.5208333333</v>
      </c>
      <c r="G403" s="14">
        <f>IFERROR(__xludf.DUMMYFUNCTION("""COMPUTED_VALUE"""),43761.0)</f>
        <v>43761</v>
      </c>
      <c r="H403" t="str">
        <f>IFERROR(__xludf.DUMMYFUNCTION("""COMPUTED_VALUE"""),"Upper pellicer creek")</f>
        <v>Upper pellicer creek</v>
      </c>
      <c r="I403" s="15">
        <f>IFERROR(__xludf.DUMMYFUNCTION("""COMPUTED_VALUE"""),0.625)</f>
        <v>0.625</v>
      </c>
      <c r="J403" s="16">
        <f>IFERROR(__xludf.DUMMYFUNCTION("""COMPUTED_VALUE"""),43761.66666666667)</f>
        <v>43761.66667</v>
      </c>
      <c r="K403" t="str">
        <f>IFERROR(__xludf.DUMMYFUNCTION("""COMPUTED_VALUE"""),"17ft Skiff (Marsha) FL0642GW DEP07239")</f>
        <v>17ft Skiff (Marsha) FL0642GW DEP07239</v>
      </c>
      <c r="M403" t="str">
        <f>IFERROR(__xludf.DUMMYFUNCTION("""COMPUTED_VALUE"""),"Ford F150 2008 (SWMP Thing) - DEP18041")</f>
        <v>Ford F150 2008 (SWMP Thing) - DEP18041</v>
      </c>
      <c r="N403" t="str">
        <f>IFERROR(__xludf.DUMMYFUNCTION("""COMPUTED_VALUE"""),"Pam Marcum, (480) 332-5414")</f>
        <v>Pam Marcum, (480) 332-5414</v>
      </c>
      <c r="O403" t="str">
        <f>IFERROR(__xludf.DUMMYFUNCTION("""COMPUTED_VALUE"""),"Alee Knoell, (619) 750-4833, Esther duffy")</f>
        <v>Alee Knoell, (619) 750-4833, Esther duffy</v>
      </c>
      <c r="P403" t="str">
        <f>IFERROR(__xludf.DUMMYFUNCTION("""COMPUTED_VALUE"""),"Pam")</f>
        <v>Pam</v>
      </c>
      <c r="Q403" t="str">
        <f>IFERROR(__xludf.DUMMYFUNCTION("""COMPUTED_VALUE"""),"All items in working order")</f>
        <v>All items in working order</v>
      </c>
      <c r="AE403" s="11"/>
      <c r="AF403" t="s">
        <v>218</v>
      </c>
      <c r="AG403" s="17" t="s">
        <v>18</v>
      </c>
      <c r="AH403" s="12">
        <v>1500.0</v>
      </c>
      <c r="AI403" s="12" t="s">
        <v>1163</v>
      </c>
      <c r="AJ403" s="19" t="s">
        <v>1164</v>
      </c>
      <c r="AK403" s="20" t="str">
        <f>HYPERLINK("https://docs.google.com/document/d/1yjeYvgPYir5ZjPhpr6dgyr3QLWQtzniq9SwDgTcD6K4/edit?usp=drivesdk","Pam Marcum - 10/23/2019 12:30 PM")</f>
        <v>Pam Marcum - 10/23/2019 12:30 PM</v>
      </c>
      <c r="AL403" s="12" t="s">
        <v>1165</v>
      </c>
    </row>
    <row r="404">
      <c r="A404" s="10">
        <f>IFERROR(__xludf.DUMMYFUNCTION("""COMPUTED_VALUE"""),43762.365408518526)</f>
        <v>43762.36541</v>
      </c>
      <c r="B404" s="11" t="str">
        <f>IFERROR(__xludf.DUMMYFUNCTION("""COMPUTED_VALUE"""),"Jimmy Tomazinis")</f>
        <v>Jimmy Tomazinis</v>
      </c>
      <c r="C404" t="str">
        <f>IFERROR(__xludf.DUMMYFUNCTION("""COMPUTED_VALUE"""),"james.tomazinis@floridadep.gov")</f>
        <v>james.tomazinis@floridadep.gov</v>
      </c>
      <c r="D404" t="str">
        <f>IFERROR(__xludf.DUMMYFUNCTION("""COMPUTED_VALUE"""),"Stewardship (Aquatic)")</f>
        <v>Stewardship (Aquatic)</v>
      </c>
      <c r="E404" t="str">
        <f>IFERROR(__xludf.DUMMYFUNCTION("""COMPUTED_VALUE"""),"Vilano")</f>
        <v>Vilano</v>
      </c>
      <c r="F404" s="13">
        <f>IFERROR(__xludf.DUMMYFUNCTION("""COMPUTED_VALUE"""),0.3854166666678793)</f>
        <v>0.3854166667</v>
      </c>
      <c r="G404" s="14">
        <f>IFERROR(__xludf.DUMMYFUNCTION("""COMPUTED_VALUE"""),43762.0)</f>
        <v>43762</v>
      </c>
      <c r="H404" t="str">
        <f>IFERROR(__xludf.DUMMYFUNCTION("""COMPUTED_VALUE"""),"Tolomato nekton sites")</f>
        <v>Tolomato nekton sites</v>
      </c>
      <c r="I404" s="15">
        <f>IFERROR(__xludf.DUMMYFUNCTION("""COMPUTED_VALUE"""),0.6666666666678793)</f>
        <v>0.6666666667</v>
      </c>
      <c r="J404" s="16"/>
      <c r="K404" t="str">
        <f>IFERROR(__xludf.DUMMYFUNCTION("""COMPUTED_VALUE"""),"23ft Skiff (Bertha) FL7972LJ DEP07613")</f>
        <v>23ft Skiff (Bertha) FL7972LJ DEP07613</v>
      </c>
      <c r="M404" t="str">
        <f>IFERROR(__xludf.DUMMYFUNCTION("""COMPUTED_VALUE"""),"Ford F150 2015 (White) - DEP21448")</f>
        <v>Ford F150 2015 (White) - DEP21448</v>
      </c>
      <c r="N404" t="str">
        <f>IFERROR(__xludf.DUMMYFUNCTION("""COMPUTED_VALUE"""),"Jimmy Tomazinis, (904) 547-0094")</f>
        <v>Jimmy Tomazinis, (904) 547-0094</v>
      </c>
      <c r="O404" t="str">
        <f>IFERROR(__xludf.DUMMYFUNCTION("""COMPUTED_VALUE"""),"Suzi, Carl, Zach, Alex, Brian")</f>
        <v>Suzi, Carl, Zach, Alex, Brian</v>
      </c>
      <c r="P404" t="str">
        <f>IFERROR(__xludf.DUMMYFUNCTION("""COMPUTED_VALUE"""),"Jimmy")</f>
        <v>Jimmy</v>
      </c>
      <c r="Q404" t="str">
        <f>IFERROR(__xludf.DUMMYFUNCTION("""COMPUTED_VALUE"""),"All items in working order")</f>
        <v>All items in working order</v>
      </c>
      <c r="AE404" s="11"/>
      <c r="AF404" t="s">
        <v>32</v>
      </c>
      <c r="AG404" s="17" t="s">
        <v>43</v>
      </c>
      <c r="AH404" s="12">
        <v>1630.0</v>
      </c>
      <c r="AI404" s="12" t="s">
        <v>1166</v>
      </c>
      <c r="AJ404" s="19" t="s">
        <v>1167</v>
      </c>
      <c r="AK404" s="20" t="str">
        <f>HYPERLINK("https://docs.google.com/document/d/1_FZkLDX6cpRq0sc7kubw9q1L4r-RNeHr1SqbZ9kcYEw/edit?usp=drivesdk","Jimmy Tomazinis - 10/24/2019 9:15 AM")</f>
        <v>Jimmy Tomazinis - 10/24/2019 9:15 AM</v>
      </c>
      <c r="AL404" s="12" t="s">
        <v>1168</v>
      </c>
    </row>
    <row r="405">
      <c r="A405" s="10">
        <f>IFERROR(__xludf.DUMMYFUNCTION("""COMPUTED_VALUE"""),43762.62601968751)</f>
        <v>43762.62602</v>
      </c>
      <c r="B405" s="11" t="str">
        <f>IFERROR(__xludf.DUMMYFUNCTION("""COMPUTED_VALUE"""),"Pam Marcum")</f>
        <v>Pam Marcum</v>
      </c>
      <c r="C405" t="str">
        <f>IFERROR(__xludf.DUMMYFUNCTION("""COMPUTED_VALUE"""),"pamela.marcum@floridadep.gov")</f>
        <v>pamela.marcum@floridadep.gov</v>
      </c>
      <c r="D405" t="str">
        <f>IFERROR(__xludf.DUMMYFUNCTION("""COMPUTED_VALUE"""),"Research/Nikki")</f>
        <v>Research/Nikki</v>
      </c>
      <c r="E405" t="str">
        <f>IFERROR(__xludf.DUMMYFUNCTION("""COMPUTED_VALUE"""),"Faver dykes")</f>
        <v>Faver dykes</v>
      </c>
      <c r="F405" s="13">
        <f>IFERROR(__xludf.DUMMYFUNCTION("""COMPUTED_VALUE"""),0.6041666666678793)</f>
        <v>0.6041666667</v>
      </c>
      <c r="G405" s="14">
        <f>IFERROR(__xludf.DUMMYFUNCTION("""COMPUTED_VALUE"""),43762.0)</f>
        <v>43762</v>
      </c>
      <c r="H405" t="str">
        <f>IFERROR(__xludf.DUMMYFUNCTION("""COMPUTED_VALUE"""),"Lower pellicer creek")</f>
        <v>Lower pellicer creek</v>
      </c>
      <c r="I405" s="15">
        <f>IFERROR(__xludf.DUMMYFUNCTION("""COMPUTED_VALUE"""),0.7083333333321207)</f>
        <v>0.7083333333</v>
      </c>
      <c r="J405" s="16">
        <f>IFERROR(__xludf.DUMMYFUNCTION("""COMPUTED_VALUE"""),43762.75)</f>
        <v>43762.75</v>
      </c>
      <c r="K405" t="str">
        <f>IFERROR(__xludf.DUMMYFUNCTION("""COMPUTED_VALUE"""),"17ft Skiff (Marsha) FL0642GW DEP07239")</f>
        <v>17ft Skiff (Marsha) FL0642GW DEP07239</v>
      </c>
      <c r="M405" t="str">
        <f>IFERROR(__xludf.DUMMYFUNCTION("""COMPUTED_VALUE"""),"Ford F150 2008 (SWMP Thing) - DEP18041")</f>
        <v>Ford F150 2008 (SWMP Thing) - DEP18041</v>
      </c>
      <c r="N405" t="str">
        <f>IFERROR(__xludf.DUMMYFUNCTION("""COMPUTED_VALUE"""),"Pam Marcum, (480) 332-5414")</f>
        <v>Pam Marcum, (480) 332-5414</v>
      </c>
      <c r="O405" t="str">
        <f>IFERROR(__xludf.DUMMYFUNCTION("""COMPUTED_VALUE"""),"Alee Knoell, (619) 750-4833, Summer Manestar")</f>
        <v>Alee Knoell, (619) 750-4833, Summer Manestar</v>
      </c>
      <c r="P405" t="str">
        <f>IFERROR(__xludf.DUMMYFUNCTION("""COMPUTED_VALUE"""),"Pam")</f>
        <v>Pam</v>
      </c>
      <c r="Q405" t="str">
        <f>IFERROR(__xludf.DUMMYFUNCTION("""COMPUTED_VALUE"""),"All items in working order")</f>
        <v>All items in working order</v>
      </c>
      <c r="AE405" s="11"/>
      <c r="AF405" t="s">
        <v>218</v>
      </c>
      <c r="AG405" s="17" t="s">
        <v>43</v>
      </c>
      <c r="AH405" s="12">
        <v>1815.0</v>
      </c>
      <c r="AI405" s="12" t="s">
        <v>1169</v>
      </c>
      <c r="AJ405" s="19" t="s">
        <v>1170</v>
      </c>
      <c r="AK405" s="20" t="str">
        <f>HYPERLINK("https://docs.google.com/document/d/1tSD6e648rzgMuzDP9hhqwOSc2wFY4LzC4gX0xMLr3mM/edit?usp=drivesdk","Pam Marcum - 10/24/2019 2:30 PM")</f>
        <v>Pam Marcum - 10/24/2019 2:30 PM</v>
      </c>
      <c r="AL405" s="12" t="s">
        <v>1171</v>
      </c>
    </row>
    <row r="406">
      <c r="A406" s="10">
        <f>IFERROR(__xludf.DUMMYFUNCTION("""COMPUTED_VALUE"""),43767.32580607639)</f>
        <v>43767.32581</v>
      </c>
      <c r="B406" s="11" t="str">
        <f>IFERROR(__xludf.DUMMYFUNCTION("""COMPUTED_VALUE"""),"Pam Marcum")</f>
        <v>Pam Marcum</v>
      </c>
      <c r="C406" t="str">
        <f>IFERROR(__xludf.DUMMYFUNCTION("""COMPUTED_VALUE"""),"pamela.marcum@floridadep.gov")</f>
        <v>pamela.marcum@floridadep.gov</v>
      </c>
      <c r="D406" t="str">
        <f>IFERROR(__xludf.DUMMYFUNCTION("""COMPUTED_VALUE"""),"Research/Nikki")</f>
        <v>Research/Nikki</v>
      </c>
      <c r="E406" t="str">
        <f>IFERROR(__xludf.DUMMYFUNCTION("""COMPUTED_VALUE"""),"Faver Dukes")</f>
        <v>Faver Dukes</v>
      </c>
      <c r="F406" s="13">
        <f>IFERROR(__xludf.DUMMYFUNCTION("""COMPUTED_VALUE"""),0.3229166666678793)</f>
        <v>0.3229166667</v>
      </c>
      <c r="G406" s="14">
        <f>IFERROR(__xludf.DUMMYFUNCTION("""COMPUTED_VALUE"""),43767.0)</f>
        <v>43767</v>
      </c>
      <c r="H406" t="str">
        <f>IFERROR(__xludf.DUMMYFUNCTION("""COMPUTED_VALUE"""),"Pellicer Creek mouth")</f>
        <v>Pellicer Creek mouth</v>
      </c>
      <c r="I406" s="15">
        <f>IFERROR(__xludf.DUMMYFUNCTION("""COMPUTED_VALUE"""),0.5)</f>
        <v>0.5</v>
      </c>
      <c r="J406" s="16">
        <f>IFERROR(__xludf.DUMMYFUNCTION("""COMPUTED_VALUE"""),43767.54166666667)</f>
        <v>43767.54167</v>
      </c>
      <c r="K406" t="str">
        <f>IFERROR(__xludf.DUMMYFUNCTION("""COMPUTED_VALUE"""),"17ft Skiff (Marsha) FL0642GW DEP07239")</f>
        <v>17ft Skiff (Marsha) FL0642GW DEP07239</v>
      </c>
      <c r="M406" t="str">
        <f>IFERROR(__xludf.DUMMYFUNCTION("""COMPUTED_VALUE"""),"Ford F150 2015 (White) - DEP21448")</f>
        <v>Ford F150 2015 (White) - DEP21448</v>
      </c>
      <c r="N406" t="str">
        <f>IFERROR(__xludf.DUMMYFUNCTION("""COMPUTED_VALUE"""),"Pam Marcum, (480) 332-5414")</f>
        <v>Pam Marcum, (480) 332-5414</v>
      </c>
      <c r="O406" t="str">
        <f>IFERROR(__xludf.DUMMYFUNCTION("""COMPUTED_VALUE"""),"Jeff Finnan")</f>
        <v>Jeff Finnan</v>
      </c>
      <c r="P406" t="str">
        <f>IFERROR(__xludf.DUMMYFUNCTION("""COMPUTED_VALUE"""),"Pam")</f>
        <v>Pam</v>
      </c>
      <c r="Q406" t="str">
        <f>IFERROR(__xludf.DUMMYFUNCTION("""COMPUTED_VALUE"""),"All items in working order")</f>
        <v>All items in working order</v>
      </c>
      <c r="AE406" s="11"/>
      <c r="AF406" t="s">
        <v>218</v>
      </c>
      <c r="AG406" s="17" t="s">
        <v>18</v>
      </c>
      <c r="AH406" s="12">
        <v>1015.0</v>
      </c>
      <c r="AI406" s="12" t="s">
        <v>1172</v>
      </c>
      <c r="AJ406" s="19" t="s">
        <v>1173</v>
      </c>
      <c r="AK406" s="20" t="str">
        <f>HYPERLINK("https://docs.google.com/document/d/1W0MUnKo0pddoDkyInqukilZfM2lV6gT-z8ANRIvhfzc/edit?usp=drivesdk","Pam Marcum - 10/29/2019 7:45 AM")</f>
        <v>Pam Marcum - 10/29/2019 7:45 AM</v>
      </c>
      <c r="AL406" s="12" t="s">
        <v>1174</v>
      </c>
    </row>
    <row r="407">
      <c r="A407" s="10">
        <f>IFERROR(__xludf.DUMMYFUNCTION("""COMPUTED_VALUE"""),43767.33928335649)</f>
        <v>43767.33928</v>
      </c>
      <c r="B407" s="11" t="str">
        <f>IFERROR(__xludf.DUMMYFUNCTION("""COMPUTED_VALUE"""),"Silas Tanner")</f>
        <v>Silas Tanner</v>
      </c>
      <c r="C407" t="str">
        <f>IFERROR(__xludf.DUMMYFUNCTION("""COMPUTED_VALUE"""),"Silas.tanner@Floridadep.gov")</f>
        <v>Silas.tanner@Floridadep.gov</v>
      </c>
      <c r="D407" t="str">
        <f>IFERROR(__xludf.DUMMYFUNCTION("""COMPUTED_VALUE"""),"Research/Nikki")</f>
        <v>Research/Nikki</v>
      </c>
      <c r="E407" t="str">
        <f>IFERROR(__xludf.DUMMYFUNCTION("""COMPUTED_VALUE"""),"Crane ramp")</f>
        <v>Crane ramp</v>
      </c>
      <c r="F407" s="13">
        <f>IFERROR(__xludf.DUMMYFUNCTION("""COMPUTED_VALUE"""),0.3541666666678793)</f>
        <v>0.3541666667</v>
      </c>
      <c r="G407" s="14">
        <f>IFERROR(__xludf.DUMMYFUNCTION("""COMPUTED_VALUE"""),43767.0)</f>
        <v>43767</v>
      </c>
      <c r="H407" t="str">
        <f>IFERROR(__xludf.DUMMYFUNCTION("""COMPUTED_VALUE"""),"Icw SWMP sites")</f>
        <v>Icw SWMP sites</v>
      </c>
      <c r="I407" s="15">
        <f>IFERROR(__xludf.DUMMYFUNCTION("""COMPUTED_VALUE"""),0.5625)</f>
        <v>0.5625</v>
      </c>
      <c r="J407" s="16">
        <f>IFERROR(__xludf.DUMMYFUNCTION("""COMPUTED_VALUE"""),43767.58333333333)</f>
        <v>43767.58333</v>
      </c>
      <c r="K407" t="str">
        <f>IFERROR(__xludf.DUMMYFUNCTION("""COMPUTED_VALUE"""),"23ft Skiff (Bertha) FL7972LJ DEP07613")</f>
        <v>23ft Skiff (Bertha) FL7972LJ DEP07613</v>
      </c>
      <c r="M407" t="str">
        <f>IFERROR(__xludf.DUMMYFUNCTION("""COMPUTED_VALUE"""),"Ford F250 2017 (Moby Dix) - DEP0021578")</f>
        <v>Ford F250 2017 (Moby Dix) - DEP0021578</v>
      </c>
      <c r="N407" t="str">
        <f>IFERROR(__xludf.DUMMYFUNCTION("""COMPUTED_VALUE"""),"Silas Tanner, (904) 483-8423, Remo Mondazzi")</f>
        <v>Silas Tanner, (904) 483-8423, Remo Mondazzi</v>
      </c>
      <c r="P407" t="str">
        <f>IFERROR(__xludf.DUMMYFUNCTION("""COMPUTED_VALUE"""),"S. Tanner")</f>
        <v>S. Tanner</v>
      </c>
      <c r="Q407" t="str">
        <f>IFERROR(__xludf.DUMMYFUNCTION("""COMPUTED_VALUE"""),"All items in working order")</f>
        <v>All items in working order</v>
      </c>
      <c r="AE407" s="11"/>
      <c r="AF407" t="s">
        <v>218</v>
      </c>
      <c r="AG407" s="17" t="s">
        <v>18</v>
      </c>
      <c r="AH407" s="12">
        <v>1220.0</v>
      </c>
      <c r="AI407" s="12" t="s">
        <v>1175</v>
      </c>
      <c r="AJ407" s="19" t="s">
        <v>1176</v>
      </c>
      <c r="AK407" s="20" t="str">
        <f>HYPERLINK("https://docs.google.com/document/d/1lEUCZ8jzWthvDEXI6Yb01Db7gioIfBmZbkRci61BKvw/edit?usp=drivesdk","Silas Tanner - 10/29/2019 8:30 AM")</f>
        <v>Silas Tanner - 10/29/2019 8:30 AM</v>
      </c>
      <c r="AL407" s="12" t="s">
        <v>1177</v>
      </c>
    </row>
    <row r="408">
      <c r="A408" s="10">
        <f>IFERROR(__xludf.DUMMYFUNCTION("""COMPUTED_VALUE"""),43768.34480842592)</f>
        <v>43768.34481</v>
      </c>
      <c r="B408" s="11" t="str">
        <f>IFERROR(__xludf.DUMMYFUNCTION("""COMPUTED_VALUE"""),"Alexandria Knoell")</f>
        <v>Alexandria Knoell</v>
      </c>
      <c r="C408" t="str">
        <f>IFERROR(__xludf.DUMMYFUNCTION("""COMPUTED_VALUE"""),"alee.knoell@floridadep.gov")</f>
        <v>alee.knoell@floridadep.gov</v>
      </c>
      <c r="D408" t="str">
        <f>IFERROR(__xludf.DUMMYFUNCTION("""COMPUTED_VALUE"""),"Research/Nikki")</f>
        <v>Research/Nikki</v>
      </c>
      <c r="E408" t="str">
        <f>IFERROR(__xludf.DUMMYFUNCTION("""COMPUTED_VALUE"""),"Pellicer")</f>
        <v>Pellicer</v>
      </c>
      <c r="F408" s="13">
        <f>IFERROR(__xludf.DUMMYFUNCTION("""COMPUTED_VALUE"""),0.34375)</f>
        <v>0.34375</v>
      </c>
      <c r="G408" s="14">
        <f>IFERROR(__xludf.DUMMYFUNCTION("""COMPUTED_VALUE"""),43768.0)</f>
        <v>43768</v>
      </c>
      <c r="H408" t="str">
        <f>IFERROR(__xludf.DUMMYFUNCTION("""COMPUTED_VALUE"""),"Pellicer")</f>
        <v>Pellicer</v>
      </c>
      <c r="I408" s="15">
        <f>IFERROR(__xludf.DUMMYFUNCTION("""COMPUTED_VALUE"""),0.5625)</f>
        <v>0.5625</v>
      </c>
      <c r="J408" s="16">
        <f>IFERROR(__xludf.DUMMYFUNCTION("""COMPUTED_VALUE"""),43768.625)</f>
        <v>43768.625</v>
      </c>
      <c r="K408" t="str">
        <f>IFERROR(__xludf.DUMMYFUNCTION("""COMPUTED_VALUE"""),"F 20ft Sea Ark (Easy 200) FL8534PY DEP21451")</f>
        <v>F 20ft Sea Ark (Easy 200) FL8534PY DEP21451</v>
      </c>
      <c r="M408" t="str">
        <f>IFERROR(__xludf.DUMMYFUNCTION("""COMPUTED_VALUE"""),"Ford F150 2015 (White) - DEP21448")</f>
        <v>Ford F150 2015 (White) - DEP21448</v>
      </c>
      <c r="N408" t="str">
        <f>IFERROR(__xludf.DUMMYFUNCTION("""COMPUTED_VALUE"""),"Pam Marcum, (480) 332-5414")</f>
        <v>Pam Marcum, (480) 332-5414</v>
      </c>
      <c r="O408" t="str">
        <f>IFERROR(__xludf.DUMMYFUNCTION("""COMPUTED_VALUE"""),"Alee Knoell, (619) 750-4833, Zack Lepera")</f>
        <v>Alee Knoell, (619) 750-4833, Zack Lepera</v>
      </c>
      <c r="P408" t="str">
        <f>IFERROR(__xludf.DUMMYFUNCTION("""COMPUTED_VALUE"""),"Pam Marcum")</f>
        <v>Pam Marcum</v>
      </c>
      <c r="Q408" t="str">
        <f>IFERROR(__xludf.DUMMYFUNCTION("""COMPUTED_VALUE"""),"All items in working order")</f>
        <v>All items in working order</v>
      </c>
      <c r="AE408" s="11"/>
      <c r="AF408" t="s">
        <v>218</v>
      </c>
      <c r="AG408" s="17" t="s">
        <v>448</v>
      </c>
      <c r="AH408" s="12">
        <v>1153.0</v>
      </c>
      <c r="AI408" s="12" t="s">
        <v>1178</v>
      </c>
      <c r="AJ408" s="19" t="s">
        <v>1179</v>
      </c>
      <c r="AK408" s="20" t="str">
        <f>HYPERLINK("https://docs.google.com/document/d/1h83vbiy0qIUMEJu9na-S6xILq_JKNVe8nRk6se4XBmI/edit?usp=drivesdk","Alexandria Knoell - 10/30/2019 8:15 AM")</f>
        <v>Alexandria Knoell - 10/30/2019 8:15 AM</v>
      </c>
      <c r="AL408" s="12" t="s">
        <v>1180</v>
      </c>
    </row>
    <row r="409">
      <c r="A409" s="10">
        <f>IFERROR(__xludf.DUMMYFUNCTION("""COMPUTED_VALUE"""),43768.37417189815)</f>
        <v>43768.37417</v>
      </c>
      <c r="B409" s="11" t="str">
        <f>IFERROR(__xludf.DUMMYFUNCTION("""COMPUTED_VALUE"""),"Jimmy Tomazinis")</f>
        <v>Jimmy Tomazinis</v>
      </c>
      <c r="C409" t="str">
        <f>IFERROR(__xludf.DUMMYFUNCTION("""COMPUTED_VALUE"""),"james.tomazinis@floridadep.gov")</f>
        <v>james.tomazinis@floridadep.gov</v>
      </c>
      <c r="D409" t="str">
        <f>IFERROR(__xludf.DUMMYFUNCTION("""COMPUTED_VALUE"""),"Stewardship (Aquatic)")</f>
        <v>Stewardship (Aquatic)</v>
      </c>
      <c r="E409" t="str">
        <f>IFERROR(__xludf.DUMMYFUNCTION("""COMPUTED_VALUE"""),"Vilano")</f>
        <v>Vilano</v>
      </c>
      <c r="F409" s="13">
        <f>IFERROR(__xludf.DUMMYFUNCTION("""COMPUTED_VALUE"""),0.3854166666678793)</f>
        <v>0.3854166667</v>
      </c>
      <c r="G409" s="14">
        <f>IFERROR(__xludf.DUMMYFUNCTION("""COMPUTED_VALUE"""),43768.0)</f>
        <v>43768</v>
      </c>
      <c r="H409" t="str">
        <f>IFERROR(__xludf.DUMMYFUNCTION("""COMPUTED_VALUE"""),"Matanzas Nekton sites")</f>
        <v>Matanzas Nekton sites</v>
      </c>
      <c r="I409" s="15">
        <f>IFERROR(__xludf.DUMMYFUNCTION("""COMPUTED_VALUE"""),0.6666666666678793)</f>
        <v>0.6666666667</v>
      </c>
      <c r="J409" s="16"/>
      <c r="K409" t="str">
        <f>IFERROR(__xludf.DUMMYFUNCTION("""COMPUTED_VALUE"""),"23ft Skiff (Bertha) FL7972LJ DEP07613")</f>
        <v>23ft Skiff (Bertha) FL7972LJ DEP07613</v>
      </c>
      <c r="M409" t="str">
        <f>IFERROR(__xludf.DUMMYFUNCTION("""COMPUTED_VALUE"""),"Ford F250 2017 (Moby Dix) - DEP0021578")</f>
        <v>Ford F250 2017 (Moby Dix) - DEP0021578</v>
      </c>
      <c r="N409" t="str">
        <f>IFERROR(__xludf.DUMMYFUNCTION("""COMPUTED_VALUE"""),"Jimmy Tomazinis, (904) 547-0094, Ruben Allen")</f>
        <v>Jimmy Tomazinis, (904) 547-0094, Ruben Allen</v>
      </c>
      <c r="O409" t="str">
        <f>IFERROR(__xludf.DUMMYFUNCTION("""COMPUTED_VALUE"""),"Suzi, Adrienne, Steve, Scott at some point")</f>
        <v>Suzi, Adrienne, Steve, Scott at some point</v>
      </c>
      <c r="P409" t="str">
        <f>IFERROR(__xludf.DUMMYFUNCTION("""COMPUTED_VALUE"""),"Jimmy")</f>
        <v>Jimmy</v>
      </c>
      <c r="Q409" t="str">
        <f>IFERROR(__xludf.DUMMYFUNCTION("""COMPUTED_VALUE"""),"All items in working order")</f>
        <v>All items in working order</v>
      </c>
      <c r="AE409" s="11"/>
      <c r="AF409" t="s">
        <v>32</v>
      </c>
      <c r="AG409" s="18"/>
      <c r="AI409" s="12" t="s">
        <v>1181</v>
      </c>
      <c r="AJ409" s="19" t="s">
        <v>1182</v>
      </c>
      <c r="AK409" s="20" t="str">
        <f>HYPERLINK("https://docs.google.com/document/d/15j64OI3l-9JOaYM-CSUcSma3Xa3KxC0IETHE3a7jyMY/edit?usp=drivesdk","Jimmy Tomazinis - 10/30/2019 9:15 AM")</f>
        <v>Jimmy Tomazinis - 10/30/2019 9:15 AM</v>
      </c>
      <c r="AL409" s="12" t="s">
        <v>1183</v>
      </c>
    </row>
    <row r="410">
      <c r="A410" s="10">
        <f>IFERROR(__xludf.DUMMYFUNCTION("""COMPUTED_VALUE"""),43768.69496842592)</f>
        <v>43768.69497</v>
      </c>
      <c r="B410" s="11" t="str">
        <f>IFERROR(__xludf.DUMMYFUNCTION("""COMPUTED_VALUE"""),"Jimmy Tomazinis")</f>
        <v>Jimmy Tomazinis</v>
      </c>
      <c r="C410" t="str">
        <f>IFERROR(__xludf.DUMMYFUNCTION("""COMPUTED_VALUE"""),"james.tomazinis@floridadep.gov")</f>
        <v>james.tomazinis@floridadep.gov</v>
      </c>
      <c r="D410" t="str">
        <f>IFERROR(__xludf.DUMMYFUNCTION("""COMPUTED_VALUE"""),"Stewardship (Aquatic)")</f>
        <v>Stewardship (Aquatic)</v>
      </c>
      <c r="E410" t="str">
        <f>IFERROR(__xludf.DUMMYFUNCTION("""COMPUTED_VALUE"""),"Bings")</f>
        <v>Bings</v>
      </c>
      <c r="F410" s="13">
        <f>IFERROR(__xludf.DUMMYFUNCTION("""COMPUTED_VALUE"""),0.4166666666678793)</f>
        <v>0.4166666667</v>
      </c>
      <c r="G410" s="14">
        <f>IFERROR(__xludf.DUMMYFUNCTION("""COMPUTED_VALUE"""),43769.0)</f>
        <v>43769</v>
      </c>
      <c r="H410" t="str">
        <f>IFERROR(__xludf.DUMMYFUNCTION("""COMPUTED_VALUE"""),"Matanzas nekton sites")</f>
        <v>Matanzas nekton sites</v>
      </c>
      <c r="I410" s="15">
        <f>IFERROR(__xludf.DUMMYFUNCTION("""COMPUTED_VALUE"""),0.5416666666678793)</f>
        <v>0.5416666667</v>
      </c>
      <c r="J410" s="16"/>
      <c r="K410" t="str">
        <f>IFERROR(__xludf.DUMMYFUNCTION("""COMPUTED_VALUE"""),"23ft Skiff (Bertha) FL7972LJ DEP07613")</f>
        <v>23ft Skiff (Bertha) FL7972LJ DEP07613</v>
      </c>
      <c r="M410" t="str">
        <f>IFERROR(__xludf.DUMMYFUNCTION("""COMPUTED_VALUE"""),"Ford F250 2017 (Moby Dix) - DEP0021578")</f>
        <v>Ford F250 2017 (Moby Dix) - DEP0021578</v>
      </c>
      <c r="N410" t="str">
        <f>IFERROR(__xludf.DUMMYFUNCTION("""COMPUTED_VALUE"""),"Jimmy Tomazinis, (904) 547-0094")</f>
        <v>Jimmy Tomazinis, (904) 547-0094</v>
      </c>
      <c r="O410" t="str">
        <f>IFERROR(__xludf.DUMMYFUNCTION("""COMPUTED_VALUE"""),"Scott, Suzi, Adrienne")</f>
        <v>Scott, Suzi, Adrienne</v>
      </c>
      <c r="P410" t="str">
        <f>IFERROR(__xludf.DUMMYFUNCTION("""COMPUTED_VALUE"""),"Jimmy")</f>
        <v>Jimmy</v>
      </c>
      <c r="Q410" t="str">
        <f>IFERROR(__xludf.DUMMYFUNCTION("""COMPUTED_VALUE"""),"All items in working order")</f>
        <v>All items in working order</v>
      </c>
      <c r="AE410" s="11"/>
      <c r="AF410" t="s">
        <v>32</v>
      </c>
      <c r="AG410" s="17" t="s">
        <v>60</v>
      </c>
      <c r="AH410" s="12">
        <v>1423.0</v>
      </c>
      <c r="AI410" s="12" t="s">
        <v>1184</v>
      </c>
      <c r="AJ410" s="19" t="s">
        <v>1185</v>
      </c>
      <c r="AK410" s="20" t="str">
        <f>HYPERLINK("https://docs.google.com/document/d/1BjOP-8VPoeoJ2NRkI-tiC7P49H282nx17wHC2CG2JIc/edit?usp=drivesdk","Jimmy Tomazinis - 10/31/2019 10:00 AM")</f>
        <v>Jimmy Tomazinis - 10/31/2019 10:00 AM</v>
      </c>
      <c r="AL410" s="12" t="s">
        <v>1186</v>
      </c>
    </row>
    <row r="411">
      <c r="A411" s="10">
        <f>IFERROR(__xludf.DUMMYFUNCTION("""COMPUTED_VALUE"""),43769.40224134259)</f>
        <v>43769.40224</v>
      </c>
      <c r="B411" s="11" t="str">
        <f>IFERROR(__xludf.DUMMYFUNCTION("""COMPUTED_VALUE"""),"Pam Marcum")</f>
        <v>Pam Marcum</v>
      </c>
      <c r="C411" t="str">
        <f>IFERROR(__xludf.DUMMYFUNCTION("""COMPUTED_VALUE"""),"pamela.marcum@floridadep.gov")</f>
        <v>pamela.marcum@floridadep.gov</v>
      </c>
      <c r="D411" t="str">
        <f>IFERROR(__xludf.DUMMYFUNCTION("""COMPUTED_VALUE"""),"Research/Nikki")</f>
        <v>Research/Nikki</v>
      </c>
      <c r="E411" t="str">
        <f>IFERROR(__xludf.DUMMYFUNCTION("""COMPUTED_VALUE"""),"Faver dykes")</f>
        <v>Faver dykes</v>
      </c>
      <c r="F411" s="13">
        <f>IFERROR(__xludf.DUMMYFUNCTION("""COMPUTED_VALUE"""),0.3958333333321207)</f>
        <v>0.3958333333</v>
      </c>
      <c r="G411" s="14">
        <f>IFERROR(__xludf.DUMMYFUNCTION("""COMPUTED_VALUE"""),43769.0)</f>
        <v>43769</v>
      </c>
      <c r="H411" t="str">
        <f>IFERROR(__xludf.DUMMYFUNCTION("""COMPUTED_VALUE"""),"Pellicer transects")</f>
        <v>Pellicer transects</v>
      </c>
      <c r="I411" s="15">
        <f>IFERROR(__xludf.DUMMYFUNCTION("""COMPUTED_VALUE"""),0.5833333333321207)</f>
        <v>0.5833333333</v>
      </c>
      <c r="J411" s="16">
        <f>IFERROR(__xludf.DUMMYFUNCTION("""COMPUTED_VALUE"""),43769.64583333333)</f>
        <v>43769.64583</v>
      </c>
      <c r="K411" t="str">
        <f>IFERROR(__xludf.DUMMYFUNCTION("""COMPUTED_VALUE"""),"F 20ft Sea Ark (Easy 200) FL8534PY DEP21451")</f>
        <v>F 20ft Sea Ark (Easy 200) FL8534PY DEP21451</v>
      </c>
      <c r="M411" t="str">
        <f>IFERROR(__xludf.DUMMYFUNCTION("""COMPUTED_VALUE"""),"Ford F150 2015 (White) - DEP21448")</f>
        <v>Ford F150 2015 (White) - DEP21448</v>
      </c>
      <c r="N411" t="str">
        <f>IFERROR(__xludf.DUMMYFUNCTION("""COMPUTED_VALUE"""),"Pam Marcum, (480) 332-5414")</f>
        <v>Pam Marcum, (480) 332-5414</v>
      </c>
      <c r="O411" t="str">
        <f>IFERROR(__xludf.DUMMYFUNCTION("""COMPUTED_VALUE"""),"Alee Knoell, (619) 750-4833, Steve Brown")</f>
        <v>Alee Knoell, (619) 750-4833, Steve Brown</v>
      </c>
      <c r="P411" t="str">
        <f>IFERROR(__xludf.DUMMYFUNCTION("""COMPUTED_VALUE"""),"Pam")</f>
        <v>Pam</v>
      </c>
      <c r="Q411" t="str">
        <f>IFERROR(__xludf.DUMMYFUNCTION("""COMPUTED_VALUE"""),"All items in working order")</f>
        <v>All items in working order</v>
      </c>
      <c r="AE411" s="11"/>
      <c r="AF411" t="s">
        <v>218</v>
      </c>
      <c r="AG411" s="17" t="s">
        <v>60</v>
      </c>
      <c r="AH411" s="12">
        <v>1320.0</v>
      </c>
      <c r="AI411" s="12" t="s">
        <v>1187</v>
      </c>
      <c r="AJ411" s="19" t="s">
        <v>1188</v>
      </c>
      <c r="AK411" s="20" t="str">
        <f>HYPERLINK("https://docs.google.com/document/d/1_d5fECny22GGiNZdf1tqjhG5JV1OTtPAjBfXMp_UcRA/edit?usp=drivesdk","Pam Marcum - 10/31/2019 9:30 AM")</f>
        <v>Pam Marcum - 10/31/2019 9:30 AM</v>
      </c>
      <c r="AL411" s="12" t="s">
        <v>1189</v>
      </c>
    </row>
    <row r="412">
      <c r="A412" s="10">
        <f>IFERROR(__xludf.DUMMYFUNCTION("""COMPUTED_VALUE"""),43770.357981747686)</f>
        <v>43770.35798</v>
      </c>
      <c r="B412" s="11" t="str">
        <f>IFERROR(__xludf.DUMMYFUNCTION("""COMPUTED_VALUE"""),"Gabriela Canas")</f>
        <v>Gabriela Canas</v>
      </c>
      <c r="C412" t="str">
        <f>IFERROR(__xludf.DUMMYFUNCTION("""COMPUTED_VALUE"""),"n00836133@unf.edu")</f>
        <v>n00836133@unf.edu</v>
      </c>
      <c r="D412" t="str">
        <f>IFERROR(__xludf.DUMMYFUNCTION("""COMPUTED_VALUE"""),"Research/Nikki")</f>
        <v>Research/Nikki</v>
      </c>
      <c r="E412" t="str">
        <f>IFERROR(__xludf.DUMMYFUNCTION("""COMPUTED_VALUE"""),"Douglas crane")</f>
        <v>Douglas crane</v>
      </c>
      <c r="F412" s="13">
        <f>IFERROR(__xludf.DUMMYFUNCTION("""COMPUTED_VALUE"""),0.375)</f>
        <v>0.375</v>
      </c>
      <c r="G412" s="14">
        <f>IFERROR(__xludf.DUMMYFUNCTION("""COMPUTED_VALUE"""),43770.0)</f>
        <v>43770</v>
      </c>
      <c r="H412" t="str">
        <f>IFERROR(__xludf.DUMMYFUNCTION("""COMPUTED_VALUE"""),"WETFEET middle site")</f>
        <v>WETFEET middle site</v>
      </c>
      <c r="I412" s="15">
        <f>IFERROR(__xludf.DUMMYFUNCTION("""COMPUTED_VALUE"""),0.625)</f>
        <v>0.625</v>
      </c>
      <c r="J412" s="16">
        <f>IFERROR(__xludf.DUMMYFUNCTION("""COMPUTED_VALUE"""),43770.66666666667)</f>
        <v>43770.66667</v>
      </c>
      <c r="K412" t="str">
        <f>IFERROR(__xludf.DUMMYFUNCTION("""COMPUTED_VALUE"""),"23ft Skiff (Bertha) FL7972LJ DEP07613")</f>
        <v>23ft Skiff (Bertha) FL7972LJ DEP07613</v>
      </c>
      <c r="M412" t="str">
        <f>IFERROR(__xludf.DUMMYFUNCTION("""COMPUTED_VALUE"""),"Ford F250 2017 (Moby Dix) - DEP0021578")</f>
        <v>Ford F250 2017 (Moby Dix) - DEP0021578</v>
      </c>
      <c r="N412" t="str">
        <f>IFERROR(__xludf.DUMMYFUNCTION("""COMPUTED_VALUE"""),"Pam Marcum, (480) 332-5414")</f>
        <v>Pam Marcum, (480) 332-5414</v>
      </c>
      <c r="O412" t="str">
        <f>IFERROR(__xludf.DUMMYFUNCTION("""COMPUTED_VALUE"""),"Gabriela Canas, (904) 891-9743")</f>
        <v>Gabriela Canas, (904) 891-9743</v>
      </c>
      <c r="P412" t="str">
        <f>IFERROR(__xludf.DUMMYFUNCTION("""COMPUTED_VALUE"""),"Pam")</f>
        <v>Pam</v>
      </c>
      <c r="Q412" t="str">
        <f>IFERROR(__xludf.DUMMYFUNCTION("""COMPUTED_VALUE"""),"All items in working order")</f>
        <v>All items in working order</v>
      </c>
      <c r="AE412" s="11"/>
      <c r="AF412" t="s">
        <v>218</v>
      </c>
      <c r="AG412" s="17" t="s">
        <v>60</v>
      </c>
      <c r="AH412" s="12">
        <v>1230.0</v>
      </c>
      <c r="AI412" s="12" t="s">
        <v>1190</v>
      </c>
      <c r="AJ412" s="19" t="s">
        <v>1191</v>
      </c>
      <c r="AK412" s="20" t="str">
        <f>HYPERLINK("https://docs.google.com/document/d/1prWMueONgldddFzfRPQ9ygSaRH4jgTMVx9qL2sHIQOE/edit?usp=drivesdk","Gabriela Canas - 11/1/2019 9:00 AM")</f>
        <v>Gabriela Canas - 11/1/2019 9:00 AM</v>
      </c>
      <c r="AL412" s="12" t="s">
        <v>1192</v>
      </c>
    </row>
    <row r="413">
      <c r="A413" s="10">
        <f>IFERROR(__xludf.DUMMYFUNCTION("""COMPUTED_VALUE"""),43772.294793506946)</f>
        <v>43772.29479</v>
      </c>
      <c r="B413" s="11" t="str">
        <f>IFERROR(__xludf.DUMMYFUNCTION("""COMPUTED_VALUE"""),"Ruben Allen")</f>
        <v>Ruben Allen</v>
      </c>
      <c r="C413" t="str">
        <f>IFERROR(__xludf.DUMMYFUNCTION("""COMPUTED_VALUE"""),"rubeall57@gmail.com")</f>
        <v>rubeall57@gmail.com</v>
      </c>
      <c r="D413" t="str">
        <f>IFERROR(__xludf.DUMMYFUNCTION("""COMPUTED_VALUE"""),"Administration")</f>
        <v>Administration</v>
      </c>
      <c r="E413" t="str">
        <f>IFERROR(__xludf.DUMMYFUNCTION("""COMPUTED_VALUE"""),"Vilano")</f>
        <v>Vilano</v>
      </c>
      <c r="F413" s="13">
        <f>IFERROR(__xludf.DUMMYFUNCTION("""COMPUTED_VALUE"""),0.3125)</f>
        <v>0.3125</v>
      </c>
      <c r="G413" s="14">
        <f>IFERROR(__xludf.DUMMYFUNCTION("""COMPUTED_VALUE"""),43773.0)</f>
        <v>43773</v>
      </c>
      <c r="H413" t="str">
        <f>IFERROR(__xludf.DUMMYFUNCTION("""COMPUTED_VALUE"""),"Spat Run")</f>
        <v>Spat Run</v>
      </c>
      <c r="I413" s="15">
        <f>IFERROR(__xludf.DUMMYFUNCTION("""COMPUTED_VALUE"""),0.625)</f>
        <v>0.625</v>
      </c>
      <c r="J413" s="16">
        <f>IFERROR(__xludf.DUMMYFUNCTION("""COMPUTED_VALUE"""),43773.64583333333)</f>
        <v>43773.64583</v>
      </c>
      <c r="K413" t="str">
        <f>IFERROR(__xludf.DUMMYFUNCTION("""COMPUTED_VALUE"""),"F 20ft Sea Ark (Easy 200) FL8534PY DEP21451")</f>
        <v>F 20ft Sea Ark (Easy 200) FL8534PY DEP21451</v>
      </c>
      <c r="M413" t="str">
        <f>IFERROR(__xludf.DUMMYFUNCTION("""COMPUTED_VALUE"""),"Ford F150 2015 (White) - DEP21448")</f>
        <v>Ford F150 2015 (White) - DEP21448</v>
      </c>
      <c r="N413" t="str">
        <f>IFERROR(__xludf.DUMMYFUNCTION("""COMPUTED_VALUE"""),"Ruben Allen")</f>
        <v>Ruben Allen</v>
      </c>
      <c r="O413" t="str">
        <f>IFERROR(__xludf.DUMMYFUNCTION("""COMPUTED_VALUE"""),"Alee Knoell, (619) 750-4833")</f>
        <v>Alee Knoell, (619) 750-4833</v>
      </c>
      <c r="P413" t="str">
        <f>IFERROR(__xludf.DUMMYFUNCTION("""COMPUTED_VALUE"""),"Ruben Allen")</f>
        <v>Ruben Allen</v>
      </c>
      <c r="Q413" t="str">
        <f>IFERROR(__xludf.DUMMYFUNCTION("""COMPUTED_VALUE"""),"All items in working order")</f>
        <v>All items in working order</v>
      </c>
      <c r="AD413" t="str">
        <f>IFERROR(__xludf.DUMMYFUNCTION("""COMPUTED_VALUE"""),"Partly to mostly cloudy")</f>
        <v>Partly to mostly cloudy</v>
      </c>
      <c r="AE413" s="11" t="str">
        <f>IFERROR(__xludf.DUMMYFUNCTION("""COMPUTED_VALUE"""),"Tides good")</f>
        <v>Tides good</v>
      </c>
      <c r="AF413" t="s">
        <v>668</v>
      </c>
      <c r="AG413" s="18"/>
      <c r="AI413" s="12" t="s">
        <v>1193</v>
      </c>
      <c r="AJ413" s="19" t="s">
        <v>1194</v>
      </c>
      <c r="AK413" s="20" t="str">
        <f>HYPERLINK("https://docs.google.com/document/d/15IRTJxlG3VjfsXhPDtxtYTDiALUXkRoyVsHI6xd9aOE/edit?usp=drivesdk","Ruben Allen - 11/4/2019 7:30 AM")</f>
        <v>Ruben Allen - 11/4/2019 7:30 AM</v>
      </c>
      <c r="AL413" s="12" t="s">
        <v>1195</v>
      </c>
    </row>
    <row r="414">
      <c r="A414" s="10">
        <f>IFERROR(__xludf.DUMMYFUNCTION("""COMPUTED_VALUE"""),43773.30928537038)</f>
        <v>43773.30929</v>
      </c>
      <c r="B414" s="11" t="str">
        <f>IFERROR(__xludf.DUMMYFUNCTION("""COMPUTED_VALUE"""),"Pam Marcum")</f>
        <v>Pam Marcum</v>
      </c>
      <c r="C414" t="str">
        <f>IFERROR(__xludf.DUMMYFUNCTION("""COMPUTED_VALUE"""),"pamela.marcum@floridadep.gov")</f>
        <v>pamela.marcum@floridadep.gov</v>
      </c>
      <c r="D414" t="str">
        <f>IFERROR(__xludf.DUMMYFUNCTION("""COMPUTED_VALUE"""),"Administration")</f>
        <v>Administration</v>
      </c>
      <c r="E414" t="str">
        <f>IFERROR(__xludf.DUMMYFUNCTION("""COMPUTED_VALUE"""),"Aunt Kate's")</f>
        <v>Aunt Kate's</v>
      </c>
      <c r="F414" s="13">
        <f>IFERROR(__xludf.DUMMYFUNCTION("""COMPUTED_VALUE"""),0.3055555555547471)</f>
        <v>0.3055555556</v>
      </c>
      <c r="G414" s="14">
        <f>IFERROR(__xludf.DUMMYFUNCTION("""COMPUTED_VALUE"""),43773.0)</f>
        <v>43773</v>
      </c>
      <c r="H414" t="str">
        <f>IFERROR(__xludf.DUMMYFUNCTION("""COMPUTED_VALUE"""),"Tolomato and Guana Rivers")</f>
        <v>Tolomato and Guana Rivers</v>
      </c>
      <c r="I414" s="15">
        <f>IFERROR(__xludf.DUMMYFUNCTION("""COMPUTED_VALUE"""),0.5833333333321207)</f>
        <v>0.5833333333</v>
      </c>
      <c r="J414" s="16">
        <f>IFERROR(__xludf.DUMMYFUNCTION("""COMPUTED_VALUE"""),43773.60416666667)</f>
        <v>43773.60417</v>
      </c>
      <c r="K414" t="str">
        <f>IFERROR(__xludf.DUMMYFUNCTION("""COMPUTED_VALUE"""),"23ft Skiff (Bertha) FL7972LJ DEP07613")</f>
        <v>23ft Skiff (Bertha) FL7972LJ DEP07613</v>
      </c>
      <c r="M414" t="str">
        <f>IFERROR(__xludf.DUMMYFUNCTION("""COMPUTED_VALUE"""),"Ford F250 2017 (Moby Dix) - DEP0021578")</f>
        <v>Ford F250 2017 (Moby Dix) - DEP0021578</v>
      </c>
      <c r="N414" t="str">
        <f>IFERROR(__xludf.DUMMYFUNCTION("""COMPUTED_VALUE"""),"Pam Marcum, (480) 332-5414")</f>
        <v>Pam Marcum, (480) 332-5414</v>
      </c>
      <c r="O414" t="str">
        <f>IFERROR(__xludf.DUMMYFUNCTION("""COMPUTED_VALUE"""),"Adrienne Breef-Pilz")</f>
        <v>Adrienne Breef-Pilz</v>
      </c>
      <c r="P414" t="str">
        <f>IFERROR(__xludf.DUMMYFUNCTION("""COMPUTED_VALUE"""),"Pam")</f>
        <v>Pam</v>
      </c>
      <c r="Q414" t="str">
        <f>IFERROR(__xludf.DUMMYFUNCTION("""COMPUTED_VALUE"""),"All items in working order")</f>
        <v>All items in working order</v>
      </c>
      <c r="AE414" s="11"/>
      <c r="AF414" t="s">
        <v>668</v>
      </c>
      <c r="AG414" s="17" t="s">
        <v>18</v>
      </c>
      <c r="AH414" s="12">
        <v>1135.0</v>
      </c>
      <c r="AI414" s="12" t="s">
        <v>1196</v>
      </c>
      <c r="AJ414" s="19" t="s">
        <v>1197</v>
      </c>
      <c r="AK414" s="20" t="str">
        <f>HYPERLINK("https://docs.google.com/document/d/1M7xpibvSmVbgcBf-KshDdhZJdbWlKw_O9smFLdfK_xY/edit?usp=drivesdk","Pam Marcum - 11/4/2019 7:20 AM")</f>
        <v>Pam Marcum - 11/4/2019 7:20 AM</v>
      </c>
      <c r="AL414" s="12" t="s">
        <v>1198</v>
      </c>
    </row>
    <row r="415">
      <c r="A415" s="10">
        <f>IFERROR(__xludf.DUMMYFUNCTION("""COMPUTED_VALUE"""),43773.7043937037)</f>
        <v>43773.70439</v>
      </c>
      <c r="B415" s="11" t="str">
        <f>IFERROR(__xludf.DUMMYFUNCTION("""COMPUTED_VALUE"""),"Jimmy Tomazinis")</f>
        <v>Jimmy Tomazinis</v>
      </c>
      <c r="C415" t="str">
        <f>IFERROR(__xludf.DUMMYFUNCTION("""COMPUTED_VALUE"""),"james.tomazinis@floridadep.gov")</f>
        <v>james.tomazinis@floridadep.gov</v>
      </c>
      <c r="D415" t="str">
        <f>IFERROR(__xludf.DUMMYFUNCTION("""COMPUTED_VALUE"""),"Stewardship (Aquatic)")</f>
        <v>Stewardship (Aquatic)</v>
      </c>
      <c r="E415" t="str">
        <f>IFERROR(__xludf.DUMMYFUNCTION("""COMPUTED_VALUE"""),"Vilano")</f>
        <v>Vilano</v>
      </c>
      <c r="F415" s="13">
        <f>IFERROR(__xludf.DUMMYFUNCTION("""COMPUTED_VALUE"""),0.3854166666678793)</f>
        <v>0.3854166667</v>
      </c>
      <c r="G415" s="14">
        <f>IFERROR(__xludf.DUMMYFUNCTION("""COMPUTED_VALUE"""),43774.0)</f>
        <v>43774</v>
      </c>
      <c r="H415" t="str">
        <f>IFERROR(__xludf.DUMMYFUNCTION("""COMPUTED_VALUE"""),"Tolomato Nekton")</f>
        <v>Tolomato Nekton</v>
      </c>
      <c r="I415" s="15">
        <f>IFERROR(__xludf.DUMMYFUNCTION("""COMPUTED_VALUE"""),0.6666666666678793)</f>
        <v>0.6666666667</v>
      </c>
      <c r="J415" s="16"/>
      <c r="K415" t="str">
        <f>IFERROR(__xludf.DUMMYFUNCTION("""COMPUTED_VALUE"""),"23ft Skiff (Bertha) FL7972LJ DEP07613")</f>
        <v>23ft Skiff (Bertha) FL7972LJ DEP07613</v>
      </c>
      <c r="M415" t="str">
        <f>IFERROR(__xludf.DUMMYFUNCTION("""COMPUTED_VALUE"""),"Ford F150 2015 (White) - DEP21448")</f>
        <v>Ford F150 2015 (White) - DEP21448</v>
      </c>
      <c r="N415" t="str">
        <f>IFERROR(__xludf.DUMMYFUNCTION("""COMPUTED_VALUE"""),"Jimmy Tomazinis, (904) 547-0094")</f>
        <v>Jimmy Tomazinis, (904) 547-0094</v>
      </c>
      <c r="O415" t="str">
        <f>IFERROR(__xludf.DUMMYFUNCTION("""COMPUTED_VALUE"""),"Suzi, Carl, Jeff, Pam")</f>
        <v>Suzi, Carl, Jeff, Pam</v>
      </c>
      <c r="P415" t="str">
        <f>IFERROR(__xludf.DUMMYFUNCTION("""COMPUTED_VALUE"""),"Jimmy")</f>
        <v>Jimmy</v>
      </c>
      <c r="Q415" t="str">
        <f>IFERROR(__xludf.DUMMYFUNCTION("""COMPUTED_VALUE"""),"All items in working order")</f>
        <v>All items in working order</v>
      </c>
      <c r="AE415" s="11"/>
      <c r="AF415" t="s">
        <v>32</v>
      </c>
      <c r="AG415" s="17" t="s">
        <v>18</v>
      </c>
      <c r="AH415" s="12">
        <v>1616.0</v>
      </c>
      <c r="AI415" s="12" t="s">
        <v>1199</v>
      </c>
      <c r="AJ415" s="19" t="s">
        <v>1200</v>
      </c>
      <c r="AK415" s="20" t="str">
        <f>HYPERLINK("https://docs.google.com/document/d/1CRc4j6HLo0xqlKMTTNdvh8YrHb0mUQt_MH11cR4wB04/edit?usp=drivesdk","Jimmy Tomazinis - 11/5/2019 9:15 AM")</f>
        <v>Jimmy Tomazinis - 11/5/2019 9:15 AM</v>
      </c>
      <c r="AL415" s="12" t="s">
        <v>1201</v>
      </c>
    </row>
    <row r="416">
      <c r="A416" s="10">
        <f>IFERROR(__xludf.DUMMYFUNCTION("""COMPUTED_VALUE"""),43774.34510162037)</f>
        <v>43774.3451</v>
      </c>
      <c r="B416" s="11" t="str">
        <f>IFERROR(__xludf.DUMMYFUNCTION("""COMPUTED_VALUE"""),"Pam Marcum")</f>
        <v>Pam Marcum</v>
      </c>
      <c r="C416" t="str">
        <f>IFERROR(__xludf.DUMMYFUNCTION("""COMPUTED_VALUE"""),"Pamela.Marcum@FloridaDEP.gov")</f>
        <v>Pamela.Marcum@FloridaDEP.gov</v>
      </c>
      <c r="D416" t="str">
        <f>IFERROR(__xludf.DUMMYFUNCTION("""COMPUTED_VALUE"""),"Administration")</f>
        <v>Administration</v>
      </c>
      <c r="E416" t="str">
        <f>IFERROR(__xludf.DUMMYFUNCTION("""COMPUTED_VALUE"""),"Shore Drive")</f>
        <v>Shore Drive</v>
      </c>
      <c r="F416" s="13">
        <f>IFERROR(__xludf.DUMMYFUNCTION("""COMPUTED_VALUE"""),0.375)</f>
        <v>0.375</v>
      </c>
      <c r="G416" s="14">
        <f>IFERROR(__xludf.DUMMYFUNCTION("""COMPUTED_VALUE"""),43774.0)</f>
        <v>43774</v>
      </c>
      <c r="H416" t="str">
        <f>IFERROR(__xludf.DUMMYFUNCTION("""COMPUTED_VALUE"""),"312 Bridge")</f>
        <v>312 Bridge</v>
      </c>
      <c r="I416" s="15">
        <f>IFERROR(__xludf.DUMMYFUNCTION("""COMPUTED_VALUE"""),0.3958333333321207)</f>
        <v>0.3958333333</v>
      </c>
      <c r="J416" s="16">
        <f>IFERROR(__xludf.DUMMYFUNCTION("""COMPUTED_VALUE"""),43774.41666666667)</f>
        <v>43774.41667</v>
      </c>
      <c r="K416" t="str">
        <f>IFERROR(__xludf.DUMMYFUNCTION("""COMPUTED_VALUE"""),"Jon Boat FL FL5992RR DEP21634")</f>
        <v>Jon Boat FL FL5992RR DEP21634</v>
      </c>
      <c r="M416" t="str">
        <f>IFERROR(__xludf.DUMMYFUNCTION("""COMPUTED_VALUE"""),"Ford F150 2008 (SWMP Thing) - DEP18041")</f>
        <v>Ford F150 2008 (SWMP Thing) - DEP18041</v>
      </c>
      <c r="N416" t="str">
        <f>IFERROR(__xludf.DUMMYFUNCTION("""COMPUTED_VALUE"""),"Pam Marcum, (480) 332-5414")</f>
        <v>Pam Marcum, (480) 332-5414</v>
      </c>
      <c r="O416" t="str">
        <f>IFERROR(__xludf.DUMMYFUNCTION("""COMPUTED_VALUE"""),"Alee Knoell, (619) 750-4833")</f>
        <v>Alee Knoell, (619) 750-4833</v>
      </c>
      <c r="P416" t="str">
        <f>IFERROR(__xludf.DUMMYFUNCTION("""COMPUTED_VALUE"""),"Pam")</f>
        <v>Pam</v>
      </c>
      <c r="Q416" t="str">
        <f>IFERROR(__xludf.DUMMYFUNCTION("""COMPUTED_VALUE"""),"All items in working order")</f>
        <v>All items in working order</v>
      </c>
      <c r="AE416" s="11"/>
      <c r="AF416" t="s">
        <v>668</v>
      </c>
      <c r="AG416" s="17" t="s">
        <v>18</v>
      </c>
      <c r="AH416" s="12">
        <v>955.0</v>
      </c>
      <c r="AI416" s="12" t="s">
        <v>1202</v>
      </c>
      <c r="AJ416" s="19" t="s">
        <v>1203</v>
      </c>
      <c r="AK416" s="20" t="str">
        <f>HYPERLINK("https://docs.google.com/document/d/18_-rvKQZAj4zj-xu5XIOunNjjc1B25_eNVm9KFoW9Dk/edit?usp=drivesdk","Pam Marcum - 11/5/2019 9:00 AM")</f>
        <v>Pam Marcum - 11/5/2019 9:00 AM</v>
      </c>
      <c r="AL416" s="12" t="s">
        <v>1204</v>
      </c>
    </row>
    <row r="417">
      <c r="A417" s="10">
        <f>IFERROR(__xludf.DUMMYFUNCTION("""COMPUTED_VALUE"""),43775.39863881944)</f>
        <v>43775.39864</v>
      </c>
      <c r="B417" s="11" t="str">
        <f>IFERROR(__xludf.DUMMYFUNCTION("""COMPUTED_VALUE"""),"Jimmy Tomazinis")</f>
        <v>Jimmy Tomazinis</v>
      </c>
      <c r="C417" t="str">
        <f>IFERROR(__xludf.DUMMYFUNCTION("""COMPUTED_VALUE"""),"james.tomazinis@floridadep.gov")</f>
        <v>james.tomazinis@floridadep.gov</v>
      </c>
      <c r="D417" t="str">
        <f>IFERROR(__xludf.DUMMYFUNCTION("""COMPUTED_VALUE"""),"Stewardship (Aquatic)")</f>
        <v>Stewardship (Aquatic)</v>
      </c>
      <c r="E417" t="str">
        <f>IFERROR(__xludf.DUMMYFUNCTION("""COMPUTED_VALUE"""),"Vilano")</f>
        <v>Vilano</v>
      </c>
      <c r="F417" s="13">
        <f>IFERROR(__xludf.DUMMYFUNCTION("""COMPUTED_VALUE"""),0.3958333333321207)</f>
        <v>0.3958333333</v>
      </c>
      <c r="G417" s="14">
        <f>IFERROR(__xludf.DUMMYFUNCTION("""COMPUTED_VALUE"""),43775.0)</f>
        <v>43775</v>
      </c>
      <c r="H417" t="str">
        <f>IFERROR(__xludf.DUMMYFUNCTION("""COMPUTED_VALUE"""),"Nekton sites")</f>
        <v>Nekton sites</v>
      </c>
      <c r="I417" s="15">
        <f>IFERROR(__xludf.DUMMYFUNCTION("""COMPUTED_VALUE"""),0.6666666666678793)</f>
        <v>0.6666666667</v>
      </c>
      <c r="J417" s="16"/>
      <c r="K417" t="str">
        <f>IFERROR(__xludf.DUMMYFUNCTION("""COMPUTED_VALUE"""),"23ft Skiff (Bertha) FL7972LJ DEP07613")</f>
        <v>23ft Skiff (Bertha) FL7972LJ DEP07613</v>
      </c>
      <c r="M417" t="str">
        <f>IFERROR(__xludf.DUMMYFUNCTION("""COMPUTED_VALUE"""),"Ford F150 2015 (White) - DEP21448")</f>
        <v>Ford F150 2015 (White) - DEP21448</v>
      </c>
      <c r="N417" t="str">
        <f>IFERROR(__xludf.DUMMYFUNCTION("""COMPUTED_VALUE"""),"Jimmy Tomazinis, (904) 547-0094")</f>
        <v>Jimmy Tomazinis, (904) 547-0094</v>
      </c>
      <c r="O417" t="str">
        <f>IFERROR(__xludf.DUMMYFUNCTION("""COMPUTED_VALUE"""),"Suzi, Guenter, Alex, Jeff")</f>
        <v>Suzi, Guenter, Alex, Jeff</v>
      </c>
      <c r="P417" t="str">
        <f>IFERROR(__xludf.DUMMYFUNCTION("""COMPUTED_VALUE"""),"Jimmy")</f>
        <v>Jimmy</v>
      </c>
      <c r="Q417" t="str">
        <f>IFERROR(__xludf.DUMMYFUNCTION("""COMPUTED_VALUE"""),"All items in working order")</f>
        <v>All items in working order</v>
      </c>
      <c r="AE417" s="11"/>
      <c r="AF417" t="s">
        <v>32</v>
      </c>
      <c r="AG417" s="17" t="s">
        <v>18</v>
      </c>
      <c r="AH417" s="12">
        <v>1600.0</v>
      </c>
      <c r="AI417" s="12" t="s">
        <v>1205</v>
      </c>
      <c r="AJ417" s="19" t="s">
        <v>1206</v>
      </c>
      <c r="AK417" s="20" t="str">
        <f>HYPERLINK("https://docs.google.com/document/d/1hRHCgSxbnv7hu6DeHUy5JI5pBcEgXO0l_jaGUl_e9dU/edit?usp=drivesdk","Jimmy Tomazinis - 11/6/2019 9:30 AM")</f>
        <v>Jimmy Tomazinis - 11/6/2019 9:30 AM</v>
      </c>
      <c r="AL417" s="12" t="s">
        <v>1207</v>
      </c>
    </row>
    <row r="418">
      <c r="A418" s="10">
        <f>IFERROR(__xludf.DUMMYFUNCTION("""COMPUTED_VALUE"""),43776.35515723379)</f>
        <v>43776.35516</v>
      </c>
      <c r="B418" s="11" t="str">
        <f>IFERROR(__xludf.DUMMYFUNCTION("""COMPUTED_VALUE"""),"Jimmy Tomazinis")</f>
        <v>Jimmy Tomazinis</v>
      </c>
      <c r="C418" t="str">
        <f>IFERROR(__xludf.DUMMYFUNCTION("""COMPUTED_VALUE"""),"james.tomazinis@floridadep.gov")</f>
        <v>james.tomazinis@floridadep.gov</v>
      </c>
      <c r="D418" t="str">
        <f>IFERROR(__xludf.DUMMYFUNCTION("""COMPUTED_VALUE"""),"Stewardship (Aquatic)")</f>
        <v>Stewardship (Aquatic)</v>
      </c>
      <c r="E418" t="str">
        <f>IFERROR(__xludf.DUMMYFUNCTION("""COMPUTED_VALUE"""),"Bings")</f>
        <v>Bings</v>
      </c>
      <c r="F418" s="13">
        <f>IFERROR(__xludf.DUMMYFUNCTION("""COMPUTED_VALUE"""),0.4270833333321207)</f>
        <v>0.4270833333</v>
      </c>
      <c r="G418" s="14">
        <f>IFERROR(__xludf.DUMMYFUNCTION("""COMPUTED_VALUE"""),43776.0)</f>
        <v>43776</v>
      </c>
      <c r="H418" t="str">
        <f>IFERROR(__xludf.DUMMYFUNCTION("""COMPUTED_VALUE"""),"Matanzas nekton")</f>
        <v>Matanzas nekton</v>
      </c>
      <c r="I418" s="15">
        <f>IFERROR(__xludf.DUMMYFUNCTION("""COMPUTED_VALUE"""),0.625)</f>
        <v>0.625</v>
      </c>
      <c r="J418" s="16"/>
      <c r="K418" t="str">
        <f>IFERROR(__xludf.DUMMYFUNCTION("""COMPUTED_VALUE"""),"23ft Skiff (Bertha) FL7972LJ DEP07613")</f>
        <v>23ft Skiff (Bertha) FL7972LJ DEP07613</v>
      </c>
      <c r="M418" t="str">
        <f>IFERROR(__xludf.DUMMYFUNCTION("""COMPUTED_VALUE"""),"Ford F150 2015 (White) - DEP21448")</f>
        <v>Ford F150 2015 (White) - DEP21448</v>
      </c>
      <c r="N418" t="str">
        <f>IFERROR(__xludf.DUMMYFUNCTION("""COMPUTED_VALUE"""),"Pam Marcum, (480) 332-5414, Jimmy Tomazinis, (904) 547-0094")</f>
        <v>Pam Marcum, (480) 332-5414, Jimmy Tomazinis, (904) 547-0094</v>
      </c>
      <c r="O418" t="str">
        <f>IFERROR(__xludf.DUMMYFUNCTION("""COMPUTED_VALUE"""),"Suzi, Alicia, Jackie, Diane, Alex")</f>
        <v>Suzi, Alicia, Jackie, Diane, Alex</v>
      </c>
      <c r="P418" t="str">
        <f>IFERROR(__xludf.DUMMYFUNCTION("""COMPUTED_VALUE"""),"Jimmy")</f>
        <v>Jimmy</v>
      </c>
      <c r="Q418" t="str">
        <f>IFERROR(__xludf.DUMMYFUNCTION("""COMPUTED_VALUE"""),"All items in working order")</f>
        <v>All items in working order</v>
      </c>
      <c r="AE418" s="11"/>
      <c r="AF418" t="s">
        <v>32</v>
      </c>
      <c r="AG418" s="17" t="s">
        <v>128</v>
      </c>
      <c r="AH418" s="12">
        <v>1535.0</v>
      </c>
      <c r="AI418" s="12" t="s">
        <v>1208</v>
      </c>
      <c r="AJ418" s="19" t="s">
        <v>1209</v>
      </c>
      <c r="AK418" s="20" t="str">
        <f>HYPERLINK("https://docs.google.com/document/d/1Sf_4ILjN5K-5V3F6cTF8vBnLuPZyBmGl95mM0XiRX78/edit?usp=drivesdk","Jimmy Tomazinis - 11/7/2019 10:15 AM")</f>
        <v>Jimmy Tomazinis - 11/7/2019 10:15 AM</v>
      </c>
      <c r="AL418" s="12" t="s">
        <v>1210</v>
      </c>
    </row>
    <row r="419">
      <c r="A419" s="10">
        <f>IFERROR(__xludf.DUMMYFUNCTION("""COMPUTED_VALUE"""),43781.307208680555)</f>
        <v>43781.30721</v>
      </c>
      <c r="B419" s="11" t="str">
        <f>IFERROR(__xludf.DUMMYFUNCTION("""COMPUTED_VALUE"""),"Silas Tanner")</f>
        <v>Silas Tanner</v>
      </c>
      <c r="C419" t="str">
        <f>IFERROR(__xludf.DUMMYFUNCTION("""COMPUTED_VALUE"""),"silas.tanner@floridadep.gov")</f>
        <v>silas.tanner@floridadep.gov</v>
      </c>
      <c r="D419" t="str">
        <f>IFERROR(__xludf.DUMMYFUNCTION("""COMPUTED_VALUE"""),"Research/Nikki")</f>
        <v>Research/Nikki</v>
      </c>
      <c r="E419" t="str">
        <f>IFERROR(__xludf.DUMMYFUNCTION("""COMPUTED_VALUE"""),"Vilano Landing")</f>
        <v>Vilano Landing</v>
      </c>
      <c r="F419" s="13">
        <f>IFERROR(__xludf.DUMMYFUNCTION("""COMPUTED_VALUE"""),0.34375)</f>
        <v>0.34375</v>
      </c>
      <c r="G419" s="14">
        <f>IFERROR(__xludf.DUMMYFUNCTION("""COMPUTED_VALUE"""),43781.0)</f>
        <v>43781</v>
      </c>
      <c r="H419" t="str">
        <f>IFERROR(__xludf.DUMMYFUNCTION("""COMPUTED_VALUE"""),"ICW SWMP sites")</f>
        <v>ICW SWMP sites</v>
      </c>
      <c r="I419" s="15">
        <f>IFERROR(__xludf.DUMMYFUNCTION("""COMPUTED_VALUE"""),0.5625)</f>
        <v>0.5625</v>
      </c>
      <c r="J419" s="16">
        <f>IFERROR(__xludf.DUMMYFUNCTION("""COMPUTED_VALUE"""),43781.58333333333)</f>
        <v>43781.58333</v>
      </c>
      <c r="K419" t="str">
        <f>IFERROR(__xludf.DUMMYFUNCTION("""COMPUTED_VALUE"""),"23ft Skiff (Bertha) FL7972LJ DEP07613")</f>
        <v>23ft Skiff (Bertha) FL7972LJ DEP07613</v>
      </c>
      <c r="M419" t="str">
        <f>IFERROR(__xludf.DUMMYFUNCTION("""COMPUTED_VALUE"""),"Ford F150 2015 (White) - DEP21448")</f>
        <v>Ford F150 2015 (White) - DEP21448</v>
      </c>
      <c r="N419" t="str">
        <f>IFERROR(__xludf.DUMMYFUNCTION("""COMPUTED_VALUE"""),"Silas Tanner, (904) 483-8423")</f>
        <v>Silas Tanner, (904) 483-8423</v>
      </c>
      <c r="O419" t="str">
        <f>IFERROR(__xludf.DUMMYFUNCTION("""COMPUTED_VALUE"""),"Alee Knoell, (619) 750-4833, Jeff Finnan")</f>
        <v>Alee Knoell, (619) 750-4833, Jeff Finnan</v>
      </c>
      <c r="P419" t="str">
        <f>IFERROR(__xludf.DUMMYFUNCTION("""COMPUTED_VALUE"""),"Silas Tanner")</f>
        <v>Silas Tanner</v>
      </c>
      <c r="Q419" t="str">
        <f>IFERROR(__xludf.DUMMYFUNCTION("""COMPUTED_VALUE"""),"All items in working order")</f>
        <v>All items in working order</v>
      </c>
      <c r="AE419" s="11"/>
      <c r="AF419" t="s">
        <v>218</v>
      </c>
      <c r="AG419" s="17" t="s">
        <v>18</v>
      </c>
      <c r="AH419" s="12">
        <v>1305.0</v>
      </c>
      <c r="AI419" s="12" t="s">
        <v>1211</v>
      </c>
      <c r="AJ419" s="19" t="s">
        <v>1212</v>
      </c>
      <c r="AK419" s="20" t="str">
        <f>HYPERLINK("https://docs.google.com/document/d/1TTDgJwN76xiXWyDlFbbKJxZHE_M1_FnRC9jx-Hp0QS4/edit?usp=drivesdk","Silas Tanner - 11/12/2019 8:15 AM")</f>
        <v>Silas Tanner - 11/12/2019 8:15 AM</v>
      </c>
      <c r="AL419" s="12" t="s">
        <v>1213</v>
      </c>
    </row>
    <row r="420">
      <c r="A420" s="10">
        <f>IFERROR(__xludf.DUMMYFUNCTION("""COMPUTED_VALUE"""),43781.3447200463)</f>
        <v>43781.34472</v>
      </c>
      <c r="B420" s="11" t="str">
        <f>IFERROR(__xludf.DUMMYFUNCTION("""COMPUTED_VALUE"""),"Jimmy Tomazinis")</f>
        <v>Jimmy Tomazinis</v>
      </c>
      <c r="C420" t="str">
        <f>IFERROR(__xludf.DUMMYFUNCTION("""COMPUTED_VALUE"""),"james.tomazinis@floridadep.gov")</f>
        <v>james.tomazinis@floridadep.gov</v>
      </c>
      <c r="D420" t="str">
        <f>IFERROR(__xludf.DUMMYFUNCTION("""COMPUTED_VALUE"""),"Stewardship (Aquatic)")</f>
        <v>Stewardship (Aquatic)</v>
      </c>
      <c r="E420" t="str">
        <f>IFERROR(__xludf.DUMMYFUNCTION("""COMPUTED_VALUE"""),"Dam")</f>
        <v>Dam</v>
      </c>
      <c r="F420" s="13">
        <f>IFERROR(__xludf.DUMMYFUNCTION("""COMPUTED_VALUE"""),0.3645833333321207)</f>
        <v>0.3645833333</v>
      </c>
      <c r="G420" s="14">
        <f>IFERROR(__xludf.DUMMYFUNCTION("""COMPUTED_VALUE"""),43781.0)</f>
        <v>43781</v>
      </c>
      <c r="H420" t="str">
        <f>IFERROR(__xludf.DUMMYFUNCTION("""COMPUTED_VALUE"""),"Guana WQ sites")</f>
        <v>Guana WQ sites</v>
      </c>
      <c r="I420" s="15">
        <f>IFERROR(__xludf.DUMMYFUNCTION("""COMPUTED_VALUE"""),0.4375)</f>
        <v>0.4375</v>
      </c>
      <c r="J420" s="16"/>
      <c r="K420" t="str">
        <f>IFERROR(__xludf.DUMMYFUNCTION("""COMPUTED_VALUE"""),"Jon Boat FL0484NP DEP06819")</f>
        <v>Jon Boat FL0484NP DEP06819</v>
      </c>
      <c r="M420" t="str">
        <f>IFERROR(__xludf.DUMMYFUNCTION("""COMPUTED_VALUE"""),"TBD")</f>
        <v>TBD</v>
      </c>
      <c r="N420" t="str">
        <f>IFERROR(__xludf.DUMMYFUNCTION("""COMPUTED_VALUE"""),"Jimmy Tomazinis, (904) 547-0094")</f>
        <v>Jimmy Tomazinis, (904) 547-0094</v>
      </c>
      <c r="O420" t="str">
        <f>IFERROR(__xludf.DUMMYFUNCTION("""COMPUTED_VALUE"""),"Jessica Lee")</f>
        <v>Jessica Lee</v>
      </c>
      <c r="P420" t="str">
        <f>IFERROR(__xludf.DUMMYFUNCTION("""COMPUTED_VALUE"""),"Jimmy")</f>
        <v>Jimmy</v>
      </c>
      <c r="Q420" t="str">
        <f>IFERROR(__xludf.DUMMYFUNCTION("""COMPUTED_VALUE"""),"All items in working order")</f>
        <v>All items in working order</v>
      </c>
      <c r="AE420" s="11"/>
      <c r="AF420" t="s">
        <v>32</v>
      </c>
      <c r="AG420" s="17" t="s">
        <v>18</v>
      </c>
      <c r="AH420" s="12">
        <v>1030.0</v>
      </c>
      <c r="AI420" s="12" t="s">
        <v>1214</v>
      </c>
      <c r="AJ420" s="19" t="s">
        <v>1215</v>
      </c>
      <c r="AK420" s="20" t="str">
        <f>HYPERLINK("https://docs.google.com/document/d/1osvIdgKYUEM3b9J7rEXHR3TOqEWzRRqJwFNEr4ZGZwk/edit?usp=drivesdk","Jimmy Tomazinis - 11/12/2019 8:45 AM")</f>
        <v>Jimmy Tomazinis - 11/12/2019 8:45 AM</v>
      </c>
      <c r="AL420" s="12" t="s">
        <v>1216</v>
      </c>
    </row>
    <row r="421">
      <c r="A421" s="10">
        <f>IFERROR(__xludf.DUMMYFUNCTION("""COMPUTED_VALUE"""),43781.7121816088)</f>
        <v>43781.71218</v>
      </c>
      <c r="B421" s="11" t="str">
        <f>IFERROR(__xludf.DUMMYFUNCTION("""COMPUTED_VALUE"""),"Jimmy Tomazinis")</f>
        <v>Jimmy Tomazinis</v>
      </c>
      <c r="C421" t="str">
        <f>IFERROR(__xludf.DUMMYFUNCTION("""COMPUTED_VALUE"""),"james.tomazinis@floridadep.gov")</f>
        <v>james.tomazinis@floridadep.gov</v>
      </c>
      <c r="D421" t="str">
        <f>IFERROR(__xludf.DUMMYFUNCTION("""COMPUTED_VALUE"""),"Stewardship (Aquatic)")</f>
        <v>Stewardship (Aquatic)</v>
      </c>
      <c r="E421" t="str">
        <f>IFERROR(__xludf.DUMMYFUNCTION("""COMPUTED_VALUE"""),"Dee Dee Bartels and Nassauville")</f>
        <v>Dee Dee Bartels and Nassauville</v>
      </c>
      <c r="F421" s="13">
        <f>IFERROR(__xludf.DUMMYFUNCTION("""COMPUTED_VALUE"""),0.3958333333321207)</f>
        <v>0.3958333333</v>
      </c>
      <c r="G421" s="14">
        <f>IFERROR(__xludf.DUMMYFUNCTION("""COMPUTED_VALUE"""),43782.0)</f>
        <v>43782</v>
      </c>
      <c r="H421" t="str">
        <f>IFERROR(__xludf.DUMMYFUNCTION("""COMPUTED_VALUE"""),"NEAP WQ sites")</f>
        <v>NEAP WQ sites</v>
      </c>
      <c r="I421" s="15">
        <f>IFERROR(__xludf.DUMMYFUNCTION("""COMPUTED_VALUE"""),0.625)</f>
        <v>0.625</v>
      </c>
      <c r="J421" s="16"/>
      <c r="K421" t="str">
        <f>IFERROR(__xludf.DUMMYFUNCTION("""COMPUTED_VALUE"""),"17ft Skiff (Marsha) FL0642GW DEP07239")</f>
        <v>17ft Skiff (Marsha) FL0642GW DEP07239</v>
      </c>
      <c r="M421" t="str">
        <f>IFERROR(__xludf.DUMMYFUNCTION("""COMPUTED_VALUE"""),"Ford F150 2015 (White) - DEP21448")</f>
        <v>Ford F150 2015 (White) - DEP21448</v>
      </c>
      <c r="N421" t="str">
        <f>IFERROR(__xludf.DUMMYFUNCTION("""COMPUTED_VALUE"""),"Scott Eastman, (904) 501-9267, Jimmy Tomazinis, (904) 547-0094")</f>
        <v>Scott Eastman, (904) 501-9267, Jimmy Tomazinis, (904) 547-0094</v>
      </c>
      <c r="P421" t="str">
        <f>IFERROR(__xludf.DUMMYFUNCTION("""COMPUTED_VALUE"""),"Jimmy")</f>
        <v>Jimmy</v>
      </c>
      <c r="Q421" t="str">
        <f>IFERROR(__xludf.DUMMYFUNCTION("""COMPUTED_VALUE"""),"All items in working order")</f>
        <v>All items in working order</v>
      </c>
      <c r="AE421" s="11"/>
      <c r="AF421" t="s">
        <v>32</v>
      </c>
      <c r="AG421" s="17" t="s">
        <v>18</v>
      </c>
      <c r="AH421" s="12">
        <v>1030.0</v>
      </c>
      <c r="AI421" s="12" t="s">
        <v>1217</v>
      </c>
      <c r="AJ421" s="19" t="s">
        <v>1218</v>
      </c>
      <c r="AK421" s="20" t="str">
        <f>HYPERLINK("https://docs.google.com/document/d/1Fqg_cuyQPGZb6fNX36CPl90RsxTwCIBXz0rmsCxC0Bw/edit?usp=drivesdk","Jimmy Tomazinis - 11/13/2019 9:30 AM")</f>
        <v>Jimmy Tomazinis - 11/13/2019 9:30 AM</v>
      </c>
      <c r="AL421" s="12" t="s">
        <v>1219</v>
      </c>
    </row>
    <row r="422">
      <c r="A422" s="10">
        <f>IFERROR(__xludf.DUMMYFUNCTION("""COMPUTED_VALUE"""),43788.587120509255)</f>
        <v>43788.58712</v>
      </c>
      <c r="B422" s="11" t="str">
        <f>IFERROR(__xludf.DUMMYFUNCTION("""COMPUTED_VALUE"""),"Jessica Lee")</f>
        <v>Jessica Lee</v>
      </c>
      <c r="C422" t="str">
        <f>IFERROR(__xludf.DUMMYFUNCTION("""COMPUTED_VALUE"""),"jmcupp099@gmail.com")</f>
        <v>jmcupp099@gmail.com</v>
      </c>
      <c r="D422" t="str">
        <f>IFERROR(__xludf.DUMMYFUNCTION("""COMPUTED_VALUE"""),"Research/Nikki")</f>
        <v>Research/Nikki</v>
      </c>
      <c r="E422" t="str">
        <f>IFERROR(__xludf.DUMMYFUNCTION("""COMPUTED_VALUE"""),"Guana River")</f>
        <v>Guana River</v>
      </c>
      <c r="F422" s="13">
        <f>IFERROR(__xludf.DUMMYFUNCTION("""COMPUTED_VALUE"""),0.6041666666678793)</f>
        <v>0.6041666667</v>
      </c>
      <c r="G422" s="14">
        <f>IFERROR(__xludf.DUMMYFUNCTION("""COMPUTED_VALUE"""),43788.0)</f>
        <v>43788</v>
      </c>
      <c r="H422" t="str">
        <f>IFERROR(__xludf.DUMMYFUNCTION("""COMPUTED_VALUE"""),"Guana River")</f>
        <v>Guana River</v>
      </c>
      <c r="I422" s="15">
        <f>IFERROR(__xludf.DUMMYFUNCTION("""COMPUTED_VALUE"""),0.6527777777773736)</f>
        <v>0.6527777778</v>
      </c>
      <c r="J422" s="16">
        <f>IFERROR(__xludf.DUMMYFUNCTION("""COMPUTED_VALUE"""),43788.69791666667)</f>
        <v>43788.69792</v>
      </c>
      <c r="K422" t="str">
        <f>IFERROR(__xludf.DUMMYFUNCTION("""COMPUTED_VALUE"""),"Jon Boat FL0484NP DEP06819")</f>
        <v>Jon Boat FL0484NP DEP06819</v>
      </c>
      <c r="M422" t="str">
        <f>IFERROR(__xludf.DUMMYFUNCTION("""COMPUTED_VALUE"""),"Ford F150 2008 (SWMP Thing) - DEP18041")</f>
        <v>Ford F150 2008 (SWMP Thing) - DEP18041</v>
      </c>
      <c r="N422" t="str">
        <f>IFERROR(__xludf.DUMMYFUNCTION("""COMPUTED_VALUE"""),"Pam Marcum, (480) 332-5414")</f>
        <v>Pam Marcum, (480) 332-5414</v>
      </c>
      <c r="P422" t="str">
        <f>IFERROR(__xludf.DUMMYFUNCTION("""COMPUTED_VALUE"""),"Pam")</f>
        <v>Pam</v>
      </c>
      <c r="Q422" t="str">
        <f>IFERROR(__xludf.DUMMYFUNCTION("""COMPUTED_VALUE"""),"All items in working order")</f>
        <v>All items in working order</v>
      </c>
      <c r="AE422" s="11"/>
      <c r="AF422" t="s">
        <v>218</v>
      </c>
      <c r="AG422" s="18"/>
      <c r="AI422" s="12" t="s">
        <v>1220</v>
      </c>
      <c r="AJ422" s="19" t="s">
        <v>1221</v>
      </c>
      <c r="AK422" s="20" t="str">
        <f>HYPERLINK("https://docs.google.com/document/d/128yGHiKh6RHRa87fgjOY9jOg9ivCVWoJzv7lAX_ujHQ/edit?usp=drivesdk","Jessica Lee - 11/19/2019 2:30 PM")</f>
        <v>Jessica Lee - 11/19/2019 2:30 PM</v>
      </c>
      <c r="AL422" s="12" t="s">
        <v>1222</v>
      </c>
    </row>
    <row r="423">
      <c r="A423" s="10">
        <f>IFERROR(__xludf.DUMMYFUNCTION("""COMPUTED_VALUE"""),43790.57471898148)</f>
        <v>43790.57472</v>
      </c>
      <c r="B423" s="11" t="str">
        <f>IFERROR(__xludf.DUMMYFUNCTION("""COMPUTED_VALUE"""),"Jessica Lee")</f>
        <v>Jessica Lee</v>
      </c>
      <c r="C423" t="str">
        <f>IFERROR(__xludf.DUMMYFUNCTION("""COMPUTED_VALUE"""),"jmcupp099@gmail.com")</f>
        <v>jmcupp099@gmail.com</v>
      </c>
      <c r="D423" t="str">
        <f>IFERROR(__xludf.DUMMYFUNCTION("""COMPUTED_VALUE"""),"Research/Pam")</f>
        <v>Research/Pam</v>
      </c>
      <c r="E423" t="str">
        <f>IFERROR(__xludf.DUMMYFUNCTION("""COMPUTED_VALUE"""),"Six Mile")</f>
        <v>Six Mile</v>
      </c>
      <c r="F423" s="13">
        <f>IFERROR(__xludf.DUMMYFUNCTION("""COMPUTED_VALUE"""),0.3541666666678793)</f>
        <v>0.3541666667</v>
      </c>
      <c r="G423" s="14">
        <f>IFERROR(__xludf.DUMMYFUNCTION("""COMPUTED_VALUE"""),43791.0)</f>
        <v>43791</v>
      </c>
      <c r="H423" t="str">
        <f>IFERROR(__xludf.DUMMYFUNCTION("""COMPUTED_VALUE"""),"North Guana Lake")</f>
        <v>North Guana Lake</v>
      </c>
      <c r="I423" s="15">
        <f>IFERROR(__xludf.DUMMYFUNCTION("""COMPUTED_VALUE"""),0.625)</f>
        <v>0.625</v>
      </c>
      <c r="J423" s="16">
        <f>IFERROR(__xludf.DUMMYFUNCTION("""COMPUTED_VALUE"""),43791.64583333333)</f>
        <v>43791.64583</v>
      </c>
      <c r="K423" t="str">
        <f>IFERROR(__xludf.DUMMYFUNCTION("""COMPUTED_VALUE"""),"Kayak(s)")</f>
        <v>Kayak(s)</v>
      </c>
      <c r="M423" t="str">
        <f>IFERROR(__xludf.DUMMYFUNCTION("""COMPUTED_VALUE"""),"Ford F150 2008 (SWMP Thing) - DEP18041")</f>
        <v>Ford F150 2008 (SWMP Thing) - DEP18041</v>
      </c>
      <c r="N423" t="str">
        <f>IFERROR(__xludf.DUMMYFUNCTION("""COMPUTED_VALUE"""),"Jessica Lee")</f>
        <v>Jessica Lee</v>
      </c>
      <c r="O423" t="str">
        <f>IFERROR(__xludf.DUMMYFUNCTION("""COMPUTED_VALUE"""),"Bella")</f>
        <v>Bella</v>
      </c>
      <c r="P423" t="str">
        <f>IFERROR(__xludf.DUMMYFUNCTION("""COMPUTED_VALUE"""),"Jessica Lee")</f>
        <v>Jessica Lee</v>
      </c>
      <c r="Q423" t="str">
        <f>IFERROR(__xludf.DUMMYFUNCTION("""COMPUTED_VALUE"""),"All items in working order")</f>
        <v>All items in working order</v>
      </c>
      <c r="AE423" s="11"/>
      <c r="AF423" t="s">
        <v>262</v>
      </c>
      <c r="AG423" s="17" t="s">
        <v>18</v>
      </c>
      <c r="AH423" s="12">
        <v>1405.0</v>
      </c>
      <c r="AI423" s="12" t="s">
        <v>1223</v>
      </c>
      <c r="AJ423" s="19" t="s">
        <v>1224</v>
      </c>
      <c r="AK423" s="20" t="str">
        <f>HYPERLINK("https://docs.google.com/document/d/17Sljgu1FaFjQKGdaD1c81vRCgs0R4l8zXXHwviylLbc/edit?usp=drivesdk","Jessica Lee - 11/22/2019 8:30 AM")</f>
        <v>Jessica Lee - 11/22/2019 8:30 AM</v>
      </c>
      <c r="AL423" s="12" t="s">
        <v>1225</v>
      </c>
    </row>
    <row r="424">
      <c r="A424" s="10">
        <f>IFERROR(__xludf.DUMMYFUNCTION("""COMPUTED_VALUE"""),43791.54214936343)</f>
        <v>43791.54215</v>
      </c>
      <c r="B424" s="11" t="str">
        <f>IFERROR(__xludf.DUMMYFUNCTION("""COMPUTED_VALUE"""),"Gabriela Canas")</f>
        <v>Gabriela Canas</v>
      </c>
      <c r="C424" t="str">
        <f>IFERROR(__xludf.DUMMYFUNCTION("""COMPUTED_VALUE"""),"n00836133@unf.edu")</f>
        <v>n00836133@unf.edu</v>
      </c>
      <c r="D424" t="str">
        <f>IFERROR(__xludf.DUMMYFUNCTION("""COMPUTED_VALUE"""),"Research/Nikki")</f>
        <v>Research/Nikki</v>
      </c>
      <c r="E424" t="str">
        <f>IFERROR(__xludf.DUMMYFUNCTION("""COMPUTED_VALUE"""),"Douglas crane")</f>
        <v>Douglas crane</v>
      </c>
      <c r="F424" s="13">
        <f>IFERROR(__xludf.DUMMYFUNCTION("""COMPUTED_VALUE"""),0.5625)</f>
        <v>0.5625</v>
      </c>
      <c r="G424" s="14">
        <f>IFERROR(__xludf.DUMMYFUNCTION("""COMPUTED_VALUE"""),43791.0)</f>
        <v>43791</v>
      </c>
      <c r="H424" t="str">
        <f>IFERROR(__xludf.DUMMYFUNCTION("""COMPUTED_VALUE"""),"WETFEET middle site")</f>
        <v>WETFEET middle site</v>
      </c>
      <c r="I424" s="15">
        <f>IFERROR(__xludf.DUMMYFUNCTION("""COMPUTED_VALUE"""),0.6875)</f>
        <v>0.6875</v>
      </c>
      <c r="J424" s="16">
        <f>IFERROR(__xludf.DUMMYFUNCTION("""COMPUTED_VALUE"""),43791.20833333333)</f>
        <v>43791.20833</v>
      </c>
      <c r="K424" t="str">
        <f>IFERROR(__xludf.DUMMYFUNCTION("""COMPUTED_VALUE"""),"20ft Sea Ark FL5351SJ UNF 2015")</f>
        <v>20ft Sea Ark FL5351SJ UNF 2015</v>
      </c>
      <c r="M424" t="str">
        <f>IFERROR(__xludf.DUMMYFUNCTION("""COMPUTED_VALUE"""),"Ford F150 2015 (White) - DEP21448")</f>
        <v>Ford F150 2015 (White) - DEP21448</v>
      </c>
      <c r="N424" t="str">
        <f>IFERROR(__xludf.DUMMYFUNCTION("""COMPUTED_VALUE"""),"Pam Marcum, (480) 332-5414")</f>
        <v>Pam Marcum, (480) 332-5414</v>
      </c>
      <c r="O424" t="str">
        <f>IFERROR(__xludf.DUMMYFUNCTION("""COMPUTED_VALUE"""),"Gabriela Canas, (904) 891-9743")</f>
        <v>Gabriela Canas, (904) 891-9743</v>
      </c>
      <c r="P424" t="str">
        <f>IFERROR(__xludf.DUMMYFUNCTION("""COMPUTED_VALUE"""),"Pam")</f>
        <v>Pam</v>
      </c>
      <c r="Q424" t="str">
        <f>IFERROR(__xludf.DUMMYFUNCTION("""COMPUTED_VALUE"""),"All items in working order")</f>
        <v>All items in working order</v>
      </c>
      <c r="AE424" s="11"/>
      <c r="AF424" t="s">
        <v>218</v>
      </c>
      <c r="AG424" s="18"/>
      <c r="AI424" s="12" t="s">
        <v>1226</v>
      </c>
      <c r="AJ424" s="19" t="s">
        <v>1227</v>
      </c>
      <c r="AK424" s="20" t="str">
        <f>HYPERLINK("https://docs.google.com/document/d/1t6d4J_pxyGT889qf1VeYKuL_8J9rkyvXI5kFVzGtp5A/edit?usp=drivesdk","Gabriela Canas - 11/22/2019 1:30 PM")</f>
        <v>Gabriela Canas - 11/22/2019 1:30 PM</v>
      </c>
      <c r="AL424" s="12" t="s">
        <v>1228</v>
      </c>
    </row>
    <row r="425">
      <c r="A425" s="10">
        <f>IFERROR(__xludf.DUMMYFUNCTION("""COMPUTED_VALUE"""),43791.57806768519)</f>
        <v>43791.57807</v>
      </c>
      <c r="B425" s="11" t="str">
        <f>IFERROR(__xludf.DUMMYFUNCTION("""COMPUTED_VALUE"""),"Gabriela Canas")</f>
        <v>Gabriela Canas</v>
      </c>
      <c r="C425" t="str">
        <f>IFERROR(__xludf.DUMMYFUNCTION("""COMPUTED_VALUE"""),"n00836133@unf.edu")</f>
        <v>n00836133@unf.edu</v>
      </c>
      <c r="D425" t="str">
        <f>IFERROR(__xludf.DUMMYFUNCTION("""COMPUTED_VALUE"""),"Research/Nikki")</f>
        <v>Research/Nikki</v>
      </c>
      <c r="E425" t="str">
        <f>IFERROR(__xludf.DUMMYFUNCTION("""COMPUTED_VALUE"""),"Douglas crane")</f>
        <v>Douglas crane</v>
      </c>
      <c r="F425" s="13">
        <f>IFERROR(__xludf.DUMMYFUNCTION("""COMPUTED_VALUE"""),0.5729166666678793)</f>
        <v>0.5729166667</v>
      </c>
      <c r="G425" s="14">
        <f>IFERROR(__xludf.DUMMYFUNCTION("""COMPUTED_VALUE"""),43791.0)</f>
        <v>43791</v>
      </c>
      <c r="H425" t="str">
        <f>IFERROR(__xludf.DUMMYFUNCTION("""COMPUTED_VALUE"""),"WETFEET middle")</f>
        <v>WETFEET middle</v>
      </c>
      <c r="I425" s="15">
        <f>IFERROR(__xludf.DUMMYFUNCTION("""COMPUTED_VALUE"""),0.6875)</f>
        <v>0.6875</v>
      </c>
      <c r="J425" s="16">
        <f>IFERROR(__xludf.DUMMYFUNCTION("""COMPUTED_VALUE"""),43791.71875)</f>
        <v>43791.71875</v>
      </c>
      <c r="K425" t="str">
        <f>IFERROR(__xludf.DUMMYFUNCTION("""COMPUTED_VALUE"""),"20ft Sea Ark FL5351SJ UNF 2015")</f>
        <v>20ft Sea Ark FL5351SJ UNF 2015</v>
      </c>
      <c r="M425" t="str">
        <f>IFERROR(__xludf.DUMMYFUNCTION("""COMPUTED_VALUE"""),"Ford F150 2015 (White) - DEP21448")</f>
        <v>Ford F150 2015 (White) - DEP21448</v>
      </c>
      <c r="N425" t="str">
        <f>IFERROR(__xludf.DUMMYFUNCTION("""COMPUTED_VALUE"""),"Pam Marcum, (480) 332-5414")</f>
        <v>Pam Marcum, (480) 332-5414</v>
      </c>
      <c r="O425" t="str">
        <f>IFERROR(__xludf.DUMMYFUNCTION("""COMPUTED_VALUE"""),"Gabriela Canas, (904) 891-9743")</f>
        <v>Gabriela Canas, (904) 891-9743</v>
      </c>
      <c r="P425" t="str">
        <f>IFERROR(__xludf.DUMMYFUNCTION("""COMPUTED_VALUE"""),"Pam")</f>
        <v>Pam</v>
      </c>
      <c r="Q425" t="str">
        <f>IFERROR(__xludf.DUMMYFUNCTION("""COMPUTED_VALUE"""),"All items in working order")</f>
        <v>All items in working order</v>
      </c>
      <c r="AE425" s="11"/>
      <c r="AF425" t="s">
        <v>218</v>
      </c>
      <c r="AG425" s="18"/>
      <c r="AI425" s="12" t="s">
        <v>1229</v>
      </c>
      <c r="AJ425" s="19" t="s">
        <v>1230</v>
      </c>
      <c r="AK425" s="20" t="str">
        <f>HYPERLINK("https://docs.google.com/document/d/1ZdD5urJCsgWVyivnfEYQGGfYEd6NlfeS7KymF33zbS8/edit?usp=drivesdk","Gabriela Canas - 11/22/2019 1:45 PM")</f>
        <v>Gabriela Canas - 11/22/2019 1:45 PM</v>
      </c>
      <c r="AL425" s="12" t="s">
        <v>1231</v>
      </c>
    </row>
    <row r="426">
      <c r="A426" s="10">
        <f>IFERROR(__xludf.DUMMYFUNCTION("""COMPUTED_VALUE"""),43794.660332210646)</f>
        <v>43794.66033</v>
      </c>
      <c r="B426" s="11" t="str">
        <f>IFERROR(__xludf.DUMMYFUNCTION("""COMPUTED_VALUE"""),"Jimmy Tomazinis")</f>
        <v>Jimmy Tomazinis</v>
      </c>
      <c r="C426" t="str">
        <f>IFERROR(__xludf.DUMMYFUNCTION("""COMPUTED_VALUE"""),"james.tomazinis@floridadep.gov")</f>
        <v>james.tomazinis@floridadep.gov</v>
      </c>
      <c r="D426" t="str">
        <f>IFERROR(__xludf.DUMMYFUNCTION("""COMPUTED_VALUE"""),"Stewardship (Aquatic)")</f>
        <v>Stewardship (Aquatic)</v>
      </c>
      <c r="E426" t="str">
        <f>IFERROR(__xludf.DUMMYFUNCTION("""COMPUTED_VALUE"""),"Dee Dee Bartels, Nassauville")</f>
        <v>Dee Dee Bartels, Nassauville</v>
      </c>
      <c r="F426" s="13">
        <f>IFERROR(__xludf.DUMMYFUNCTION("""COMPUTED_VALUE"""),0.375)</f>
        <v>0.375</v>
      </c>
      <c r="G426" s="14">
        <f>IFERROR(__xludf.DUMMYFUNCTION("""COMPUTED_VALUE"""),43795.0)</f>
        <v>43795</v>
      </c>
      <c r="H426" t="str">
        <f>IFERROR(__xludf.DUMMYFUNCTION("""COMPUTED_VALUE"""),"NEAP Nekton sites")</f>
        <v>NEAP Nekton sites</v>
      </c>
      <c r="I426" s="15">
        <f>IFERROR(__xludf.DUMMYFUNCTION("""COMPUTED_VALUE"""),0.625)</f>
        <v>0.625</v>
      </c>
      <c r="J426" s="16"/>
      <c r="K426" t="str">
        <f>IFERROR(__xludf.DUMMYFUNCTION("""COMPUTED_VALUE"""),"17ft Skiff (Marsha) FL0642GW DEP07239")</f>
        <v>17ft Skiff (Marsha) FL0642GW DEP07239</v>
      </c>
      <c r="M426" t="str">
        <f>IFERROR(__xludf.DUMMYFUNCTION("""COMPUTED_VALUE"""),"Ford F150 2015 (White) - DEP21448")</f>
        <v>Ford F150 2015 (White) - DEP21448</v>
      </c>
      <c r="N426" t="str">
        <f>IFERROR(__xludf.DUMMYFUNCTION("""COMPUTED_VALUE"""),"Jimmy Tomazinis, (904) 547-0094")</f>
        <v>Jimmy Tomazinis, (904) 547-0094</v>
      </c>
      <c r="O426" t="str">
        <f>IFERROR(__xludf.DUMMYFUNCTION("""COMPUTED_VALUE"""),"Caitlyn Tomazinis")</f>
        <v>Caitlyn Tomazinis</v>
      </c>
      <c r="P426" t="str">
        <f>IFERROR(__xludf.DUMMYFUNCTION("""COMPUTED_VALUE"""),"Jimmy")</f>
        <v>Jimmy</v>
      </c>
      <c r="Q426" t="str">
        <f>IFERROR(__xludf.DUMMYFUNCTION("""COMPUTED_VALUE"""),"All items in working order")</f>
        <v>All items in working order</v>
      </c>
      <c r="AE426" s="11"/>
      <c r="AF426" t="s">
        <v>32</v>
      </c>
      <c r="AG426" s="18"/>
      <c r="AI426" s="12" t="s">
        <v>1232</v>
      </c>
      <c r="AJ426" s="19" t="s">
        <v>1233</v>
      </c>
      <c r="AK426" s="20" t="str">
        <f>HYPERLINK("https://docs.google.com/document/d/1lpL-hACJ0SZheqs2xwrGh_IJID2VnoX1qU7kXTxNXF4/edit?usp=drivesdk","Jimmy Tomazinis - 11/26/2019 9:00 AM")</f>
        <v>Jimmy Tomazinis - 11/26/2019 9:00 AM</v>
      </c>
      <c r="AL426" s="12" t="s">
        <v>1234</v>
      </c>
    </row>
    <row r="427">
      <c r="A427" s="10">
        <f>IFERROR(__xludf.DUMMYFUNCTION("""COMPUTED_VALUE"""),43795.39589626157)</f>
        <v>43795.3959</v>
      </c>
      <c r="B427" s="11" t="str">
        <f>IFERROR(__xludf.DUMMYFUNCTION("""COMPUTED_VALUE"""),"Silas Tanner")</f>
        <v>Silas Tanner</v>
      </c>
      <c r="C427" t="str">
        <f>IFERROR(__xludf.DUMMYFUNCTION("""COMPUTED_VALUE"""),"silas.tanner@floridadep.gov")</f>
        <v>silas.tanner@floridadep.gov</v>
      </c>
      <c r="D427" t="str">
        <f>IFERROR(__xludf.DUMMYFUNCTION("""COMPUTED_VALUE"""),"Research/Nikki")</f>
        <v>Research/Nikki</v>
      </c>
      <c r="E427" t="str">
        <f>IFERROR(__xludf.DUMMYFUNCTION("""COMPUTED_VALUE"""),"Crane")</f>
        <v>Crane</v>
      </c>
      <c r="F427" s="13">
        <f>IFERROR(__xludf.DUMMYFUNCTION("""COMPUTED_VALUE"""),0.40625)</f>
        <v>0.40625</v>
      </c>
      <c r="G427" s="14">
        <f>IFERROR(__xludf.DUMMYFUNCTION("""COMPUTED_VALUE"""),43795.0)</f>
        <v>43795</v>
      </c>
      <c r="H427" t="str">
        <f>IFERROR(__xludf.DUMMYFUNCTION("""COMPUTED_VALUE"""),"ICW SWMP sites")</f>
        <v>ICW SWMP sites</v>
      </c>
      <c r="I427" s="15">
        <f>IFERROR(__xludf.DUMMYFUNCTION("""COMPUTED_VALUE"""),0.6041666666678793)</f>
        <v>0.6041666667</v>
      </c>
      <c r="J427" s="16">
        <f>IFERROR(__xludf.DUMMYFUNCTION("""COMPUTED_VALUE"""),43795.6875)</f>
        <v>43795.6875</v>
      </c>
      <c r="K427" t="str">
        <f>IFERROR(__xludf.DUMMYFUNCTION("""COMPUTED_VALUE"""),"23ft Skiff (Bertha) FL7972LJ DEP07613")</f>
        <v>23ft Skiff (Bertha) FL7972LJ DEP07613</v>
      </c>
      <c r="M427" t="str">
        <f>IFERROR(__xludf.DUMMYFUNCTION("""COMPUTED_VALUE"""),"Ford F250 2017 (Moby Dix) - DEP0021578")</f>
        <v>Ford F250 2017 (Moby Dix) - DEP0021578</v>
      </c>
      <c r="N427" t="str">
        <f>IFERROR(__xludf.DUMMYFUNCTION("""COMPUTED_VALUE"""),"Silas Tanner, (904) 483-8423, Remo Mondazzi")</f>
        <v>Silas Tanner, (904) 483-8423, Remo Mondazzi</v>
      </c>
      <c r="P427" t="str">
        <f>IFERROR(__xludf.DUMMYFUNCTION("""COMPUTED_VALUE"""),"Silas Tanner")</f>
        <v>Silas Tanner</v>
      </c>
      <c r="Q427" t="str">
        <f>IFERROR(__xludf.DUMMYFUNCTION("""COMPUTED_VALUE"""),"All items in working order")</f>
        <v>All items in working order</v>
      </c>
      <c r="AE427" s="11"/>
      <c r="AF427" t="s">
        <v>218</v>
      </c>
      <c r="AG427" s="17" t="s">
        <v>128</v>
      </c>
      <c r="AH427" s="12">
        <v>1410.0</v>
      </c>
      <c r="AI427" s="12" t="s">
        <v>1235</v>
      </c>
      <c r="AJ427" s="19" t="s">
        <v>1236</v>
      </c>
      <c r="AK427" s="20" t="str">
        <f>HYPERLINK("https://docs.google.com/document/d/1VaWJIE3K1kYxS9ekiUDrgSvi82MS4ihWUVx1sk6R0Yk/edit?usp=drivesdk","Silas Tanner - 11/26/2019 9:45 AM")</f>
        <v>Silas Tanner - 11/26/2019 9:45 AM</v>
      </c>
      <c r="AL427" s="12" t="s">
        <v>1237</v>
      </c>
    </row>
    <row r="428">
      <c r="A428" s="10">
        <f>IFERROR(__xludf.DUMMYFUNCTION("""COMPUTED_VALUE"""),43795.83838344907)</f>
        <v>43795.83838</v>
      </c>
      <c r="B428" s="11" t="str">
        <f>IFERROR(__xludf.DUMMYFUNCTION("""COMPUTED_VALUE"""),"Test")</f>
        <v>Test</v>
      </c>
      <c r="C428" t="str">
        <f>IFERROR(__xludf.DUMMYFUNCTION("""COMPUTED_VALUE"""),"pamela.macum@floridadep.gov")</f>
        <v>pamela.macum@floridadep.gov</v>
      </c>
      <c r="D428" t="str">
        <f>IFERROR(__xludf.DUMMYFUNCTION("""COMPUTED_VALUE"""),"Research/Pam")</f>
        <v>Research/Pam</v>
      </c>
      <c r="E428" t="str">
        <f>IFERROR(__xludf.DUMMYFUNCTION("""COMPUTED_VALUE"""),"Test")</f>
        <v>Test</v>
      </c>
      <c r="F428" s="13">
        <f>IFERROR(__xludf.DUMMYFUNCTION("""COMPUTED_VALUE"""),0.0)</f>
        <v>0</v>
      </c>
      <c r="G428" s="14">
        <f>IFERROR(__xludf.DUMMYFUNCTION("""COMPUTED_VALUE"""),43796.0)</f>
        <v>43796</v>
      </c>
      <c r="H428" t="str">
        <f>IFERROR(__xludf.DUMMYFUNCTION("""COMPUTED_VALUE"""),"Test")</f>
        <v>Test</v>
      </c>
      <c r="I428" s="15">
        <f>IFERROR(__xludf.DUMMYFUNCTION("""COMPUTED_VALUE"""),0.0)</f>
        <v>0</v>
      </c>
      <c r="J428" s="16">
        <f>IFERROR(__xludf.DUMMYFUNCTION("""COMPUTED_VALUE"""),43796.0)</f>
        <v>43796</v>
      </c>
      <c r="K428" t="str">
        <f>IFERROR(__xludf.DUMMYFUNCTION("""COMPUTED_VALUE"""),"Test")</f>
        <v>Test</v>
      </c>
      <c r="M428" t="str">
        <f>IFERROR(__xludf.DUMMYFUNCTION("""COMPUTED_VALUE"""),"Test")</f>
        <v>Test</v>
      </c>
      <c r="Q428" t="str">
        <f>IFERROR(__xludf.DUMMYFUNCTION("""COMPUTED_VALUE"""),"All items in working order")</f>
        <v>All items in working order</v>
      </c>
      <c r="AE428" s="11"/>
      <c r="AF428" t="s">
        <v>262</v>
      </c>
      <c r="AG428" s="18"/>
      <c r="AI428" s="12" t="s">
        <v>1238</v>
      </c>
      <c r="AJ428" s="19" t="s">
        <v>1239</v>
      </c>
      <c r="AK428" s="20" t="str">
        <f>HYPERLINK("https://docs.google.com/document/d/1gYnYcrd2vVUnyywSfLpzSXQMaeBhGeh-LmrYZ9gNiQs/edit?usp=drivesdk","Test - 11/27/2019 12:00 AM")</f>
        <v>Test - 11/27/2019 12:00 AM</v>
      </c>
      <c r="AL428" s="12" t="s">
        <v>1240</v>
      </c>
    </row>
    <row r="429">
      <c r="A429" s="10">
        <f>IFERROR(__xludf.DUMMYFUNCTION("""COMPUTED_VALUE"""),43801.68857849537)</f>
        <v>43801.68858</v>
      </c>
      <c r="B429" s="11" t="str">
        <f>IFERROR(__xludf.DUMMYFUNCTION("""COMPUTED_VALUE"""),"Jimmy Tomazinis")</f>
        <v>Jimmy Tomazinis</v>
      </c>
      <c r="C429" t="str">
        <f>IFERROR(__xludf.DUMMYFUNCTION("""COMPUTED_VALUE"""),"james.tomazinis@floridadep.gov")</f>
        <v>james.tomazinis@floridadep.gov</v>
      </c>
      <c r="D429" t="str">
        <f>IFERROR(__xludf.DUMMYFUNCTION("""COMPUTED_VALUE"""),"Stewardship (Aquatic)")</f>
        <v>Stewardship (Aquatic)</v>
      </c>
      <c r="E429" t="str">
        <f>IFERROR(__xludf.DUMMYFUNCTION("""COMPUTED_VALUE"""),"Vilano")</f>
        <v>Vilano</v>
      </c>
      <c r="F429" s="13">
        <f>IFERROR(__xludf.DUMMYFUNCTION("""COMPUTED_VALUE"""),0.3854166666678793)</f>
        <v>0.3854166667</v>
      </c>
      <c r="G429" s="14">
        <f>IFERROR(__xludf.DUMMYFUNCTION("""COMPUTED_VALUE"""),43802.0)</f>
        <v>43802</v>
      </c>
      <c r="H429" t="str">
        <f>IFERROR(__xludf.DUMMYFUNCTION("""COMPUTED_VALUE"""),"Tolomato nekton sites")</f>
        <v>Tolomato nekton sites</v>
      </c>
      <c r="I429" s="15">
        <f>IFERROR(__xludf.DUMMYFUNCTION("""COMPUTED_VALUE"""),0.6666666666678793)</f>
        <v>0.6666666667</v>
      </c>
      <c r="J429" s="16"/>
      <c r="K429" t="str">
        <f>IFERROR(__xludf.DUMMYFUNCTION("""COMPUTED_VALUE"""),"23ft Skiff (Bertha) FL7972LJ DEP07613")</f>
        <v>23ft Skiff (Bertha) FL7972LJ DEP07613</v>
      </c>
      <c r="M429" t="str">
        <f>IFERROR(__xludf.DUMMYFUNCTION("""COMPUTED_VALUE"""),"Ford F150 2015 (White) - DEP21448")</f>
        <v>Ford F150 2015 (White) - DEP21448</v>
      </c>
      <c r="N429" t="str">
        <f>IFERROR(__xludf.DUMMYFUNCTION("""COMPUTED_VALUE"""),"Jimmy Tomazinis, (904) 547-0094")</f>
        <v>Jimmy Tomazinis, (904) 547-0094</v>
      </c>
      <c r="O429" t="str">
        <f>IFERROR(__xludf.DUMMYFUNCTION("""COMPUTED_VALUE"""),"Mike, Jeff, Pam, Suzi, Diane")</f>
        <v>Mike, Jeff, Pam, Suzi, Diane</v>
      </c>
      <c r="P429" t="str">
        <f>IFERROR(__xludf.DUMMYFUNCTION("""COMPUTED_VALUE"""),"Jimmy")</f>
        <v>Jimmy</v>
      </c>
      <c r="Q429" t="str">
        <f>IFERROR(__xludf.DUMMYFUNCTION("""COMPUTED_VALUE"""),"All items in working order")</f>
        <v>All items in working order</v>
      </c>
      <c r="AE429" s="11"/>
      <c r="AF429" t="s">
        <v>32</v>
      </c>
      <c r="AG429" s="17" t="s">
        <v>18</v>
      </c>
      <c r="AH429" s="12">
        <v>1600.0</v>
      </c>
      <c r="AI429" s="12" t="s">
        <v>1241</v>
      </c>
      <c r="AJ429" s="19" t="s">
        <v>1242</v>
      </c>
      <c r="AK429" s="20" t="str">
        <f>HYPERLINK("https://docs.google.com/document/d/1lKFj_Q6V3_7Ks5Z3aYgaiu-zNZ1Tcvga3effVH7ur7o/edit?usp=drivesdk","Jimmy Tomazinis - 12/3/2019 9:15 AM")</f>
        <v>Jimmy Tomazinis - 12/3/2019 9:15 AM</v>
      </c>
      <c r="AL429" s="12" t="s">
        <v>1243</v>
      </c>
    </row>
    <row r="430">
      <c r="A430" s="10">
        <f>IFERROR(__xludf.DUMMYFUNCTION("""COMPUTED_VALUE"""),43803.36210405093)</f>
        <v>43803.3621</v>
      </c>
      <c r="B430" s="11" t="str">
        <f>IFERROR(__xludf.DUMMYFUNCTION("""COMPUTED_VALUE"""),"Jimmy Tomazinis")</f>
        <v>Jimmy Tomazinis</v>
      </c>
      <c r="C430" t="str">
        <f>IFERROR(__xludf.DUMMYFUNCTION("""COMPUTED_VALUE"""),"james.tomazinis@floridadep.gov")</f>
        <v>james.tomazinis@floridadep.gov</v>
      </c>
      <c r="D430" t="str">
        <f>IFERROR(__xludf.DUMMYFUNCTION("""COMPUTED_VALUE"""),"Stewardship (Aquatic)")</f>
        <v>Stewardship (Aquatic)</v>
      </c>
      <c r="E430" t="str">
        <f>IFERROR(__xludf.DUMMYFUNCTION("""COMPUTED_VALUE"""),"Vilano")</f>
        <v>Vilano</v>
      </c>
      <c r="F430" s="13">
        <f>IFERROR(__xludf.DUMMYFUNCTION("""COMPUTED_VALUE"""),0.3854166666678793)</f>
        <v>0.3854166667</v>
      </c>
      <c r="G430" s="14">
        <f>IFERROR(__xludf.DUMMYFUNCTION("""COMPUTED_VALUE"""),43803.0)</f>
        <v>43803</v>
      </c>
      <c r="H430" t="str">
        <f>IFERROR(__xludf.DUMMYFUNCTION("""COMPUTED_VALUE"""),"Tolomato and Matanzas")</f>
        <v>Tolomato and Matanzas</v>
      </c>
      <c r="I430" s="15">
        <f>IFERROR(__xludf.DUMMYFUNCTION("""COMPUTED_VALUE"""),0.6666666666678793)</f>
        <v>0.6666666667</v>
      </c>
      <c r="J430" s="16"/>
      <c r="K430" t="str">
        <f>IFERROR(__xludf.DUMMYFUNCTION("""COMPUTED_VALUE"""),"23ft Skiff (Bertha) FL7972LJ DEP07613")</f>
        <v>23ft Skiff (Bertha) FL7972LJ DEP07613</v>
      </c>
      <c r="M430" t="str">
        <f>IFERROR(__xludf.DUMMYFUNCTION("""COMPUTED_VALUE"""),"Ford F150 2015 (White) - DEP21448")</f>
        <v>Ford F150 2015 (White) - DEP21448</v>
      </c>
      <c r="N430" t="str">
        <f>IFERROR(__xludf.DUMMYFUNCTION("""COMPUTED_VALUE"""),"Jimmy Tomazinis, (904) 547-0094, Ruben")</f>
        <v>Jimmy Tomazinis, (904) 547-0094, Ruben</v>
      </c>
      <c r="O430" t="str">
        <f>IFERROR(__xludf.DUMMYFUNCTION("""COMPUTED_VALUE"""),"Jeff, Jordan, Steve, Suzi")</f>
        <v>Jeff, Jordan, Steve, Suzi</v>
      </c>
      <c r="P430" t="str">
        <f>IFERROR(__xludf.DUMMYFUNCTION("""COMPUTED_VALUE"""),"Jimmy")</f>
        <v>Jimmy</v>
      </c>
      <c r="Q430" t="str">
        <f>IFERROR(__xludf.DUMMYFUNCTION("""COMPUTED_VALUE"""),"All items in working order")</f>
        <v>All items in working order</v>
      </c>
      <c r="AE430" s="11"/>
      <c r="AF430" t="s">
        <v>32</v>
      </c>
      <c r="AG430" s="17" t="s">
        <v>18</v>
      </c>
      <c r="AH430" s="12">
        <v>1605.0</v>
      </c>
      <c r="AI430" s="12" t="s">
        <v>1244</v>
      </c>
      <c r="AJ430" s="19" t="s">
        <v>1245</v>
      </c>
      <c r="AK430" s="20" t="str">
        <f>HYPERLINK("https://docs.google.com/document/d/172vVxwop84YvNDb_72vQKInQJ2qcjf8BrLZ6GTgNcTo/edit?usp=drivesdk","Jimmy Tomazinis - 12/4/2019 9:15 AM")</f>
        <v>Jimmy Tomazinis - 12/4/2019 9:15 AM</v>
      </c>
      <c r="AL430" s="12" t="s">
        <v>1246</v>
      </c>
    </row>
    <row r="431">
      <c r="A431" s="10">
        <f>IFERROR(__xludf.DUMMYFUNCTION("""COMPUTED_VALUE"""),43804.32515821759)</f>
        <v>43804.32516</v>
      </c>
      <c r="B431" s="11" t="str">
        <f>IFERROR(__xludf.DUMMYFUNCTION("""COMPUTED_VALUE"""),"Alexandria Knoell")</f>
        <v>Alexandria Knoell</v>
      </c>
      <c r="C431" t="str">
        <f>IFERROR(__xludf.DUMMYFUNCTION("""COMPUTED_VALUE"""),"alee.knoell@floridadep.gov")</f>
        <v>alee.knoell@floridadep.gov</v>
      </c>
      <c r="D431" t="str">
        <f>IFERROR(__xludf.DUMMYFUNCTION("""COMPUTED_VALUE"""),"Research/Nikki")</f>
        <v>Research/Nikki</v>
      </c>
      <c r="E431" t="str">
        <f>IFERROR(__xludf.DUMMYFUNCTION("""COMPUTED_VALUE"""),"Aunt Kate’s 7:30, Shore 11, Green road 12")</f>
        <v>Aunt Kate’s 7:30, Shore 11, Green road 12</v>
      </c>
      <c r="F431" s="13">
        <f>IFERROR(__xludf.DUMMYFUNCTION("""COMPUTED_VALUE"""),0.3229166666678793)</f>
        <v>0.3229166667</v>
      </c>
      <c r="G431" s="14">
        <f>IFERROR(__xludf.DUMMYFUNCTION("""COMPUTED_VALUE"""),43804.0)</f>
        <v>43804</v>
      </c>
      <c r="H431" t="str">
        <f>IFERROR(__xludf.DUMMYFUNCTION("""COMPUTED_VALUE"""),"Spat trees")</f>
        <v>Spat trees</v>
      </c>
      <c r="I431" s="15">
        <f>IFERROR(__xludf.DUMMYFUNCTION("""COMPUTED_VALUE"""),0.5833333333321207)</f>
        <v>0.5833333333</v>
      </c>
      <c r="J431" s="16">
        <f>IFERROR(__xludf.DUMMYFUNCTION("""COMPUTED_VALUE"""),43804.64583333333)</f>
        <v>43804.64583</v>
      </c>
      <c r="K431" t="str">
        <f>IFERROR(__xludf.DUMMYFUNCTION("""COMPUTED_VALUE"""),"20ft Sea Ark FL5351SJ UNF 2015")</f>
        <v>20ft Sea Ark FL5351SJ UNF 2015</v>
      </c>
      <c r="M431" t="str">
        <f>IFERROR(__xludf.DUMMYFUNCTION("""COMPUTED_VALUE"""),"Ford F150 2008 (SWMP Thing) - DEP18041")</f>
        <v>Ford F150 2008 (SWMP Thing) - DEP18041</v>
      </c>
      <c r="N431" t="str">
        <f>IFERROR(__xludf.DUMMYFUNCTION("""COMPUTED_VALUE"""),"Pam Marcum, (480) 332-5414")</f>
        <v>Pam Marcum, (480) 332-5414</v>
      </c>
      <c r="O431" t="str">
        <f>IFERROR(__xludf.DUMMYFUNCTION("""COMPUTED_VALUE"""),"Alee Knoell, (619) 750-4833")</f>
        <v>Alee Knoell, (619) 750-4833</v>
      </c>
      <c r="P431" t="str">
        <f>IFERROR(__xludf.DUMMYFUNCTION("""COMPUTED_VALUE"""),"Pam marcum")</f>
        <v>Pam marcum</v>
      </c>
      <c r="Q431" t="str">
        <f>IFERROR(__xludf.DUMMYFUNCTION("""COMPUTED_VALUE"""),"All items in working order")</f>
        <v>All items in working order</v>
      </c>
      <c r="AE431" s="11"/>
      <c r="AF431" t="s">
        <v>218</v>
      </c>
      <c r="AG431" s="17" t="s">
        <v>18</v>
      </c>
      <c r="AH431" s="12">
        <v>1405.0</v>
      </c>
      <c r="AI431" s="12" t="s">
        <v>1247</v>
      </c>
      <c r="AJ431" s="19" t="s">
        <v>1248</v>
      </c>
      <c r="AK431" s="20" t="str">
        <f>HYPERLINK("https://docs.google.com/document/d/163XConguxRmfEJiz0qqtWQl8czIMwg0PZ_dbBQWiVoE/edit?usp=drivesdk","Alexandria Knoell - 12/5/2019 7:45 AM")</f>
        <v>Alexandria Knoell - 12/5/2019 7:45 AM</v>
      </c>
      <c r="AL431" s="12" t="s">
        <v>1249</v>
      </c>
    </row>
    <row r="432">
      <c r="A432" s="10">
        <f>IFERROR(__xludf.DUMMYFUNCTION("""COMPUTED_VALUE"""),43804.357534594914)</f>
        <v>43804.35753</v>
      </c>
      <c r="B432" s="11" t="str">
        <f>IFERROR(__xludf.DUMMYFUNCTION("""COMPUTED_VALUE"""),"Jimmy Tomazinis")</f>
        <v>Jimmy Tomazinis</v>
      </c>
      <c r="C432" t="str">
        <f>IFERROR(__xludf.DUMMYFUNCTION("""COMPUTED_VALUE"""),"james.tomazinis@floridadep.gov")</f>
        <v>james.tomazinis@floridadep.gov</v>
      </c>
      <c r="D432" t="str">
        <f>IFERROR(__xludf.DUMMYFUNCTION("""COMPUTED_VALUE"""),"Stewardship (Aquatic)")</f>
        <v>Stewardship (Aquatic)</v>
      </c>
      <c r="E432" t="str">
        <f>IFERROR(__xludf.DUMMYFUNCTION("""COMPUTED_VALUE"""),"Bings")</f>
        <v>Bings</v>
      </c>
      <c r="F432" s="13">
        <f>IFERROR(__xludf.DUMMYFUNCTION("""COMPUTED_VALUE"""),0.4166666666678793)</f>
        <v>0.4166666667</v>
      </c>
      <c r="G432" s="14">
        <f>IFERROR(__xludf.DUMMYFUNCTION("""COMPUTED_VALUE"""),43804.0)</f>
        <v>43804</v>
      </c>
      <c r="H432" t="str">
        <f>IFERROR(__xludf.DUMMYFUNCTION("""COMPUTED_VALUE"""),"Matanzas Nekton sites")</f>
        <v>Matanzas Nekton sites</v>
      </c>
      <c r="I432" s="15">
        <f>IFERROR(__xludf.DUMMYFUNCTION("""COMPUTED_VALUE"""),0.5833333333321207)</f>
        <v>0.5833333333</v>
      </c>
      <c r="J432" s="16"/>
      <c r="K432" t="str">
        <f>IFERROR(__xludf.DUMMYFUNCTION("""COMPUTED_VALUE"""),"23ft Skiff (Bertha) FL7972LJ DEP07613")</f>
        <v>23ft Skiff (Bertha) FL7972LJ DEP07613</v>
      </c>
      <c r="M432" t="str">
        <f>IFERROR(__xludf.DUMMYFUNCTION("""COMPUTED_VALUE"""),"Ford F150 2015 (White) - DEP21448")</f>
        <v>Ford F150 2015 (White) - DEP21448</v>
      </c>
      <c r="N432" t="str">
        <f>IFERROR(__xludf.DUMMYFUNCTION("""COMPUTED_VALUE"""),"Jimmy Tomazinis, (904) 547-0094, Ruben Allen")</f>
        <v>Jimmy Tomazinis, (904) 547-0094, Ruben Allen</v>
      </c>
      <c r="O432" t="str">
        <f>IFERROR(__xludf.DUMMYFUNCTION("""COMPUTED_VALUE"""),"Suzi, Diane")</f>
        <v>Suzi, Diane</v>
      </c>
      <c r="P432" t="str">
        <f>IFERROR(__xludf.DUMMYFUNCTION("""COMPUTED_VALUE"""),"Jimmy")</f>
        <v>Jimmy</v>
      </c>
      <c r="Q432" t="str">
        <f>IFERROR(__xludf.DUMMYFUNCTION("""COMPUTED_VALUE"""),"All items in working order")</f>
        <v>All items in working order</v>
      </c>
      <c r="AE432" s="11"/>
      <c r="AF432" t="s">
        <v>32</v>
      </c>
      <c r="AG432" s="18"/>
      <c r="AI432" s="12" t="s">
        <v>1250</v>
      </c>
      <c r="AJ432" s="19" t="s">
        <v>1251</v>
      </c>
      <c r="AK432" s="20" t="str">
        <f>HYPERLINK("https://docs.google.com/document/d/1_EblonXbm1yhjT1MEa_-F031_IGkFPSW7vWvu5Hsklg/edit?usp=drivesdk","Jimmy Tomazinis - 12/5/2019 10:00 AM")</f>
        <v>Jimmy Tomazinis - 12/5/2019 10:00 AM</v>
      </c>
      <c r="AL432" s="12" t="s">
        <v>1252</v>
      </c>
    </row>
    <row r="433">
      <c r="A433" s="10">
        <f>IFERROR(__xludf.DUMMYFUNCTION("""COMPUTED_VALUE"""),43808.556866203704)</f>
        <v>43808.55687</v>
      </c>
      <c r="B433" s="11" t="str">
        <f>IFERROR(__xludf.DUMMYFUNCTION("""COMPUTED_VALUE"""),"J Silas Tanner")</f>
        <v>J Silas Tanner</v>
      </c>
      <c r="C433" t="str">
        <f>IFERROR(__xludf.DUMMYFUNCTION("""COMPUTED_VALUE"""),"silas.tanner@floridadep.gov")</f>
        <v>silas.tanner@floridadep.gov</v>
      </c>
      <c r="D433" t="str">
        <f>IFERROR(__xludf.DUMMYFUNCTION("""COMPUTED_VALUE"""),"Research/Shannon")</f>
        <v>Research/Shannon</v>
      </c>
      <c r="E433" t="str">
        <f>IFERROR(__xludf.DUMMYFUNCTION("""COMPUTED_VALUE"""),"Vilano Landing")</f>
        <v>Vilano Landing</v>
      </c>
      <c r="F433" s="13">
        <f>IFERROR(__xludf.DUMMYFUNCTION("""COMPUTED_VALUE"""),0.3020833333321207)</f>
        <v>0.3020833333</v>
      </c>
      <c r="G433" s="14">
        <f>IFERROR(__xludf.DUMMYFUNCTION("""COMPUTED_VALUE"""),43809.0)</f>
        <v>43809</v>
      </c>
      <c r="H433" t="str">
        <f>IFERROR(__xludf.DUMMYFUNCTION("""COMPUTED_VALUE"""),"ICW SWMP Sites")</f>
        <v>ICW SWMP Sites</v>
      </c>
      <c r="I433" s="15">
        <f>IFERROR(__xludf.DUMMYFUNCTION("""COMPUTED_VALUE"""),0.5208333333321207)</f>
        <v>0.5208333333</v>
      </c>
      <c r="J433" s="16">
        <f>IFERROR(__xludf.DUMMYFUNCTION("""COMPUTED_VALUE"""),43809.54166666667)</f>
        <v>43809.54167</v>
      </c>
      <c r="K433" t="str">
        <f>IFERROR(__xludf.DUMMYFUNCTION("""COMPUTED_VALUE"""),"23ft Skiff (Bertha) FL7972LJ DEP07613")</f>
        <v>23ft Skiff (Bertha) FL7972LJ DEP07613</v>
      </c>
      <c r="M433" t="str">
        <f>IFERROR(__xludf.DUMMYFUNCTION("""COMPUTED_VALUE"""),"Ford F250 2017 (Moby Dix) - DEP0021578")</f>
        <v>Ford F250 2017 (Moby Dix) - DEP0021578</v>
      </c>
      <c r="N433" t="str">
        <f>IFERROR(__xludf.DUMMYFUNCTION("""COMPUTED_VALUE"""),"Silas Tanner, (904) 483-8423")</f>
        <v>Silas Tanner, (904) 483-8423</v>
      </c>
      <c r="O433" t="str">
        <f>IFERROR(__xludf.DUMMYFUNCTION("""COMPUTED_VALUE"""),"Casey McClure")</f>
        <v>Casey McClure</v>
      </c>
      <c r="P433" t="str">
        <f>IFERROR(__xludf.DUMMYFUNCTION("""COMPUTED_VALUE"""),"S. Tanner")</f>
        <v>S. Tanner</v>
      </c>
      <c r="Q433" t="str">
        <f>IFERROR(__xludf.DUMMYFUNCTION("""COMPUTED_VALUE"""),"All items in working order")</f>
        <v>All items in working order</v>
      </c>
      <c r="AE433" s="11"/>
      <c r="AF433" t="s">
        <v>269</v>
      </c>
      <c r="AG433" s="17" t="s">
        <v>18</v>
      </c>
      <c r="AH433" s="12">
        <v>1135.0</v>
      </c>
      <c r="AI433" s="12" t="s">
        <v>1253</v>
      </c>
      <c r="AJ433" s="19" t="s">
        <v>1254</v>
      </c>
      <c r="AK433" s="20" t="str">
        <f>HYPERLINK("https://docs.google.com/document/d/1kHlAOqzXYOdFmF5mwK116zmtf-WGoNyKYM7eg3XI8fI/edit?usp=drivesdk","J Silas Tanner - 12/10/2019 7:15 AM")</f>
        <v>J Silas Tanner - 12/10/2019 7:15 AM</v>
      </c>
      <c r="AL433" s="12" t="s">
        <v>1255</v>
      </c>
    </row>
    <row r="434">
      <c r="A434" s="10">
        <f>IFERROR(__xludf.DUMMYFUNCTION("""COMPUTED_VALUE"""),43810.30505822917)</f>
        <v>43810.30506</v>
      </c>
      <c r="B434" s="11" t="str">
        <f>IFERROR(__xludf.DUMMYFUNCTION("""COMPUTED_VALUE"""),"Jimmy Tomazinis")</f>
        <v>Jimmy Tomazinis</v>
      </c>
      <c r="C434" t="str">
        <f>IFERROR(__xludf.DUMMYFUNCTION("""COMPUTED_VALUE"""),"james.tomazinis@floridadep.gov")</f>
        <v>james.tomazinis@floridadep.gov</v>
      </c>
      <c r="D434" t="str">
        <f>IFERROR(__xludf.DUMMYFUNCTION("""COMPUTED_VALUE"""),"Stewardship (Aquatic)")</f>
        <v>Stewardship (Aquatic)</v>
      </c>
      <c r="E434" t="str">
        <f>IFERROR(__xludf.DUMMYFUNCTION("""COMPUTED_VALUE"""),"Dee dee bartels, Nassauville")</f>
        <v>Dee dee bartels, Nassauville</v>
      </c>
      <c r="F434" s="13">
        <f>IFERROR(__xludf.DUMMYFUNCTION("""COMPUTED_VALUE"""),0.375)</f>
        <v>0.375</v>
      </c>
      <c r="G434" s="14">
        <f>IFERROR(__xludf.DUMMYFUNCTION("""COMPUTED_VALUE"""),43810.0)</f>
        <v>43810</v>
      </c>
      <c r="H434" t="str">
        <f>IFERROR(__xludf.DUMMYFUNCTION("""COMPUTED_VALUE"""),"NEAP WQ sites")</f>
        <v>NEAP WQ sites</v>
      </c>
      <c r="I434" s="15">
        <f>IFERROR(__xludf.DUMMYFUNCTION("""COMPUTED_VALUE"""),0.5833333333321207)</f>
        <v>0.5833333333</v>
      </c>
      <c r="J434" s="16"/>
      <c r="K434" t="str">
        <f>IFERROR(__xludf.DUMMYFUNCTION("""COMPUTED_VALUE"""),"17ft Skiff (Marsha) FL0642GW DEP07239")</f>
        <v>17ft Skiff (Marsha) FL0642GW DEP07239</v>
      </c>
      <c r="M434" t="str">
        <f>IFERROR(__xludf.DUMMYFUNCTION("""COMPUTED_VALUE"""),"Ford F150 2008 (SWMP Thing) - DEP18041")</f>
        <v>Ford F150 2008 (SWMP Thing) - DEP18041</v>
      </c>
      <c r="N434" t="str">
        <f>IFERROR(__xludf.DUMMYFUNCTION("""COMPUTED_VALUE"""),"Jimmy Tomazinis, (904) 547-0094")</f>
        <v>Jimmy Tomazinis, (904) 547-0094</v>
      </c>
      <c r="O434" t="str">
        <f>IFERROR(__xludf.DUMMYFUNCTION("""COMPUTED_VALUE"""),"Suzi, Alicia")</f>
        <v>Suzi, Alicia</v>
      </c>
      <c r="P434" t="str">
        <f>IFERROR(__xludf.DUMMYFUNCTION("""COMPUTED_VALUE"""),"Jimmy")</f>
        <v>Jimmy</v>
      </c>
      <c r="Q434" t="str">
        <f>IFERROR(__xludf.DUMMYFUNCTION("""COMPUTED_VALUE"""),"All items in working order")</f>
        <v>All items in working order</v>
      </c>
      <c r="AE434" s="11"/>
      <c r="AF434" t="s">
        <v>32</v>
      </c>
      <c r="AG434" s="17" t="s">
        <v>18</v>
      </c>
      <c r="AH434" s="12">
        <v>1255.0</v>
      </c>
      <c r="AI434" s="12" t="s">
        <v>1256</v>
      </c>
      <c r="AJ434" s="19" t="s">
        <v>1257</v>
      </c>
      <c r="AK434" s="20" t="str">
        <f>HYPERLINK("https://docs.google.com/document/d/1IKbSBBabOKlmi4SgTvDk2__OUMhoNNZui34H6pmKKbs/edit?usp=drivesdk","Jimmy Tomazinis - 12/11/2019 9:00 AM")</f>
        <v>Jimmy Tomazinis - 12/11/2019 9:00 AM</v>
      </c>
      <c r="AL434" s="12" t="s">
        <v>1258</v>
      </c>
    </row>
    <row r="435">
      <c r="A435" s="10">
        <f>IFERROR(__xludf.DUMMYFUNCTION("""COMPUTED_VALUE"""),43815.37188416666)</f>
        <v>43815.37188</v>
      </c>
      <c r="B435" s="11" t="str">
        <f>IFERROR(__xludf.DUMMYFUNCTION("""COMPUTED_VALUE"""),"Shannon Dunnigan")</f>
        <v>Shannon Dunnigan</v>
      </c>
      <c r="C435" t="str">
        <f>IFERROR(__xludf.DUMMYFUNCTION("""COMPUTED_VALUE"""),"shannon.dunnigan@floridadep.gov")</f>
        <v>shannon.dunnigan@floridadep.gov</v>
      </c>
      <c r="D435" t="str">
        <f>IFERROR(__xludf.DUMMYFUNCTION("""COMPUTED_VALUE"""),"Research/Nikki")</f>
        <v>Research/Nikki</v>
      </c>
      <c r="E435" t="str">
        <f>IFERROR(__xludf.DUMMYFUNCTION("""COMPUTED_VALUE"""),"Moses")</f>
        <v>Moses</v>
      </c>
      <c r="F435" s="13">
        <f>IFERROR(__xludf.DUMMYFUNCTION("""COMPUTED_VALUE"""),0.3854166666678793)</f>
        <v>0.3854166667</v>
      </c>
      <c r="G435" s="14">
        <f>IFERROR(__xludf.DUMMYFUNCTION("""COMPUTED_VALUE"""),43815.0)</f>
        <v>43815</v>
      </c>
      <c r="H435" t="str">
        <f>IFERROR(__xludf.DUMMYFUNCTION("""COMPUTED_VALUE"""),"Moses platforms")</f>
        <v>Moses platforms</v>
      </c>
      <c r="I435" s="15">
        <f>IFERROR(__xludf.DUMMYFUNCTION("""COMPUTED_VALUE"""),0.46875)</f>
        <v>0.46875</v>
      </c>
      <c r="J435" s="16">
        <f>IFERROR(__xludf.DUMMYFUNCTION("""COMPUTED_VALUE"""),43815.54166666667)</f>
        <v>43815.54167</v>
      </c>
      <c r="K435" t="str">
        <f>IFERROR(__xludf.DUMMYFUNCTION("""COMPUTED_VALUE"""),"Kayak(s)")</f>
        <v>Kayak(s)</v>
      </c>
      <c r="L435">
        <f>IFERROR(__xludf.DUMMYFUNCTION("""COMPUTED_VALUE"""),1.0)</f>
        <v>1</v>
      </c>
      <c r="M435" t="str">
        <f>IFERROR(__xludf.DUMMYFUNCTION("""COMPUTED_VALUE"""),"Ford F250 2017 (Moby Dix) - DEP0021578")</f>
        <v>Ford F250 2017 (Moby Dix) - DEP0021578</v>
      </c>
      <c r="N435" t="str">
        <f>IFERROR(__xludf.DUMMYFUNCTION("""COMPUTED_VALUE"""),"Shannon Dunnigan, (803) 727-5734, Silas Tanner, (904) 483-8423")</f>
        <v>Shannon Dunnigan, (803) 727-5734, Silas Tanner, (904) 483-8423</v>
      </c>
      <c r="P435" t="str">
        <f>IFERROR(__xludf.DUMMYFUNCTION("""COMPUTED_VALUE"""),"Shannon")</f>
        <v>Shannon</v>
      </c>
      <c r="Q435" t="str">
        <f>IFERROR(__xludf.DUMMYFUNCTION("""COMPUTED_VALUE"""),"All items in working order")</f>
        <v>All items in working order</v>
      </c>
      <c r="AE435" s="11"/>
      <c r="AF435" t="s">
        <v>218</v>
      </c>
      <c r="AG435" s="17" t="s">
        <v>18</v>
      </c>
      <c r="AH435" s="12">
        <v>1145.0</v>
      </c>
      <c r="AI435" s="12" t="s">
        <v>1259</v>
      </c>
      <c r="AJ435" s="19" t="s">
        <v>1260</v>
      </c>
      <c r="AK435" s="20" t="str">
        <f>HYPERLINK("https://docs.google.com/document/d/1qZ-a0BeL3hRyRq4l3YXrwKyyqKN5gkchWbLgF1XfHNo/edit?usp=drivesdk","Shannon Dunnigan - 12/16/2019 9:15 AM")</f>
        <v>Shannon Dunnigan - 12/16/2019 9:15 AM</v>
      </c>
      <c r="AL435" s="12" t="s">
        <v>1261</v>
      </c>
    </row>
    <row r="436">
      <c r="A436" s="10">
        <f>IFERROR(__xludf.DUMMYFUNCTION("""COMPUTED_VALUE"""),43815.50697790509)</f>
        <v>43815.50698</v>
      </c>
      <c r="B436" s="11" t="str">
        <f>IFERROR(__xludf.DUMMYFUNCTION("""COMPUTED_VALUE"""),"Jimmy Tomazinis")</f>
        <v>Jimmy Tomazinis</v>
      </c>
      <c r="C436" t="str">
        <f>IFERROR(__xludf.DUMMYFUNCTION("""COMPUTED_VALUE"""),"james.tomazinis@floridadep.gov")</f>
        <v>james.tomazinis@floridadep.gov</v>
      </c>
      <c r="D436" t="str">
        <f>IFERROR(__xludf.DUMMYFUNCTION("""COMPUTED_VALUE"""),"Stewardship (Aquatic)")</f>
        <v>Stewardship (Aquatic)</v>
      </c>
      <c r="E436" t="str">
        <f>IFERROR(__xludf.DUMMYFUNCTION("""COMPUTED_VALUE"""),"Guana Dam")</f>
        <v>Guana Dam</v>
      </c>
      <c r="F436" s="13">
        <f>IFERROR(__xludf.DUMMYFUNCTION("""COMPUTED_VALUE"""),0.53125)</f>
        <v>0.53125</v>
      </c>
      <c r="G436" s="14">
        <f>IFERROR(__xludf.DUMMYFUNCTION("""COMPUTED_VALUE"""),43815.0)</f>
        <v>43815</v>
      </c>
      <c r="H436" t="str">
        <f>IFERROR(__xludf.DUMMYFUNCTION("""COMPUTED_VALUE"""),"Guana WQ sites")</f>
        <v>Guana WQ sites</v>
      </c>
      <c r="I436" s="15">
        <f>IFERROR(__xludf.DUMMYFUNCTION("""COMPUTED_VALUE"""),0.6145833333321207)</f>
        <v>0.6145833333</v>
      </c>
      <c r="J436" s="16"/>
      <c r="K436" t="str">
        <f>IFERROR(__xludf.DUMMYFUNCTION("""COMPUTED_VALUE"""),"Jon Boat FL0484NP DEP06819")</f>
        <v>Jon Boat FL0484NP DEP06819</v>
      </c>
      <c r="M436" t="str">
        <f>IFERROR(__xludf.DUMMYFUNCTION("""COMPUTED_VALUE"""),"Ford F150 2015 (White) - DEP21448")</f>
        <v>Ford F150 2015 (White) - DEP21448</v>
      </c>
      <c r="N436" t="str">
        <f>IFERROR(__xludf.DUMMYFUNCTION("""COMPUTED_VALUE"""),"Jimmy Tomazinis, (904) 547-0094")</f>
        <v>Jimmy Tomazinis, (904) 547-0094</v>
      </c>
      <c r="O436" t="str">
        <f>IFERROR(__xludf.DUMMYFUNCTION("""COMPUTED_VALUE"""),"Jess, ")</f>
        <v>Jess, </v>
      </c>
      <c r="P436" t="str">
        <f>IFERROR(__xludf.DUMMYFUNCTION("""COMPUTED_VALUE"""),"Jimmy")</f>
        <v>Jimmy</v>
      </c>
      <c r="Q436" t="str">
        <f>IFERROR(__xludf.DUMMYFUNCTION("""COMPUTED_VALUE"""),"All items in working order")</f>
        <v>All items in working order</v>
      </c>
      <c r="AE436" s="11"/>
      <c r="AF436" t="s">
        <v>32</v>
      </c>
      <c r="AG436" s="17" t="s">
        <v>18</v>
      </c>
      <c r="AH436" s="12">
        <v>1420.0</v>
      </c>
      <c r="AI436" s="12" t="s">
        <v>1262</v>
      </c>
      <c r="AJ436" s="19" t="s">
        <v>1263</v>
      </c>
      <c r="AK436" s="20" t="str">
        <f>HYPERLINK("https://docs.google.com/document/d/1OPJyWfnlaorB8XlVsMWimPBNc-pOQRB-7mepBOTyZ_U/edit?usp=drivesdk","Jimmy Tomazinis - 12/16/2019 12:45 PM")</f>
        <v>Jimmy Tomazinis - 12/16/2019 12:45 PM</v>
      </c>
      <c r="AL436" s="12" t="s">
        <v>1264</v>
      </c>
    </row>
    <row r="437">
      <c r="A437" s="10">
        <f>IFERROR(__xludf.DUMMYFUNCTION("""COMPUTED_VALUE"""),43817.40760157407)</f>
        <v>43817.4076</v>
      </c>
      <c r="B437" s="11" t="str">
        <f>IFERROR(__xludf.DUMMYFUNCTION("""COMPUTED_VALUE"""),"Silas Tanner")</f>
        <v>Silas Tanner</v>
      </c>
      <c r="C437" t="str">
        <f>IFERROR(__xludf.DUMMYFUNCTION("""COMPUTED_VALUE"""),"silas.tanner@floridadep.gov")</f>
        <v>silas.tanner@floridadep.gov</v>
      </c>
      <c r="D437" t="str">
        <f>IFERROR(__xludf.DUMMYFUNCTION("""COMPUTED_VALUE"""),"Research/Nikki")</f>
        <v>Research/Nikki</v>
      </c>
      <c r="E437" t="str">
        <f>IFERROR(__xludf.DUMMYFUNCTION("""COMPUTED_VALUE"""),"Green Road ramp, Crane ramp, Aunt Kate's")</f>
        <v>Green Road ramp, Crane ramp, Aunt Kate's</v>
      </c>
      <c r="F437" s="13">
        <f>IFERROR(__xludf.DUMMYFUNCTION("""COMPUTED_VALUE"""),0.4583333333321207)</f>
        <v>0.4583333333</v>
      </c>
      <c r="G437" s="14">
        <f>IFERROR(__xludf.DUMMYFUNCTION("""COMPUTED_VALUE"""),43817.0)</f>
        <v>43817</v>
      </c>
      <c r="H437" t="str">
        <f>IFERROR(__xludf.DUMMYFUNCTION("""COMPUTED_VALUE"""),"ICW SWMP sites")</f>
        <v>ICW SWMP sites</v>
      </c>
      <c r="I437" s="15">
        <f>IFERROR(__xludf.DUMMYFUNCTION("""COMPUTED_VALUE"""),0.625)</f>
        <v>0.625</v>
      </c>
      <c r="J437" s="16">
        <f>IFERROR(__xludf.DUMMYFUNCTION("""COMPUTED_VALUE"""),43817.63541666667)</f>
        <v>43817.63542</v>
      </c>
      <c r="K437" t="str">
        <f>IFERROR(__xludf.DUMMYFUNCTION("""COMPUTED_VALUE"""),"20ft Sea Ark FL5351SJ UNF 2015")</f>
        <v>20ft Sea Ark FL5351SJ UNF 2015</v>
      </c>
      <c r="M437" t="str">
        <f>IFERROR(__xludf.DUMMYFUNCTION("""COMPUTED_VALUE"""),"Ford F250 2017 (Moby Dix) - DEP0021578")</f>
        <v>Ford F250 2017 (Moby Dix) - DEP0021578</v>
      </c>
      <c r="N437" t="str">
        <f>IFERROR(__xludf.DUMMYFUNCTION("""COMPUTED_VALUE"""),"Shannon Dunnigan, (803) 727-5734, Silas Tanner, (904) 483-8423")</f>
        <v>Shannon Dunnigan, (803) 727-5734, Silas Tanner, (904) 483-8423</v>
      </c>
      <c r="P437" t="str">
        <f>IFERROR(__xludf.DUMMYFUNCTION("""COMPUTED_VALUE"""),"S. Dunnigan")</f>
        <v>S. Dunnigan</v>
      </c>
      <c r="Q437" t="str">
        <f>IFERROR(__xludf.DUMMYFUNCTION("""COMPUTED_VALUE"""),"All items in working order")</f>
        <v>All items in working order</v>
      </c>
      <c r="AE437" s="11"/>
      <c r="AF437" t="s">
        <v>218</v>
      </c>
      <c r="AG437" s="17" t="s">
        <v>60</v>
      </c>
      <c r="AH437" s="12">
        <v>1400.0</v>
      </c>
      <c r="AI437" s="12" t="s">
        <v>1265</v>
      </c>
      <c r="AJ437" s="19" t="s">
        <v>1266</v>
      </c>
      <c r="AK437" s="20" t="str">
        <f>HYPERLINK("https://docs.google.com/document/d/1LC1IYvAnDIH6sgJDDdHDIbOJPCKDdI8tSBH5EYeaN9I/edit?usp=drivesdk","Silas Tanner - 12/18/2019 11:00 AM")</f>
        <v>Silas Tanner - 12/18/2019 11:00 AM</v>
      </c>
      <c r="AL437" s="12" t="s">
        <v>1267</v>
      </c>
    </row>
    <row r="438">
      <c r="A438" s="10">
        <f>IFERROR(__xludf.DUMMYFUNCTION("""COMPUTED_VALUE"""),43818.407351851856)</f>
        <v>43818.40735</v>
      </c>
      <c r="B438" s="11" t="str">
        <f>IFERROR(__xludf.DUMMYFUNCTION("""COMPUTED_VALUE"""),"J Silas Tanner")</f>
        <v>J Silas Tanner</v>
      </c>
      <c r="C438" t="str">
        <f>IFERROR(__xludf.DUMMYFUNCTION("""COMPUTED_VALUE"""),"silas.tanner@floridadep.gov")</f>
        <v>silas.tanner@floridadep.gov</v>
      </c>
      <c r="D438" t="str">
        <f>IFERROR(__xludf.DUMMYFUNCTION("""COMPUTED_VALUE"""),"Research/Nikki")</f>
        <v>Research/Nikki</v>
      </c>
      <c r="E438" t="str">
        <f>IFERROR(__xludf.DUMMYFUNCTION("""COMPUTED_VALUE"""),"Palm Valley")</f>
        <v>Palm Valley</v>
      </c>
      <c r="F438" s="13">
        <f>IFERROR(__xludf.DUMMYFUNCTION("""COMPUTED_VALUE"""),0.4270833333321207)</f>
        <v>0.4270833333</v>
      </c>
      <c r="G438" s="14">
        <f>IFERROR(__xludf.DUMMYFUNCTION("""COMPUTED_VALUE"""),43818.0)</f>
        <v>43818</v>
      </c>
      <c r="H438" t="str">
        <f>IFERROR(__xludf.DUMMYFUNCTION("""COMPUTED_VALUE"""),"Pine Island SWMP site")</f>
        <v>Pine Island SWMP site</v>
      </c>
      <c r="I438" s="15">
        <f>IFERROR(__xludf.DUMMYFUNCTION("""COMPUTED_VALUE"""),0.4895833333321207)</f>
        <v>0.4895833333</v>
      </c>
      <c r="J438" s="16">
        <f>IFERROR(__xludf.DUMMYFUNCTION("""COMPUTED_VALUE"""),43818.50069444445)</f>
        <v>43818.50069</v>
      </c>
      <c r="K438" t="str">
        <f>IFERROR(__xludf.DUMMYFUNCTION("""COMPUTED_VALUE"""),"20ft Sea Ark FL5351SJ UNF 2015")</f>
        <v>20ft Sea Ark FL5351SJ UNF 2015</v>
      </c>
      <c r="M438" t="str">
        <f>IFERROR(__xludf.DUMMYFUNCTION("""COMPUTED_VALUE"""),"Ford F250 2017 (Moby Dix) - DEP0021578")</f>
        <v>Ford F250 2017 (Moby Dix) - DEP0021578</v>
      </c>
      <c r="N438" t="str">
        <f>IFERROR(__xludf.DUMMYFUNCTION("""COMPUTED_VALUE"""),"Silas Tanner, (904) 483-8423")</f>
        <v>Silas Tanner, (904) 483-8423</v>
      </c>
      <c r="O438" t="str">
        <f>IFERROR(__xludf.DUMMYFUNCTION("""COMPUTED_VALUE"""),"Alee Knoell, (619) 750-4833")</f>
        <v>Alee Knoell, (619) 750-4833</v>
      </c>
      <c r="P438" t="str">
        <f>IFERROR(__xludf.DUMMYFUNCTION("""COMPUTED_VALUE"""),"Tanner")</f>
        <v>Tanner</v>
      </c>
      <c r="Q438" t="str">
        <f>IFERROR(__xludf.DUMMYFUNCTION("""COMPUTED_VALUE"""),"All items in working order")</f>
        <v>All items in working order</v>
      </c>
      <c r="AE438" s="11"/>
      <c r="AF438" t="s">
        <v>218</v>
      </c>
      <c r="AG438" s="17" t="s">
        <v>511</v>
      </c>
      <c r="AH438" s="12">
        <v>1130.0</v>
      </c>
      <c r="AI438" s="12" t="s">
        <v>1268</v>
      </c>
      <c r="AJ438" s="19" t="s">
        <v>1269</v>
      </c>
      <c r="AK438" s="20" t="str">
        <f>HYPERLINK("https://docs.google.com/document/d/1txL1NkJIk-erA6B1p-O-zeeuqlFx5VgDXw_om0hByYQ/edit?usp=drivesdk","J Silas Tanner - 12/19/2019 10:15 AM")</f>
        <v>J Silas Tanner - 12/19/2019 10:15 AM</v>
      </c>
      <c r="AL438" s="12" t="s">
        <v>1270</v>
      </c>
    </row>
    <row r="439">
      <c r="A439" s="10">
        <f>IFERROR(__xludf.DUMMYFUNCTION("""COMPUTED_VALUE"""),43818.426369803245)</f>
        <v>43818.42637</v>
      </c>
      <c r="B439" s="11" t="str">
        <f>IFERROR(__xludf.DUMMYFUNCTION("""COMPUTED_VALUE"""),"Gabriela Canas")</f>
        <v>Gabriela Canas</v>
      </c>
      <c r="C439" t="str">
        <f>IFERROR(__xludf.DUMMYFUNCTION("""COMPUTED_VALUE"""),"n00836133@unf.edu")</f>
        <v>n00836133@unf.edu</v>
      </c>
      <c r="D439" t="str">
        <f>IFERROR(__xludf.DUMMYFUNCTION("""COMPUTED_VALUE"""),"Research/Nikki")</f>
        <v>Research/Nikki</v>
      </c>
      <c r="E439" t="str">
        <f>IFERROR(__xludf.DUMMYFUNCTION("""COMPUTED_VALUE"""),"Douglas crane")</f>
        <v>Douglas crane</v>
      </c>
      <c r="F439" s="13">
        <f>IFERROR(__xludf.DUMMYFUNCTION("""COMPUTED_VALUE"""),0.4583333333321207)</f>
        <v>0.4583333333</v>
      </c>
      <c r="G439" s="14">
        <f>IFERROR(__xludf.DUMMYFUNCTION("""COMPUTED_VALUE"""),43818.0)</f>
        <v>43818</v>
      </c>
      <c r="H439" t="str">
        <f>IFERROR(__xludf.DUMMYFUNCTION("""COMPUTED_VALUE"""),"WETFEET middle site")</f>
        <v>WETFEET middle site</v>
      </c>
      <c r="I439" s="15">
        <f>IFERROR(__xludf.DUMMYFUNCTION("""COMPUTED_VALUE"""),0.5833333333321207)</f>
        <v>0.5833333333</v>
      </c>
      <c r="J439" s="16">
        <f>IFERROR(__xludf.DUMMYFUNCTION("""COMPUTED_VALUE"""),43818.61458333333)</f>
        <v>43818.61458</v>
      </c>
      <c r="K439" t="str">
        <f>IFERROR(__xludf.DUMMYFUNCTION("""COMPUTED_VALUE"""),"17ft Skiff (Marsha) FL0642GW DEP07239")</f>
        <v>17ft Skiff (Marsha) FL0642GW DEP07239</v>
      </c>
      <c r="M439" t="str">
        <f>IFERROR(__xludf.DUMMYFUNCTION("""COMPUTED_VALUE"""),"Ford F150 2008 (SWMP Thing) - DEP18041")</f>
        <v>Ford F150 2008 (SWMP Thing) - DEP18041</v>
      </c>
      <c r="N439" t="str">
        <f>IFERROR(__xludf.DUMMYFUNCTION("""COMPUTED_VALUE"""),"Pam Marcum, (480) 332-5414")</f>
        <v>Pam Marcum, (480) 332-5414</v>
      </c>
      <c r="O439" t="str">
        <f>IFERROR(__xludf.DUMMYFUNCTION("""COMPUTED_VALUE"""),"Gabriela Canas, (904) 891-9743")</f>
        <v>Gabriela Canas, (904) 891-9743</v>
      </c>
      <c r="P439" t="str">
        <f>IFERROR(__xludf.DUMMYFUNCTION("""COMPUTED_VALUE"""),"Pam")</f>
        <v>Pam</v>
      </c>
      <c r="Q439" t="str">
        <f>IFERROR(__xludf.DUMMYFUNCTION("""COMPUTED_VALUE"""),"All items in working order")</f>
        <v>All items in working order</v>
      </c>
      <c r="AE439" s="11"/>
      <c r="AF439" t="s">
        <v>218</v>
      </c>
      <c r="AG439" s="17" t="s">
        <v>60</v>
      </c>
      <c r="AH439" s="12">
        <v>1340.0</v>
      </c>
      <c r="AI439" s="12" t="s">
        <v>1271</v>
      </c>
      <c r="AJ439" s="19" t="s">
        <v>1272</v>
      </c>
      <c r="AK439" s="20" t="str">
        <f>HYPERLINK("https://docs.google.com/document/d/1NN0E003fhNBJAqT_4wA1n1fHv_OIrnwXZ5Cod5eNRaQ/edit?usp=drivesdk","Gabriela Canas - 12/19/2019 11:00 AM")</f>
        <v>Gabriela Canas - 12/19/2019 11:00 AM</v>
      </c>
      <c r="AL439" s="12" t="s">
        <v>1273</v>
      </c>
    </row>
    <row r="440">
      <c r="A440" s="10">
        <f>IFERROR(__xludf.DUMMYFUNCTION("""COMPUTED_VALUE"""),43819.586192766204)</f>
        <v>43819.58619</v>
      </c>
      <c r="B440" s="11" t="str">
        <f>IFERROR(__xludf.DUMMYFUNCTION("""COMPUTED_VALUE"""),"Jessica Lee")</f>
        <v>Jessica Lee</v>
      </c>
      <c r="C440" t="str">
        <f>IFERROR(__xludf.DUMMYFUNCTION("""COMPUTED_VALUE"""),"jessica.lee@FloridaDEP.gov")</f>
        <v>jessica.lee@FloridaDEP.gov</v>
      </c>
      <c r="D440" t="str">
        <f>IFERROR(__xludf.DUMMYFUNCTION("""COMPUTED_VALUE"""),"Research/Nikki")</f>
        <v>Research/Nikki</v>
      </c>
      <c r="E440" t="str">
        <f>IFERROR(__xludf.DUMMYFUNCTION("""COMPUTED_VALUE"""),"Guana")</f>
        <v>Guana</v>
      </c>
      <c r="F440" s="13">
        <f>IFERROR(__xludf.DUMMYFUNCTION("""COMPUTED_VALUE"""),0.2916666666678793)</f>
        <v>0.2916666667</v>
      </c>
      <c r="G440" s="14">
        <f>IFERROR(__xludf.DUMMYFUNCTION("""COMPUTED_VALUE"""),43822.0)</f>
        <v>43822</v>
      </c>
      <c r="H440" t="str">
        <f>IFERROR(__xludf.DUMMYFUNCTION("""COMPUTED_VALUE"""),"Guana River")</f>
        <v>Guana River</v>
      </c>
      <c r="I440" s="15">
        <f>IFERROR(__xludf.DUMMYFUNCTION("""COMPUTED_VALUE"""),0.3541666666678793)</f>
        <v>0.3541666667</v>
      </c>
      <c r="J440" s="16">
        <f>IFERROR(__xludf.DUMMYFUNCTION("""COMPUTED_VALUE"""),43822.375)</f>
        <v>43822.375</v>
      </c>
      <c r="K440" t="str">
        <f>IFERROR(__xludf.DUMMYFUNCTION("""COMPUTED_VALUE"""),"Jon Boat FL0484NP DEP06819")</f>
        <v>Jon Boat FL0484NP DEP06819</v>
      </c>
      <c r="M440" t="str">
        <f>IFERROR(__xludf.DUMMYFUNCTION("""COMPUTED_VALUE"""),"Ford F150 2015 (White) - DEP21448")</f>
        <v>Ford F150 2015 (White) - DEP21448</v>
      </c>
      <c r="N440" t="str">
        <f>IFERROR(__xludf.DUMMYFUNCTION("""COMPUTED_VALUE"""),"Jimmy Tomazinis, (904) 547-0094")</f>
        <v>Jimmy Tomazinis, (904) 547-0094</v>
      </c>
      <c r="O440" t="str">
        <f>IFERROR(__xludf.DUMMYFUNCTION("""COMPUTED_VALUE"""),"Jessica Lee")</f>
        <v>Jessica Lee</v>
      </c>
      <c r="P440" t="str">
        <f>IFERROR(__xludf.DUMMYFUNCTION("""COMPUTED_VALUE"""),"Jessica Lee")</f>
        <v>Jessica Lee</v>
      </c>
      <c r="Q440" t="str">
        <f>IFERROR(__xludf.DUMMYFUNCTION("""COMPUTED_VALUE"""),"All items in working order")</f>
        <v>All items in working order</v>
      </c>
      <c r="AE440" s="11"/>
      <c r="AF440" t="s">
        <v>218</v>
      </c>
      <c r="AG440" s="18"/>
      <c r="AI440" s="12" t="s">
        <v>1274</v>
      </c>
      <c r="AJ440" s="19" t="s">
        <v>1275</v>
      </c>
      <c r="AK440" s="20" t="str">
        <f>HYPERLINK("https://docs.google.com/document/d/1zuFEsKkrq9M6ZGAYBwp5wojo8R4vd7PN6fTx65IXQLA/edit?usp=drivesdk","Jessica Lee - 12/23/2019 7:00 AM")</f>
        <v>Jessica Lee - 12/23/2019 7:00 AM</v>
      </c>
      <c r="AL440" s="12" t="s">
        <v>1276</v>
      </c>
    </row>
    <row r="441">
      <c r="A441" s="10">
        <f>IFERROR(__xludf.DUMMYFUNCTION("""COMPUTED_VALUE"""),43829.4694525463)</f>
        <v>43829.46945</v>
      </c>
      <c r="B441" s="11" t="str">
        <f>IFERROR(__xludf.DUMMYFUNCTION("""COMPUTED_VALUE"""),"Jessica Lee")</f>
        <v>Jessica Lee</v>
      </c>
      <c r="C441" t="str">
        <f>IFERROR(__xludf.DUMMYFUNCTION("""COMPUTED_VALUE"""),"jessica.lee@FloridaDEP.gov")</f>
        <v>jessica.lee@FloridaDEP.gov</v>
      </c>
      <c r="D441" t="str">
        <f>IFERROR(__xludf.DUMMYFUNCTION("""COMPUTED_VALUE"""),"Research/Nikki")</f>
        <v>Research/Nikki</v>
      </c>
      <c r="E441" t="str">
        <f>IFERROR(__xludf.DUMMYFUNCTION("""COMPUTED_VALUE"""),"Guana River")</f>
        <v>Guana River</v>
      </c>
      <c r="F441" s="13">
        <f>IFERROR(__xludf.DUMMYFUNCTION("""COMPUTED_VALUE"""),0.5)</f>
        <v>0.5</v>
      </c>
      <c r="G441" s="14">
        <f>IFERROR(__xludf.DUMMYFUNCTION("""COMPUTED_VALUE"""),43829.0)</f>
        <v>43829</v>
      </c>
      <c r="H441" t="str">
        <f>IFERROR(__xludf.DUMMYFUNCTION("""COMPUTED_VALUE"""),"Guana River")</f>
        <v>Guana River</v>
      </c>
      <c r="I441" s="15">
        <f>IFERROR(__xludf.DUMMYFUNCTION("""COMPUTED_VALUE"""),0.5416666666678793)</f>
        <v>0.5416666667</v>
      </c>
      <c r="J441" s="16">
        <f>IFERROR(__xludf.DUMMYFUNCTION("""COMPUTED_VALUE"""),43829.55208333333)</f>
        <v>43829.55208</v>
      </c>
      <c r="K441" t="str">
        <f>IFERROR(__xludf.DUMMYFUNCTION("""COMPUTED_VALUE"""),"Jon Boat FL0484NP DEP06819")</f>
        <v>Jon Boat FL0484NP DEP06819</v>
      </c>
      <c r="M441" t="str">
        <f>IFERROR(__xludf.DUMMYFUNCTION("""COMPUTED_VALUE"""),"Ford F150 2015 (White) - DEP21448")</f>
        <v>Ford F150 2015 (White) - DEP21448</v>
      </c>
      <c r="N441" t="str">
        <f>IFERROR(__xludf.DUMMYFUNCTION("""COMPUTED_VALUE"""),"Jimmy Tomazinis, (904) 547-0094")</f>
        <v>Jimmy Tomazinis, (904) 547-0094</v>
      </c>
      <c r="P441" t="str">
        <f>IFERROR(__xludf.DUMMYFUNCTION("""COMPUTED_VALUE"""),"Jessica Lee")</f>
        <v>Jessica Lee</v>
      </c>
      <c r="Q441" t="str">
        <f>IFERROR(__xludf.DUMMYFUNCTION("""COMPUTED_VALUE"""),"All items in working order")</f>
        <v>All items in working order</v>
      </c>
      <c r="AE441" s="11"/>
      <c r="AF441" t="s">
        <v>218</v>
      </c>
      <c r="AG441" s="17" t="s">
        <v>18</v>
      </c>
      <c r="AH441" s="12">
        <v>1340.0</v>
      </c>
      <c r="AI441" s="12" t="s">
        <v>1277</v>
      </c>
      <c r="AJ441" s="19" t="s">
        <v>1278</v>
      </c>
      <c r="AK441" s="20" t="str">
        <f>HYPERLINK("https://docs.google.com/document/d/1sv52haYJAAYeV34nrDRRcelkEHhfK9YUVlfLYziSVak/edit?usp=drivesdk","Jessica Lee - 12/30/2019 12:00 PM")</f>
        <v>Jessica Lee - 12/30/2019 12:00 PM</v>
      </c>
      <c r="AL441" s="12" t="s">
        <v>1279</v>
      </c>
    </row>
    <row r="442">
      <c r="A442" s="10">
        <f>IFERROR(__xludf.DUMMYFUNCTION("""COMPUTED_VALUE"""),43835.62294898148)</f>
        <v>43835.62295</v>
      </c>
      <c r="B442" s="11" t="str">
        <f>IFERROR(__xludf.DUMMYFUNCTION("""COMPUTED_VALUE"""),"Ruben Allen")</f>
        <v>Ruben Allen</v>
      </c>
      <c r="C442" t="str">
        <f>IFERROR(__xludf.DUMMYFUNCTION("""COMPUTED_VALUE"""),"rubeall57@gmail.com")</f>
        <v>rubeall57@gmail.com</v>
      </c>
      <c r="D442" t="str">
        <f>IFERROR(__xludf.DUMMYFUNCTION("""COMPUTED_VALUE"""),"Research/Pam")</f>
        <v>Research/Pam</v>
      </c>
      <c r="E442" t="str">
        <f>IFERROR(__xludf.DUMMYFUNCTION("""COMPUTED_VALUE"""),"Vilano")</f>
        <v>Vilano</v>
      </c>
      <c r="F442" s="13"/>
      <c r="G442" s="14">
        <f>IFERROR(__xludf.DUMMYFUNCTION("""COMPUTED_VALUE"""),43836.0)</f>
        <v>43836</v>
      </c>
      <c r="H442" t="str">
        <f>IFERROR(__xludf.DUMMYFUNCTION("""COMPUTED_VALUE"""),"Southern Spat Run")</f>
        <v>Southern Spat Run</v>
      </c>
      <c r="I442" s="15">
        <f>IFERROR(__xludf.DUMMYFUNCTION("""COMPUTED_VALUE"""),0.6666666666678793)</f>
        <v>0.6666666667</v>
      </c>
      <c r="J442" s="16">
        <f>IFERROR(__xludf.DUMMYFUNCTION("""COMPUTED_VALUE"""),43836.6875)</f>
        <v>43836.6875</v>
      </c>
      <c r="K442" t="str">
        <f>IFERROR(__xludf.DUMMYFUNCTION("""COMPUTED_VALUE"""),"F 20ft Sea Ark (Easy 200) FL8534PY DEP21451")</f>
        <v>F 20ft Sea Ark (Easy 200) FL8534PY DEP21451</v>
      </c>
      <c r="M442" t="str">
        <f>IFERROR(__xludf.DUMMYFUNCTION("""COMPUTED_VALUE"""),"Ford F150 2015 (White) - DEP21448")</f>
        <v>Ford F150 2015 (White) - DEP21448</v>
      </c>
      <c r="O442" t="str">
        <f>IFERROR(__xludf.DUMMYFUNCTION("""COMPUTED_VALUE"""),"Alee Knoell, (619) 750-4833")</f>
        <v>Alee Knoell, (619) 750-4833</v>
      </c>
      <c r="P442" t="str">
        <f>IFERROR(__xludf.DUMMYFUNCTION("""COMPUTED_VALUE"""),"Ruben Allen")</f>
        <v>Ruben Allen</v>
      </c>
      <c r="Q442" t="str">
        <f>IFERROR(__xludf.DUMMYFUNCTION("""COMPUTED_VALUE"""),"All items in working order")</f>
        <v>All items in working order</v>
      </c>
      <c r="AD442" t="str">
        <f>IFERROR(__xludf.DUMMYFUNCTION("""COMPUTED_VALUE"""),"Yes")</f>
        <v>Yes</v>
      </c>
      <c r="AE442" s="11" t="str">
        <f>IFERROR(__xludf.DUMMYFUNCTION("""COMPUTED_VALUE"""),"Yes")</f>
        <v>Yes</v>
      </c>
      <c r="AF442" t="s">
        <v>262</v>
      </c>
      <c r="AG442" s="17" t="s">
        <v>128</v>
      </c>
      <c r="AI442" s="12" t="s">
        <v>1280</v>
      </c>
      <c r="AJ442" s="19" t="s">
        <v>1281</v>
      </c>
      <c r="AK442" s="20" t="str">
        <f>HYPERLINK("https://docs.google.com/document/d/1JWAEHsDzvl7pbzZIbe-Lnfe9jqYcORBAu_2CLinmP9I/edit?usp=drivesdk","Ruben Allen - 1/6/2020 ")</f>
        <v>Ruben Allen - 1/6/2020 </v>
      </c>
      <c r="AL442" s="12" t="s">
        <v>1282</v>
      </c>
    </row>
    <row r="443">
      <c r="A443" s="10">
        <f>IFERROR(__xludf.DUMMYFUNCTION("""COMPUTED_VALUE"""),43836.39580564815)</f>
        <v>43836.39581</v>
      </c>
      <c r="B443" s="11" t="str">
        <f>IFERROR(__xludf.DUMMYFUNCTION("""COMPUTED_VALUE"""),"Pamela Marcum")</f>
        <v>Pamela Marcum</v>
      </c>
      <c r="C443" t="str">
        <f>IFERROR(__xludf.DUMMYFUNCTION("""COMPUTED_VALUE"""),"Pamela.Marcum@dep.state.fl.us")</f>
        <v>Pamela.Marcum@dep.state.fl.us</v>
      </c>
      <c r="D443" t="str">
        <f>IFERROR(__xludf.DUMMYFUNCTION("""COMPUTED_VALUE"""),"Research/Nikki")</f>
        <v>Research/Nikki</v>
      </c>
      <c r="E443" t="str">
        <f>IFERROR(__xludf.DUMMYFUNCTION("""COMPUTED_VALUE"""),"Usina/Aunt Kate's")</f>
        <v>Usina/Aunt Kate's</v>
      </c>
      <c r="F443" s="13">
        <f>IFERROR(__xludf.DUMMYFUNCTION("""COMPUTED_VALUE"""),0.4375)</f>
        <v>0.4375</v>
      </c>
      <c r="G443" s="14">
        <f>IFERROR(__xludf.DUMMYFUNCTION("""COMPUTED_VALUE"""),43836.0)</f>
        <v>43836</v>
      </c>
      <c r="H443" t="str">
        <f>IFERROR(__xludf.DUMMYFUNCTION("""COMPUTED_VALUE"""),"Tolomato &amp; Guana Rivers")</f>
        <v>Tolomato &amp; Guana Rivers</v>
      </c>
      <c r="I443" s="15">
        <f>IFERROR(__xludf.DUMMYFUNCTION("""COMPUTED_VALUE"""),0.5625)</f>
        <v>0.5625</v>
      </c>
      <c r="J443" s="16">
        <f>IFERROR(__xludf.DUMMYFUNCTION("""COMPUTED_VALUE"""),43836.58333333333)</f>
        <v>43836.58333</v>
      </c>
      <c r="K443" t="str">
        <f>IFERROR(__xludf.DUMMYFUNCTION("""COMPUTED_VALUE"""),"17ft Skiff (Marsha) FL0642GW DEP07239")</f>
        <v>17ft Skiff (Marsha) FL0642GW DEP07239</v>
      </c>
      <c r="M443" t="str">
        <f>IFERROR(__xludf.DUMMYFUNCTION("""COMPUTED_VALUE"""),"Ford F250 2017 (Moby Dix) - DEP0021578")</f>
        <v>Ford F250 2017 (Moby Dix) - DEP0021578</v>
      </c>
      <c r="N443" t="str">
        <f>IFERROR(__xludf.DUMMYFUNCTION("""COMPUTED_VALUE"""),"Pam Marcum, (480) 332-5414")</f>
        <v>Pam Marcum, (480) 332-5414</v>
      </c>
      <c r="O443" t="str">
        <f>IFERROR(__xludf.DUMMYFUNCTION("""COMPUTED_VALUE"""),"Brian Alexander")</f>
        <v>Brian Alexander</v>
      </c>
      <c r="P443" t="str">
        <f>IFERROR(__xludf.DUMMYFUNCTION("""COMPUTED_VALUE"""),"Pam")</f>
        <v>Pam</v>
      </c>
      <c r="Q443" t="str">
        <f>IFERROR(__xludf.DUMMYFUNCTION("""COMPUTED_VALUE"""),"All items in working order")</f>
        <v>All items in working order</v>
      </c>
      <c r="AE443" s="11"/>
      <c r="AF443" t="s">
        <v>218</v>
      </c>
      <c r="AG443" s="17" t="s">
        <v>18</v>
      </c>
      <c r="AH443" s="12">
        <v>1307.0</v>
      </c>
      <c r="AI443" s="12" t="s">
        <v>1283</v>
      </c>
      <c r="AJ443" s="19" t="s">
        <v>1284</v>
      </c>
      <c r="AK443" s="20" t="str">
        <f>HYPERLINK("https://docs.google.com/document/d/1VRt0LSeu7WyUk5Y7qIS1MvLNZbbwax7OHCqNDHhV_5I/edit?usp=drivesdk","Pamela Marcum - 1/6/2020 10:30 AM")</f>
        <v>Pamela Marcum - 1/6/2020 10:30 AM</v>
      </c>
      <c r="AL443" s="12" t="s">
        <v>1285</v>
      </c>
    </row>
    <row r="444">
      <c r="A444" s="10">
        <f>IFERROR(__xludf.DUMMYFUNCTION("""COMPUTED_VALUE"""),43837.278942743054)</f>
        <v>43837.27894</v>
      </c>
      <c r="B444" s="11" t="str">
        <f>IFERROR(__xludf.DUMMYFUNCTION("""COMPUTED_VALUE"""),"Jessica Lee")</f>
        <v>Jessica Lee</v>
      </c>
      <c r="C444" t="str">
        <f>IFERROR(__xludf.DUMMYFUNCTION("""COMPUTED_VALUE"""),"jessica.lee@FloridaDEP.gov")</f>
        <v>jessica.lee@FloridaDEP.gov</v>
      </c>
      <c r="D444" t="str">
        <f>IFERROR(__xludf.DUMMYFUNCTION("""COMPUTED_VALUE"""),"Research/Nikki")</f>
        <v>Research/Nikki</v>
      </c>
      <c r="E444" t="str">
        <f>IFERROR(__xludf.DUMMYFUNCTION("""COMPUTED_VALUE"""),"Guana River")</f>
        <v>Guana River</v>
      </c>
      <c r="F444" s="13">
        <f>IFERROR(__xludf.DUMMYFUNCTION("""COMPUTED_VALUE"""),0.2916666666678793)</f>
        <v>0.2916666667</v>
      </c>
      <c r="G444" s="14">
        <f>IFERROR(__xludf.DUMMYFUNCTION("""COMPUTED_VALUE"""),43837.0)</f>
        <v>43837</v>
      </c>
      <c r="H444" t="str">
        <f>IFERROR(__xludf.DUMMYFUNCTION("""COMPUTED_VALUE"""),"Guana River")</f>
        <v>Guana River</v>
      </c>
      <c r="I444" s="15">
        <f>IFERROR(__xludf.DUMMYFUNCTION("""COMPUTED_VALUE"""),0.34375)</f>
        <v>0.34375</v>
      </c>
      <c r="J444" s="16">
        <f>IFERROR(__xludf.DUMMYFUNCTION("""COMPUTED_VALUE"""),43837.35416666667)</f>
        <v>43837.35417</v>
      </c>
      <c r="K444" t="str">
        <f>IFERROR(__xludf.DUMMYFUNCTION("""COMPUTED_VALUE"""),"Jon Boat FL0484NP DEP06819")</f>
        <v>Jon Boat FL0484NP DEP06819</v>
      </c>
      <c r="M444" t="str">
        <f>IFERROR(__xludf.DUMMYFUNCTION("""COMPUTED_VALUE"""),"Ford F150 2015 (White) - DEP21448")</f>
        <v>Ford F150 2015 (White) - DEP21448</v>
      </c>
      <c r="N444" t="str">
        <f>IFERROR(__xludf.DUMMYFUNCTION("""COMPUTED_VALUE"""),"Silas Tanner, (904) 483-8423")</f>
        <v>Silas Tanner, (904) 483-8423</v>
      </c>
      <c r="P444" t="str">
        <f>IFERROR(__xludf.DUMMYFUNCTION("""COMPUTED_VALUE"""),"Jessica Lee")</f>
        <v>Jessica Lee</v>
      </c>
      <c r="Q444" t="str">
        <f>IFERROR(__xludf.DUMMYFUNCTION("""COMPUTED_VALUE"""),"All items in working order")</f>
        <v>All items in working order</v>
      </c>
      <c r="AE444" s="11"/>
      <c r="AF444" t="s">
        <v>218</v>
      </c>
      <c r="AG444" s="17" t="s">
        <v>18</v>
      </c>
      <c r="AH444" s="12">
        <v>833.0</v>
      </c>
      <c r="AI444" s="12" t="s">
        <v>1286</v>
      </c>
      <c r="AJ444" s="19" t="s">
        <v>1287</v>
      </c>
      <c r="AK444" s="20" t="str">
        <f>HYPERLINK("https://docs.google.com/document/d/1NYiCZEIo7QdI_MM5AwnxQK2cMAuJkE80A2NIC2gwWG0/edit?usp=drivesdk","Jessica Lee - 1/7/2020 7:00 AM")</f>
        <v>Jessica Lee - 1/7/2020 7:00 AM</v>
      </c>
      <c r="AL444" s="12" t="s">
        <v>1288</v>
      </c>
    </row>
    <row r="445">
      <c r="A445" s="10">
        <f>IFERROR(__xludf.DUMMYFUNCTION("""COMPUTED_VALUE"""),43838.40704177083)</f>
        <v>43838.40704</v>
      </c>
      <c r="B445" s="11" t="str">
        <f>IFERROR(__xludf.DUMMYFUNCTION("""COMPUTED_VALUE"""),"Shannon Dunnigan")</f>
        <v>Shannon Dunnigan</v>
      </c>
      <c r="C445" t="str">
        <f>IFERROR(__xludf.DUMMYFUNCTION("""COMPUTED_VALUE"""),"shannon.dunnigan@dep.state.fl.us")</f>
        <v>shannon.dunnigan@dep.state.fl.us</v>
      </c>
      <c r="D445" t="str">
        <f>IFERROR(__xludf.DUMMYFUNCTION("""COMPUTED_VALUE"""),"Research/Nikki")</f>
        <v>Research/Nikki</v>
      </c>
      <c r="E445" t="str">
        <f>IFERROR(__xludf.DUMMYFUNCTION("""COMPUTED_VALUE"""),"Shore Drive")</f>
        <v>Shore Drive</v>
      </c>
      <c r="F445" s="13">
        <f>IFERROR(__xludf.DUMMYFUNCTION("""COMPUTED_VALUE"""),0.40625)</f>
        <v>0.40625</v>
      </c>
      <c r="G445" s="14">
        <f>IFERROR(__xludf.DUMMYFUNCTION("""COMPUTED_VALUE"""),43838.0)</f>
        <v>43838</v>
      </c>
      <c r="H445" t="str">
        <f>IFERROR(__xludf.DUMMYFUNCTION("""COMPUTED_VALUE"""),"Site 22")</f>
        <v>Site 22</v>
      </c>
      <c r="I445" s="15">
        <f>IFERROR(__xludf.DUMMYFUNCTION("""COMPUTED_VALUE"""),0.5416666666678793)</f>
        <v>0.5416666667</v>
      </c>
      <c r="J445" s="16">
        <f>IFERROR(__xludf.DUMMYFUNCTION("""COMPUTED_VALUE"""),43838.58333333333)</f>
        <v>43838.58333</v>
      </c>
      <c r="K445" t="str">
        <f>IFERROR(__xludf.DUMMYFUNCTION("""COMPUTED_VALUE"""),"20ft Sea Ark FL5351SJ UNF 2015")</f>
        <v>20ft Sea Ark FL5351SJ UNF 2015</v>
      </c>
      <c r="M445" t="str">
        <f>IFERROR(__xludf.DUMMYFUNCTION("""COMPUTED_VALUE"""),"Ford F250 2017 (Moby Dix) - DEP0021578")</f>
        <v>Ford F250 2017 (Moby Dix) - DEP0021578</v>
      </c>
      <c r="N445" t="str">
        <f>IFERROR(__xludf.DUMMYFUNCTION("""COMPUTED_VALUE"""),"Shannon Dunnigan, (803) 727-5734, Silas Tanner, (904) 483-8423")</f>
        <v>Shannon Dunnigan, (803) 727-5734, Silas Tanner, (904) 483-8423</v>
      </c>
      <c r="P445" t="str">
        <f>IFERROR(__xludf.DUMMYFUNCTION("""COMPUTED_VALUE"""),"Shannon")</f>
        <v>Shannon</v>
      </c>
      <c r="Q445" t="str">
        <f>IFERROR(__xludf.DUMMYFUNCTION("""COMPUTED_VALUE"""),"All items in working order")</f>
        <v>All items in working order</v>
      </c>
      <c r="AE445" s="11"/>
      <c r="AF445" t="s">
        <v>218</v>
      </c>
      <c r="AG445" s="17" t="s">
        <v>18</v>
      </c>
      <c r="AH445" s="12">
        <v>1230.0</v>
      </c>
      <c r="AI445" s="12" t="s">
        <v>1289</v>
      </c>
      <c r="AJ445" s="19" t="s">
        <v>1290</v>
      </c>
      <c r="AK445" s="20" t="str">
        <f>HYPERLINK("https://docs.google.com/document/d/1k0IdqPD1MwqAUXUbNoCmwSxEsgGIxR9bse9b6Hn5OQA/edit?usp=drivesdk","Shannon Dunnigan - 1/8/2020 9:45 AM")</f>
        <v>Shannon Dunnigan - 1/8/2020 9:45 AM</v>
      </c>
      <c r="AL445" s="12" t="s">
        <v>1291</v>
      </c>
    </row>
    <row r="446">
      <c r="A446" s="10">
        <f>IFERROR(__xludf.DUMMYFUNCTION("""COMPUTED_VALUE"""),43839.57638414352)</f>
        <v>43839.57638</v>
      </c>
      <c r="B446" s="11" t="str">
        <f>IFERROR(__xludf.DUMMYFUNCTION("""COMPUTED_VALUE"""),"Jessica Lee")</f>
        <v>Jessica Lee</v>
      </c>
      <c r="C446" t="str">
        <f>IFERROR(__xludf.DUMMYFUNCTION("""COMPUTED_VALUE"""),"jessica.lee@FloridaDEP.gov")</f>
        <v>jessica.lee@FloridaDEP.gov</v>
      </c>
      <c r="D446" t="str">
        <f>IFERROR(__xludf.DUMMYFUNCTION("""COMPUTED_VALUE"""),"Research/Nikki")</f>
        <v>Research/Nikki</v>
      </c>
      <c r="E446" t="str">
        <f>IFERROR(__xludf.DUMMYFUNCTION("""COMPUTED_VALUE"""),"Guana River")</f>
        <v>Guana River</v>
      </c>
      <c r="F446" s="13">
        <f>IFERROR(__xludf.DUMMYFUNCTION("""COMPUTED_VALUE"""),0.3958333333321207)</f>
        <v>0.3958333333</v>
      </c>
      <c r="G446" s="14">
        <f>IFERROR(__xludf.DUMMYFUNCTION("""COMPUTED_VALUE"""),43840.0)</f>
        <v>43840</v>
      </c>
      <c r="H446" t="str">
        <f>IFERROR(__xludf.DUMMYFUNCTION("""COMPUTED_VALUE"""),"Guana River")</f>
        <v>Guana River</v>
      </c>
      <c r="I446" s="15">
        <f>IFERROR(__xludf.DUMMYFUNCTION("""COMPUTED_VALUE"""),0.9479166666678793)</f>
        <v>0.9479166667</v>
      </c>
      <c r="J446" s="16">
        <f>IFERROR(__xludf.DUMMYFUNCTION("""COMPUTED_VALUE"""),43840.58333333333)</f>
        <v>43840.58333</v>
      </c>
      <c r="K446" t="str">
        <f>IFERROR(__xludf.DUMMYFUNCTION("""COMPUTED_VALUE"""),"Jon Boat FL0484NP DEP06819")</f>
        <v>Jon Boat FL0484NP DEP06819</v>
      </c>
      <c r="M446" t="str">
        <f>IFERROR(__xludf.DUMMYFUNCTION("""COMPUTED_VALUE"""),"Ford F150 2015 (White) - DEP21448")</f>
        <v>Ford F150 2015 (White) - DEP21448</v>
      </c>
      <c r="N446" t="str">
        <f>IFERROR(__xludf.DUMMYFUNCTION("""COMPUTED_VALUE"""),"Jimmy Tomazinis, (904) 547-0094")</f>
        <v>Jimmy Tomazinis, (904) 547-0094</v>
      </c>
      <c r="P446" t="str">
        <f>IFERROR(__xludf.DUMMYFUNCTION("""COMPUTED_VALUE"""),"Jessica Lee")</f>
        <v>Jessica Lee</v>
      </c>
      <c r="Q446" t="str">
        <f>IFERROR(__xludf.DUMMYFUNCTION("""COMPUTED_VALUE"""),"All items in working order")</f>
        <v>All items in working order</v>
      </c>
      <c r="AE446" s="11"/>
      <c r="AF446" t="s">
        <v>218</v>
      </c>
      <c r="AG446" s="18"/>
      <c r="AI446" s="12" t="s">
        <v>1292</v>
      </c>
      <c r="AJ446" s="19" t="s">
        <v>1293</v>
      </c>
      <c r="AK446" s="20" t="str">
        <f>HYPERLINK("https://docs.google.com/document/d/1SY1AFQABS1m_0urwA1wQqKcjqLgVxHFlzqV64VS0i00/edit?usp=drivesdk","Jessica Lee - 1/10/2020 9:30 AM")</f>
        <v>Jessica Lee - 1/10/2020 9:30 AM</v>
      </c>
      <c r="AL446" s="12" t="s">
        <v>1294</v>
      </c>
    </row>
    <row r="447">
      <c r="A447" s="10">
        <f>IFERROR(__xludf.DUMMYFUNCTION("""COMPUTED_VALUE"""),43842.90367070602)</f>
        <v>43842.90367</v>
      </c>
      <c r="B447" s="11" t="str">
        <f>IFERROR(__xludf.DUMMYFUNCTION("""COMPUTED_VALUE"""),"James Tomazinis")</f>
        <v>James Tomazinis</v>
      </c>
      <c r="C447" t="str">
        <f>IFERROR(__xludf.DUMMYFUNCTION("""COMPUTED_VALUE"""),"james.tomazinis@floridadep.gov")</f>
        <v>james.tomazinis@floridadep.gov</v>
      </c>
      <c r="D447" t="str">
        <f>IFERROR(__xludf.DUMMYFUNCTION("""COMPUTED_VALUE"""),"Stewardship (Aquatic)")</f>
        <v>Stewardship (Aquatic)</v>
      </c>
      <c r="E447" t="str">
        <f>IFERROR(__xludf.DUMMYFUNCTION("""COMPUTED_VALUE"""),"Dee Dee Bartels and Goffinsville Park")</f>
        <v>Dee Dee Bartels and Goffinsville Park</v>
      </c>
      <c r="F447" s="13">
        <f>IFERROR(__xludf.DUMMYFUNCTION("""COMPUTED_VALUE"""),0.4375)</f>
        <v>0.4375</v>
      </c>
      <c r="G447" s="14">
        <f>IFERROR(__xludf.DUMMYFUNCTION("""COMPUTED_VALUE"""),43843.0)</f>
        <v>43843</v>
      </c>
      <c r="H447" t="str">
        <f>IFERROR(__xludf.DUMMYFUNCTION("""COMPUTED_VALUE"""),"NEAP WQ sites")</f>
        <v>NEAP WQ sites</v>
      </c>
      <c r="I447" s="15">
        <f>IFERROR(__xludf.DUMMYFUNCTION("""COMPUTED_VALUE"""),0.625)</f>
        <v>0.625</v>
      </c>
      <c r="J447" s="16"/>
      <c r="K447" t="str">
        <f>IFERROR(__xludf.DUMMYFUNCTION("""COMPUTED_VALUE"""),"17ft Skiff (Marsha) FL0642GW DEP07239")</f>
        <v>17ft Skiff (Marsha) FL0642GW DEP07239</v>
      </c>
      <c r="M447" t="str">
        <f>IFERROR(__xludf.DUMMYFUNCTION("""COMPUTED_VALUE"""),"Ford F150 2018 (AP) - DEP21637")</f>
        <v>Ford F150 2018 (AP) - DEP21637</v>
      </c>
      <c r="N447" t="str">
        <f>IFERROR(__xludf.DUMMYFUNCTION("""COMPUTED_VALUE"""),"Scott Eastman, (904) 501-9267, Jimmy Tomazinis, (904) 547-0094")</f>
        <v>Scott Eastman, (904) 501-9267, Jimmy Tomazinis, (904) 547-0094</v>
      </c>
      <c r="O447" t="str">
        <f>IFERROR(__xludf.DUMMYFUNCTION("""COMPUTED_VALUE"""),"Suzi")</f>
        <v>Suzi</v>
      </c>
      <c r="P447" t="str">
        <f>IFERROR(__xludf.DUMMYFUNCTION("""COMPUTED_VALUE"""),"Jimmy")</f>
        <v>Jimmy</v>
      </c>
      <c r="Q447" t="str">
        <f>IFERROR(__xludf.DUMMYFUNCTION("""COMPUTED_VALUE"""),"All items in working order")</f>
        <v>All items in working order</v>
      </c>
      <c r="AE447" s="11"/>
      <c r="AF447" t="s">
        <v>32</v>
      </c>
      <c r="AG447" s="17" t="s">
        <v>18</v>
      </c>
      <c r="AH447" s="12">
        <v>1440.0</v>
      </c>
      <c r="AI447" s="12" t="s">
        <v>1295</v>
      </c>
      <c r="AJ447" s="19" t="s">
        <v>1296</v>
      </c>
      <c r="AK447" s="20" t="str">
        <f>HYPERLINK("https://docs.google.com/document/d/1uIaj-Gpp7jUBol4xzTQxvQ0pO5aT50zo_NhfC8bR37g/edit?usp=drivesdk","James Tomazinis - 1/13/2020 10:30 AM")</f>
        <v>James Tomazinis - 1/13/2020 10:30 AM</v>
      </c>
      <c r="AL447" s="12" t="s">
        <v>1297</v>
      </c>
    </row>
    <row r="448">
      <c r="A448" s="10">
        <f>IFERROR(__xludf.DUMMYFUNCTION("""COMPUTED_VALUE"""),43843.394855000006)</f>
        <v>43843.39486</v>
      </c>
      <c r="B448" s="11" t="str">
        <f>IFERROR(__xludf.DUMMYFUNCTION("""COMPUTED_VALUE"""),"Silas Tanner")</f>
        <v>Silas Tanner</v>
      </c>
      <c r="C448" t="str">
        <f>IFERROR(__xludf.DUMMYFUNCTION("""COMPUTED_VALUE"""),"silas.tanner@floridadep.gov")</f>
        <v>silas.tanner@floridadep.gov</v>
      </c>
      <c r="D448" t="str">
        <f>IFERROR(__xludf.DUMMYFUNCTION("""COMPUTED_VALUE"""),"Research/Nikki")</f>
        <v>Research/Nikki</v>
      </c>
      <c r="E448" t="str">
        <f>IFERROR(__xludf.DUMMYFUNCTION("""COMPUTED_VALUE"""),"Vilano Landing")</f>
        <v>Vilano Landing</v>
      </c>
      <c r="F448" s="13">
        <f>IFERROR(__xludf.DUMMYFUNCTION("""COMPUTED_VALUE"""),0.3993055555547471)</f>
        <v>0.3993055556</v>
      </c>
      <c r="G448" s="14">
        <f>IFERROR(__xludf.DUMMYFUNCTION("""COMPUTED_VALUE"""),43843.0)</f>
        <v>43843</v>
      </c>
      <c r="H448" t="str">
        <f>IFERROR(__xludf.DUMMYFUNCTION("""COMPUTED_VALUE"""),"ICW SWMP sites")</f>
        <v>ICW SWMP sites</v>
      </c>
      <c r="I448" s="15">
        <f>IFERROR(__xludf.DUMMYFUNCTION("""COMPUTED_VALUE"""),0.6145833333321207)</f>
        <v>0.6145833333</v>
      </c>
      <c r="J448" s="16">
        <f>IFERROR(__xludf.DUMMYFUNCTION("""COMPUTED_VALUE"""),43843.63541666667)</f>
        <v>43843.63542</v>
      </c>
      <c r="K448" t="str">
        <f>IFERROR(__xludf.DUMMYFUNCTION("""COMPUTED_VALUE"""),"23ft Skiff (Bertha) FL7972LJ DEP07613")</f>
        <v>23ft Skiff (Bertha) FL7972LJ DEP07613</v>
      </c>
      <c r="M448" t="str">
        <f>IFERROR(__xludf.DUMMYFUNCTION("""COMPUTED_VALUE"""),"Ford F150 2015 (White) - DEP21448")</f>
        <v>Ford F150 2015 (White) - DEP21448</v>
      </c>
      <c r="N448" t="str">
        <f>IFERROR(__xludf.DUMMYFUNCTION("""COMPUTED_VALUE"""),"Silas Tanner, (904) 483-8423")</f>
        <v>Silas Tanner, (904) 483-8423</v>
      </c>
      <c r="O448" t="str">
        <f>IFERROR(__xludf.DUMMYFUNCTION("""COMPUTED_VALUE"""),"Alee Knoell, (619) 750-4833, Ellen Leroy Reed")</f>
        <v>Alee Knoell, (619) 750-4833, Ellen Leroy Reed</v>
      </c>
      <c r="P448" t="str">
        <f>IFERROR(__xludf.DUMMYFUNCTION("""COMPUTED_VALUE"""),"Tanner")</f>
        <v>Tanner</v>
      </c>
      <c r="Q448" t="str">
        <f>IFERROR(__xludf.DUMMYFUNCTION("""COMPUTED_VALUE"""),"All items in working order")</f>
        <v>All items in working order</v>
      </c>
      <c r="AE448" s="11"/>
      <c r="AF448" t="s">
        <v>218</v>
      </c>
      <c r="AG448" s="17" t="s">
        <v>18</v>
      </c>
      <c r="AH448" s="12">
        <v>1415.0</v>
      </c>
      <c r="AI448" s="12" t="s">
        <v>1298</v>
      </c>
      <c r="AJ448" s="19" t="s">
        <v>1299</v>
      </c>
      <c r="AK448" s="20" t="str">
        <f>HYPERLINK("https://docs.google.com/document/d/1YcHhKdoml0dFm_B8BUS-a7DkgHQdzwhNiPXIvKAZZZQ/edit?usp=drivesdk","Silas Tanner - 1/13/2020 9:35 AM")</f>
        <v>Silas Tanner - 1/13/2020 9:35 AM</v>
      </c>
      <c r="AL448" s="12" t="s">
        <v>1300</v>
      </c>
    </row>
    <row r="449">
      <c r="A449" s="10">
        <f>IFERROR(__xludf.DUMMYFUNCTION("""COMPUTED_VALUE"""),43843.41539240741)</f>
        <v>43843.41539</v>
      </c>
      <c r="B449" s="11" t="str">
        <f>IFERROR(__xludf.DUMMYFUNCTION("""COMPUTED_VALUE"""),"Gabriela Canas")</f>
        <v>Gabriela Canas</v>
      </c>
      <c r="C449" t="str">
        <f>IFERROR(__xludf.DUMMYFUNCTION("""COMPUTED_VALUE"""),"n00836133@unf.edu")</f>
        <v>n00836133@unf.edu</v>
      </c>
      <c r="D449" t="str">
        <f>IFERROR(__xludf.DUMMYFUNCTION("""COMPUTED_VALUE"""),"Research/Nikki")</f>
        <v>Research/Nikki</v>
      </c>
      <c r="E449" t="str">
        <f>IFERROR(__xludf.DUMMYFUNCTION("""COMPUTED_VALUE"""),"Douglas crane")</f>
        <v>Douglas crane</v>
      </c>
      <c r="F449" s="13">
        <f>IFERROR(__xludf.DUMMYFUNCTION("""COMPUTED_VALUE"""),0.3125)</f>
        <v>0.3125</v>
      </c>
      <c r="G449" s="14">
        <f>IFERROR(__xludf.DUMMYFUNCTION("""COMPUTED_VALUE"""),43843.0)</f>
        <v>43843</v>
      </c>
      <c r="H449" t="str">
        <f>IFERROR(__xludf.DUMMYFUNCTION("""COMPUTED_VALUE"""),"WETFEET. Middle site ")</f>
        <v>WETFEET. Middle site </v>
      </c>
      <c r="I449" s="15">
        <f>IFERROR(__xludf.DUMMYFUNCTION("""COMPUTED_VALUE"""),0.041666666667879326)</f>
        <v>0.04166666667</v>
      </c>
      <c r="J449" s="16">
        <f>IFERROR(__xludf.DUMMYFUNCTION("""COMPUTED_VALUE"""),43843.25)</f>
        <v>43843.25</v>
      </c>
      <c r="K449" t="str">
        <f>IFERROR(__xludf.DUMMYFUNCTION("""COMPUTED_VALUE"""),"20ft Sea Ark FL5351SJ UNF 2015")</f>
        <v>20ft Sea Ark FL5351SJ UNF 2015</v>
      </c>
      <c r="M449" t="str">
        <f>IFERROR(__xludf.DUMMYFUNCTION("""COMPUTED_VALUE"""),"Ford F150 2010 (4 Door) - DEP07668")</f>
        <v>Ford F150 2010 (4 Door) - DEP07668</v>
      </c>
      <c r="N449" t="str">
        <f>IFERROR(__xludf.DUMMYFUNCTION("""COMPUTED_VALUE"""),"Pam Marcum, (480) 332-5414")</f>
        <v>Pam Marcum, (480) 332-5414</v>
      </c>
      <c r="O449" t="str">
        <f>IFERROR(__xludf.DUMMYFUNCTION("""COMPUTED_VALUE"""),"Gabriela Canas, (904) 891-9743, Ches verveak, Harris stevens")</f>
        <v>Gabriela Canas, (904) 891-9743, Ches verveak, Harris stevens</v>
      </c>
      <c r="P449" t="str">
        <f>IFERROR(__xludf.DUMMYFUNCTION("""COMPUTED_VALUE"""),"Pam marcum")</f>
        <v>Pam marcum</v>
      </c>
      <c r="Q449" t="str">
        <f>IFERROR(__xludf.DUMMYFUNCTION("""COMPUTED_VALUE"""),"All items in working order")</f>
        <v>All items in working order</v>
      </c>
      <c r="AE449" s="11"/>
      <c r="AF449" t="s">
        <v>218</v>
      </c>
      <c r="AG449" s="17" t="s">
        <v>18</v>
      </c>
      <c r="AH449" s="12">
        <v>1350.0</v>
      </c>
      <c r="AI449" s="12" t="s">
        <v>1301</v>
      </c>
      <c r="AJ449" s="19" t="s">
        <v>1302</v>
      </c>
      <c r="AK449" s="20" t="str">
        <f>HYPERLINK("https://docs.google.com/document/d/1vxcCLU2G787dd9A-0n4xk2kuYKjTA12u0o60lx1iN80/edit?usp=drivesdk","Gabriela Canas - 1/13/2020 7:30 AM")</f>
        <v>Gabriela Canas - 1/13/2020 7:30 AM</v>
      </c>
      <c r="AL449" s="12" t="s">
        <v>1303</v>
      </c>
    </row>
    <row r="450">
      <c r="A450" s="10">
        <f>IFERROR(__xludf.DUMMYFUNCTION("""COMPUTED_VALUE"""),43844.30260429398)</f>
        <v>43844.3026</v>
      </c>
      <c r="B450" s="11" t="str">
        <f>IFERROR(__xludf.DUMMYFUNCTION("""COMPUTED_VALUE"""),"Pam Marcum")</f>
        <v>Pam Marcum</v>
      </c>
      <c r="C450" t="str">
        <f>IFERROR(__xludf.DUMMYFUNCTION("""COMPUTED_VALUE"""),"pamela.marcum@dep.state.fl.us")</f>
        <v>pamela.marcum@dep.state.fl.us</v>
      </c>
      <c r="D450" t="str">
        <f>IFERROR(__xludf.DUMMYFUNCTION("""COMPUTED_VALUE"""),"Research/Nikki")</f>
        <v>Research/Nikki</v>
      </c>
      <c r="E450" t="str">
        <f>IFERROR(__xludf.DUMMYFUNCTION("""COMPUTED_VALUE"""),"Shore Dr - Crane Park")</f>
        <v>Shore Dr - Crane Park</v>
      </c>
      <c r="F450" s="13">
        <f>IFERROR(__xludf.DUMMYFUNCTION("""COMPUTED_VALUE"""),0.2916666666678793)</f>
        <v>0.2916666667</v>
      </c>
      <c r="G450" s="14">
        <f>IFERROR(__xludf.DUMMYFUNCTION("""COMPUTED_VALUE"""),43844.0)</f>
        <v>43844</v>
      </c>
      <c r="H450" t="str">
        <f>IFERROR(__xludf.DUMMYFUNCTION("""COMPUTED_VALUE"""),"Gabby Creek")</f>
        <v>Gabby Creek</v>
      </c>
      <c r="I450" s="15">
        <f>IFERROR(__xludf.DUMMYFUNCTION("""COMPUTED_VALUE"""),0.625)</f>
        <v>0.625</v>
      </c>
      <c r="J450" s="16">
        <f>IFERROR(__xludf.DUMMYFUNCTION("""COMPUTED_VALUE"""),43844.66666666667)</f>
        <v>43844.66667</v>
      </c>
      <c r="K450" t="str">
        <f>IFERROR(__xludf.DUMMYFUNCTION("""COMPUTED_VALUE"""),"20ft Sea Ark FL5351SJ UNF 2015")</f>
        <v>20ft Sea Ark FL5351SJ UNF 2015</v>
      </c>
      <c r="M450" t="str">
        <f>IFERROR(__xludf.DUMMYFUNCTION("""COMPUTED_VALUE"""),"Ford F150 2010 (4 Door) - DEP07668")</f>
        <v>Ford F150 2010 (4 Door) - DEP07668</v>
      </c>
      <c r="N450" t="str">
        <f>IFERROR(__xludf.DUMMYFUNCTION("""COMPUTED_VALUE"""),"Pam Marcum, (480) 332-5414")</f>
        <v>Pam Marcum, (480) 332-5414</v>
      </c>
      <c r="O450" t="str">
        <f>IFERROR(__xludf.DUMMYFUNCTION("""COMPUTED_VALUE"""),"Ches Veevaeke, Harris Stevens")</f>
        <v>Ches Veevaeke, Harris Stevens</v>
      </c>
      <c r="P450" t="str">
        <f>IFERROR(__xludf.DUMMYFUNCTION("""COMPUTED_VALUE"""),"Pam")</f>
        <v>Pam</v>
      </c>
      <c r="Q450" t="str">
        <f>IFERROR(__xludf.DUMMYFUNCTION("""COMPUTED_VALUE"""),"All items in working order")</f>
        <v>All items in working order</v>
      </c>
      <c r="AE450" s="11"/>
      <c r="AF450" t="s">
        <v>218</v>
      </c>
      <c r="AG450" s="17" t="s">
        <v>60</v>
      </c>
      <c r="AH450" s="12">
        <v>1455.0</v>
      </c>
      <c r="AI450" s="12" t="s">
        <v>1304</v>
      </c>
      <c r="AJ450" s="19" t="s">
        <v>1305</v>
      </c>
      <c r="AK450" s="20" t="str">
        <f>HYPERLINK("https://docs.google.com/document/d/1P-w6hP0JJ9aHdnVtE_cy6KvZFgiNy7248mQ9lxxED0E/edit?usp=drivesdk","Pam Marcum - 1/14/2020 7:00 AM")</f>
        <v>Pam Marcum - 1/14/2020 7:00 AM</v>
      </c>
      <c r="AL450" s="12" t="s">
        <v>1306</v>
      </c>
    </row>
    <row r="451">
      <c r="A451" s="10">
        <f>IFERROR(__xludf.DUMMYFUNCTION("""COMPUTED_VALUE"""),43845.42157708333)</f>
        <v>43845.42158</v>
      </c>
      <c r="B451" s="11" t="str">
        <f>IFERROR(__xludf.DUMMYFUNCTION("""COMPUTED_VALUE"""),"Alexandria Knoell")</f>
        <v>Alexandria Knoell</v>
      </c>
      <c r="C451" t="str">
        <f>IFERROR(__xludf.DUMMYFUNCTION("""COMPUTED_VALUE"""),"alee.knoell@floridadep.gov")</f>
        <v>alee.knoell@floridadep.gov</v>
      </c>
      <c r="D451" t="str">
        <f>IFERROR(__xludf.DUMMYFUNCTION("""COMPUTED_VALUE"""),"Research/Nikki")</f>
        <v>Research/Nikki</v>
      </c>
      <c r="E451" t="str">
        <f>IFERROR(__xludf.DUMMYFUNCTION("""COMPUTED_VALUE"""),"Faver dykes")</f>
        <v>Faver dykes</v>
      </c>
      <c r="F451" s="13">
        <f>IFERROR(__xludf.DUMMYFUNCTION("""COMPUTED_VALUE"""),0.4166666666678793)</f>
        <v>0.4166666667</v>
      </c>
      <c r="G451" s="14">
        <f>IFERROR(__xludf.DUMMYFUNCTION("""COMPUTED_VALUE"""),43845.0)</f>
        <v>43845</v>
      </c>
      <c r="H451" t="str">
        <f>IFERROR(__xludf.DUMMYFUNCTION("""COMPUTED_VALUE"""),"SSAM platforms")</f>
        <v>SSAM platforms</v>
      </c>
      <c r="I451" s="15">
        <f>IFERROR(__xludf.DUMMYFUNCTION("""COMPUTED_VALUE"""),0.5)</f>
        <v>0.5</v>
      </c>
      <c r="J451" s="16">
        <f>IFERROR(__xludf.DUMMYFUNCTION("""COMPUTED_VALUE"""),43845.58333333333)</f>
        <v>43845.58333</v>
      </c>
      <c r="K451" t="str">
        <f>IFERROR(__xludf.DUMMYFUNCTION("""COMPUTED_VALUE"""),"23ft Skiff (Bertha) FL7972LJ DEP07613")</f>
        <v>23ft Skiff (Bertha) FL7972LJ DEP07613</v>
      </c>
      <c r="M451" t="str">
        <f>IFERROR(__xludf.DUMMYFUNCTION("""COMPUTED_VALUE"""),"Ford F150 2015 (White) - DEP21448")</f>
        <v>Ford F150 2015 (White) - DEP21448</v>
      </c>
      <c r="N451" t="str">
        <f>IFERROR(__xludf.DUMMYFUNCTION("""COMPUTED_VALUE"""),"Pam Marcum, (480) 332-5414")</f>
        <v>Pam Marcum, (480) 332-5414</v>
      </c>
      <c r="O451" t="str">
        <f>IFERROR(__xludf.DUMMYFUNCTION("""COMPUTED_VALUE"""),"Alee Knoell, (619) 750-4833, Josie, Candace, Eric, Andrew")</f>
        <v>Alee Knoell, (619) 750-4833, Josie, Candace, Eric, Andrew</v>
      </c>
      <c r="P451" t="str">
        <f>IFERROR(__xludf.DUMMYFUNCTION("""COMPUTED_VALUE"""),"Pam marcum")</f>
        <v>Pam marcum</v>
      </c>
      <c r="Q451" t="str">
        <f>IFERROR(__xludf.DUMMYFUNCTION("""COMPUTED_VALUE"""),"All items in working order")</f>
        <v>All items in working order</v>
      </c>
      <c r="AE451" s="11"/>
      <c r="AF451" t="s">
        <v>218</v>
      </c>
      <c r="AG451" s="17" t="s">
        <v>18</v>
      </c>
      <c r="AH451" s="12">
        <v>1230.0</v>
      </c>
      <c r="AI451" s="12" t="s">
        <v>1307</v>
      </c>
      <c r="AJ451" s="19" t="s">
        <v>1308</v>
      </c>
      <c r="AK451" s="20" t="str">
        <f>HYPERLINK("https://docs.google.com/document/d/1NYFBa2d_xJ4JGqNufDWqoEfYErT_YP-ItFLdDxsGPoY/edit?usp=drivesdk","Alexandria Knoell - 1/15/2020 10:00 AM")</f>
        <v>Alexandria Knoell - 1/15/2020 10:00 AM</v>
      </c>
      <c r="AL451" s="12" t="s">
        <v>1309</v>
      </c>
    </row>
    <row r="452">
      <c r="A452" s="10">
        <f>IFERROR(__xludf.DUMMYFUNCTION("""COMPUTED_VALUE"""),43846.399611701396)</f>
        <v>43846.39961</v>
      </c>
      <c r="B452" s="11" t="str">
        <f>IFERROR(__xludf.DUMMYFUNCTION("""COMPUTED_VALUE"""),"J Silas Tanner")</f>
        <v>J Silas Tanner</v>
      </c>
      <c r="C452" t="str">
        <f>IFERROR(__xludf.DUMMYFUNCTION("""COMPUTED_VALUE"""),"silas.tanner@floridadep.gov")</f>
        <v>silas.tanner@floridadep.gov</v>
      </c>
      <c r="D452" t="str">
        <f>IFERROR(__xludf.DUMMYFUNCTION("""COMPUTED_VALUE"""),"Research/Nikki")</f>
        <v>Research/Nikki</v>
      </c>
      <c r="E452" t="str">
        <f>IFERROR(__xludf.DUMMYFUNCTION("""COMPUTED_VALUE"""),"Crane")</f>
        <v>Crane</v>
      </c>
      <c r="F452" s="13">
        <f>IFERROR(__xludf.DUMMYFUNCTION("""COMPUTED_VALUE"""),0.4583333333321207)</f>
        <v>0.4583333333</v>
      </c>
      <c r="G452" s="14">
        <f>IFERROR(__xludf.DUMMYFUNCTION("""COMPUTED_VALUE"""),43846.0)</f>
        <v>43846</v>
      </c>
      <c r="H452" t="str">
        <f>IFERROR(__xludf.DUMMYFUNCTION("""COMPUTED_VALUE"""),"SWMP Site 22 platforms")</f>
        <v>SWMP Site 22 platforms</v>
      </c>
      <c r="I452" s="15">
        <f>IFERROR(__xludf.DUMMYFUNCTION("""COMPUTED_VALUE"""),0.6666666666678793)</f>
        <v>0.6666666667</v>
      </c>
      <c r="J452" s="16">
        <f>IFERROR(__xludf.DUMMYFUNCTION("""COMPUTED_VALUE"""),43846.6875)</f>
        <v>43846.6875</v>
      </c>
      <c r="K452" t="str">
        <f>IFERROR(__xludf.DUMMYFUNCTION("""COMPUTED_VALUE"""),"20ft Sea Ark FL5351SJ UNF 2015")</f>
        <v>20ft Sea Ark FL5351SJ UNF 2015</v>
      </c>
      <c r="M452" t="str">
        <f>IFERROR(__xludf.DUMMYFUNCTION("""COMPUTED_VALUE"""),"Ford F250 2017 (Moby Dix) - DEP0021578")</f>
        <v>Ford F250 2017 (Moby Dix) - DEP0021578</v>
      </c>
      <c r="N452" t="str">
        <f>IFERROR(__xludf.DUMMYFUNCTION("""COMPUTED_VALUE"""),"Silas Tanner, (904) 483-8423")</f>
        <v>Silas Tanner, (904) 483-8423</v>
      </c>
      <c r="O452" t="str">
        <f>IFERROR(__xludf.DUMMYFUNCTION("""COMPUTED_VALUE"""),"Jessica Lee, Chris Blanco")</f>
        <v>Jessica Lee, Chris Blanco</v>
      </c>
      <c r="P452" t="str">
        <f>IFERROR(__xludf.DUMMYFUNCTION("""COMPUTED_VALUE"""),"Tanner")</f>
        <v>Tanner</v>
      </c>
      <c r="Q452" t="str">
        <f>IFERROR(__xludf.DUMMYFUNCTION("""COMPUTED_VALUE"""),"All items in working order")</f>
        <v>All items in working order</v>
      </c>
      <c r="AE452" s="11"/>
      <c r="AF452" t="s">
        <v>218</v>
      </c>
      <c r="AG452" s="17" t="s">
        <v>18</v>
      </c>
      <c r="AH452" s="12">
        <v>1425.0</v>
      </c>
      <c r="AI452" s="12" t="s">
        <v>1310</v>
      </c>
      <c r="AJ452" s="19" t="s">
        <v>1311</v>
      </c>
      <c r="AK452" s="20" t="str">
        <f>HYPERLINK("https://docs.google.com/document/d/1pWK2QB9i5Z5g8copLcUu0qRLufMVCIWz1GjpKGk2rrc/edit?usp=drivesdk","J Silas Tanner - 1/16/2020 11:00 AM")</f>
        <v>J Silas Tanner - 1/16/2020 11:00 AM</v>
      </c>
      <c r="AL452" s="12" t="s">
        <v>1312</v>
      </c>
    </row>
    <row r="453">
      <c r="A453" s="10">
        <f>IFERROR(__xludf.DUMMYFUNCTION("""COMPUTED_VALUE"""),43847.289271388894)</f>
        <v>43847.28927</v>
      </c>
      <c r="B453" s="11" t="str">
        <f>IFERROR(__xludf.DUMMYFUNCTION("""COMPUTED_VALUE"""),"Jimmy Tomazinis")</f>
        <v>Jimmy Tomazinis</v>
      </c>
      <c r="C453" t="str">
        <f>IFERROR(__xludf.DUMMYFUNCTION("""COMPUTED_VALUE"""),"james.tomazinis@floridadep.gov")</f>
        <v>james.tomazinis@floridadep.gov</v>
      </c>
      <c r="D453" t="str">
        <f>IFERROR(__xludf.DUMMYFUNCTION("""COMPUTED_VALUE"""),"Stewardship (Aquatic)")</f>
        <v>Stewardship (Aquatic)</v>
      </c>
      <c r="E453" t="str">
        <f>IFERROR(__xludf.DUMMYFUNCTION("""COMPUTED_VALUE"""),"Beach Blvd")</f>
        <v>Beach Blvd</v>
      </c>
      <c r="F453" s="13">
        <f>IFERROR(__xludf.DUMMYFUNCTION("""COMPUTED_VALUE"""),0.375)</f>
        <v>0.375</v>
      </c>
      <c r="G453" s="14">
        <f>IFERROR(__xludf.DUMMYFUNCTION("""COMPUTED_VALUE"""),43847.0)</f>
        <v>43847</v>
      </c>
      <c r="H453" t="str">
        <f>IFERROR(__xludf.DUMMYFUNCTION("""COMPUTED_VALUE"""),"Webb Property")</f>
        <v>Webb Property</v>
      </c>
      <c r="I453" s="15">
        <f>IFERROR(__xludf.DUMMYFUNCTION("""COMPUTED_VALUE"""),0.5833333333321207)</f>
        <v>0.5833333333</v>
      </c>
      <c r="J453" s="16"/>
      <c r="K453" t="str">
        <f>IFERROR(__xludf.DUMMYFUNCTION("""COMPUTED_VALUE"""),"23ft Skiff (Bertha) FL7972LJ DEP07613")</f>
        <v>23ft Skiff (Bertha) FL7972LJ DEP07613</v>
      </c>
      <c r="M453" t="str">
        <f>IFERROR(__xludf.DUMMYFUNCTION("""COMPUTED_VALUE"""),"Ford F150 2018 (AP) - DEP21637")</f>
        <v>Ford F150 2018 (AP) - DEP21637</v>
      </c>
      <c r="N453" t="str">
        <f>IFERROR(__xludf.DUMMYFUNCTION("""COMPUTED_VALUE"""),"Scott Eastman, (904) 501-9267, Jimmy Tomazinis, (904) 547-0094")</f>
        <v>Scott Eastman, (904) 501-9267, Jimmy Tomazinis, (904) 547-0094</v>
      </c>
      <c r="O453" t="str">
        <f>IFERROR(__xludf.DUMMYFUNCTION("""COMPUTED_VALUE"""),"Kelly Smith, Hunter Mathews, Craig Hargis")</f>
        <v>Kelly Smith, Hunter Mathews, Craig Hargis</v>
      </c>
      <c r="P453" t="str">
        <f>IFERROR(__xludf.DUMMYFUNCTION("""COMPUTED_VALUE"""),"Jimmy")</f>
        <v>Jimmy</v>
      </c>
      <c r="Q453" t="str">
        <f>IFERROR(__xludf.DUMMYFUNCTION("""COMPUTED_VALUE"""),"All items in working order")</f>
        <v>All items in working order</v>
      </c>
      <c r="AE453" s="11"/>
      <c r="AF453" t="s">
        <v>32</v>
      </c>
      <c r="AG453" s="17" t="s">
        <v>115</v>
      </c>
      <c r="AH453" s="12">
        <v>1100.0</v>
      </c>
      <c r="AI453" s="12" t="s">
        <v>1313</v>
      </c>
      <c r="AJ453" s="19" t="s">
        <v>1314</v>
      </c>
      <c r="AK453" s="20" t="str">
        <f>HYPERLINK("https://docs.google.com/document/d/1nm0g3cHNcN8q6vpEqBQxuQ23aekuvwwuSIK_-z3m66M/edit?usp=drivesdk","Jimmy Tomazinis - 1/17/2020 9:00 AM")</f>
        <v>Jimmy Tomazinis - 1/17/2020 9:00 AM</v>
      </c>
      <c r="AL453" s="12" t="s">
        <v>1315</v>
      </c>
    </row>
    <row r="454">
      <c r="A454" s="10">
        <f>IFERROR(__xludf.DUMMYFUNCTION("""COMPUTED_VALUE"""),43853.487166585655)</f>
        <v>43853.48717</v>
      </c>
      <c r="B454" s="11" t="str">
        <f>IFERROR(__xludf.DUMMYFUNCTION("""COMPUTED_VALUE"""),"Pam Marcum")</f>
        <v>Pam Marcum</v>
      </c>
      <c r="C454" t="str">
        <f>IFERROR(__xludf.DUMMYFUNCTION("""COMPUTED_VALUE"""),"Pamela.Marcum@FloridaDEP.gov")</f>
        <v>Pamela.Marcum@FloridaDEP.gov</v>
      </c>
      <c r="D454" t="str">
        <f>IFERROR(__xludf.DUMMYFUNCTION("""COMPUTED_VALUE"""),"Research/Nikki")</f>
        <v>Research/Nikki</v>
      </c>
      <c r="E454" t="str">
        <f>IFERROR(__xludf.DUMMYFUNCTION("""COMPUTED_VALUE"""),"Green Rd")</f>
        <v>Green Rd</v>
      </c>
      <c r="F454" s="13">
        <f>IFERROR(__xludf.DUMMYFUNCTION("""COMPUTED_VALUE"""),0.5416666666678793)</f>
        <v>0.5416666667</v>
      </c>
      <c r="G454" s="14">
        <f>IFERROR(__xludf.DUMMYFUNCTION("""COMPUTED_VALUE"""),43853.0)</f>
        <v>43853</v>
      </c>
      <c r="H454" t="str">
        <f>IFERROR(__xludf.DUMMYFUNCTION("""COMPUTED_VALUE"""),"Moses flats")</f>
        <v>Moses flats</v>
      </c>
      <c r="I454" s="15">
        <f>IFERROR(__xludf.DUMMYFUNCTION("""COMPUTED_VALUE"""),0.6875)</f>
        <v>0.6875</v>
      </c>
      <c r="J454" s="16">
        <f>IFERROR(__xludf.DUMMYFUNCTION("""COMPUTED_VALUE"""),43853.72916666667)</f>
        <v>43853.72917</v>
      </c>
      <c r="K454" t="str">
        <f>IFERROR(__xludf.DUMMYFUNCTION("""COMPUTED_VALUE"""),"20ft Sea Ark FL5351SJ UNF 2015")</f>
        <v>20ft Sea Ark FL5351SJ UNF 2015</v>
      </c>
      <c r="M454" t="str">
        <f>IFERROR(__xludf.DUMMYFUNCTION("""COMPUTED_VALUE"""),"Ford F250 2017 (Moby Dix) - DEP0021578")</f>
        <v>Ford F250 2017 (Moby Dix) - DEP0021578</v>
      </c>
      <c r="N454" t="str">
        <f>IFERROR(__xludf.DUMMYFUNCTION("""COMPUTED_VALUE"""),"Pam Marcum, (480) 332-5414")</f>
        <v>Pam Marcum, (480) 332-5414</v>
      </c>
      <c r="O454" t="str">
        <f>IFERROR(__xludf.DUMMYFUNCTION("""COMPUTED_VALUE"""),"Alee Knoell, (619) 750-4833, Steve Brown, Chris Blanco, Adrienne Breef-Pilz")</f>
        <v>Alee Knoell, (619) 750-4833, Steve Brown, Chris Blanco, Adrienne Breef-Pilz</v>
      </c>
      <c r="P454" t="str">
        <f>IFERROR(__xludf.DUMMYFUNCTION("""COMPUTED_VALUE"""),"Pam")</f>
        <v>Pam</v>
      </c>
      <c r="Q454" t="str">
        <f>IFERROR(__xludf.DUMMYFUNCTION("""COMPUTED_VALUE"""),"All items in working order")</f>
        <v>All items in working order</v>
      </c>
      <c r="AE454" s="11"/>
      <c r="AF454" t="s">
        <v>218</v>
      </c>
      <c r="AG454" s="17" t="s">
        <v>115</v>
      </c>
      <c r="AH454" s="12">
        <v>1630.0</v>
      </c>
      <c r="AI454" s="12" t="s">
        <v>1316</v>
      </c>
      <c r="AJ454" s="19" t="s">
        <v>1317</v>
      </c>
      <c r="AK454" s="20" t="str">
        <f>HYPERLINK("https://docs.google.com/document/d/1vr68pb_4DSQ2K_rUzUyFGyXqreH2BWPTyvGlQ3QgH5g/edit?usp=drivesdk","Pam Marcum - 1/23/2020 1:00 PM")</f>
        <v>Pam Marcum - 1/23/2020 1:00 PM</v>
      </c>
      <c r="AL454" s="12" t="s">
        <v>1318</v>
      </c>
    </row>
    <row r="455">
      <c r="A455" s="10">
        <f>IFERROR(__xludf.DUMMYFUNCTION("""COMPUTED_VALUE"""),43854.464147673614)</f>
        <v>43854.46415</v>
      </c>
      <c r="B455" s="11" t="str">
        <f>IFERROR(__xludf.DUMMYFUNCTION("""COMPUTED_VALUE"""),"Pam Marcum")</f>
        <v>Pam Marcum</v>
      </c>
      <c r="C455" t="str">
        <f>IFERROR(__xludf.DUMMYFUNCTION("""COMPUTED_VALUE"""),"Pamela.Marcum@FloridaDEP.gov")</f>
        <v>Pamela.Marcum@FloridaDEP.gov</v>
      </c>
      <c r="D455" t="str">
        <f>IFERROR(__xludf.DUMMYFUNCTION("""COMPUTED_VALUE"""),"Research/Nikki")</f>
        <v>Research/Nikki</v>
      </c>
      <c r="E455" t="str">
        <f>IFERROR(__xludf.DUMMYFUNCTION("""COMPUTED_VALUE"""),"Vilano")</f>
        <v>Vilano</v>
      </c>
      <c r="F455" s="13">
        <f>IFERROR(__xludf.DUMMYFUNCTION("""COMPUTED_VALUE"""),0.5625)</f>
        <v>0.5625</v>
      </c>
      <c r="G455" s="14">
        <f>IFERROR(__xludf.DUMMYFUNCTION("""COMPUTED_VALUE"""),43854.0)</f>
        <v>43854</v>
      </c>
      <c r="H455" t="str">
        <f>IFERROR(__xludf.DUMMYFUNCTION("""COMPUTED_VALUE"""),"San Sebastian")</f>
        <v>San Sebastian</v>
      </c>
      <c r="I455" s="15">
        <f>IFERROR(__xludf.DUMMYFUNCTION("""COMPUTED_VALUE"""),0.6875)</f>
        <v>0.6875</v>
      </c>
      <c r="J455" s="16">
        <f>IFERROR(__xludf.DUMMYFUNCTION("""COMPUTED_VALUE"""),43854.70833333333)</f>
        <v>43854.70833</v>
      </c>
      <c r="K455" t="str">
        <f>IFERROR(__xludf.DUMMYFUNCTION("""COMPUTED_VALUE"""),"20ft Sea Ark FL5351SJ UNF 2015")</f>
        <v>20ft Sea Ark FL5351SJ UNF 2015</v>
      </c>
      <c r="M455" t="str">
        <f>IFERROR(__xludf.DUMMYFUNCTION("""COMPUTED_VALUE"""),"Ford F250 2017 (Moby Dix) - DEP0021578")</f>
        <v>Ford F250 2017 (Moby Dix) - DEP0021578</v>
      </c>
      <c r="N455" t="str">
        <f>IFERROR(__xludf.DUMMYFUNCTION("""COMPUTED_VALUE"""),"Pam Marcum, (480) 332-5414")</f>
        <v>Pam Marcum, (480) 332-5414</v>
      </c>
      <c r="O455" t="str">
        <f>IFERROR(__xludf.DUMMYFUNCTION("""COMPUTED_VALUE"""),"Alee Knoell, (619) 750-4833, Shelby Harrell, Pam Korchun, Rick Fitzgerald")</f>
        <v>Alee Knoell, (619) 750-4833, Shelby Harrell, Pam Korchun, Rick Fitzgerald</v>
      </c>
      <c r="P455" t="str">
        <f>IFERROR(__xludf.DUMMYFUNCTION("""COMPUTED_VALUE"""),"Pam")</f>
        <v>Pam</v>
      </c>
      <c r="Q455" t="str">
        <f>IFERROR(__xludf.DUMMYFUNCTION("""COMPUTED_VALUE"""),"All items in working order")</f>
        <v>All items in working order</v>
      </c>
      <c r="AE455" s="11"/>
      <c r="AF455" t="s">
        <v>218</v>
      </c>
      <c r="AG455" s="17" t="s">
        <v>18</v>
      </c>
      <c r="AH455" s="12">
        <v>1540.0</v>
      </c>
      <c r="AI455" s="12" t="s">
        <v>1319</v>
      </c>
      <c r="AJ455" s="19" t="s">
        <v>1320</v>
      </c>
      <c r="AK455" s="20" t="str">
        <f>HYPERLINK("https://docs.google.com/document/d/1HSV531QesEHaEoEg2JNly_qNU43bFBGSW6qae_3nnUQ/edit?usp=drivesdk","Pam Marcum - 1/24/2020 1:30 PM")</f>
        <v>Pam Marcum - 1/24/2020 1:30 PM</v>
      </c>
      <c r="AL455" s="12" t="s">
        <v>1321</v>
      </c>
    </row>
    <row r="456">
      <c r="A456" s="10">
        <f>IFERROR(__xludf.DUMMYFUNCTION("""COMPUTED_VALUE"""),43858.34182861111)</f>
        <v>43858.34183</v>
      </c>
      <c r="B456" s="11" t="str">
        <f>IFERROR(__xludf.DUMMYFUNCTION("""COMPUTED_VALUE"""),"Silas Tanner")</f>
        <v>Silas Tanner</v>
      </c>
      <c r="C456" t="str">
        <f>IFERROR(__xludf.DUMMYFUNCTION("""COMPUTED_VALUE"""),"silas.tanner@floridadep.gov")</f>
        <v>silas.tanner@floridadep.gov</v>
      </c>
      <c r="D456" t="str">
        <f>IFERROR(__xludf.DUMMYFUNCTION("""COMPUTED_VALUE"""),"Research/Nikki")</f>
        <v>Research/Nikki</v>
      </c>
      <c r="E456" t="str">
        <f>IFERROR(__xludf.DUMMYFUNCTION("""COMPUTED_VALUE"""),"Vilano Landing")</f>
        <v>Vilano Landing</v>
      </c>
      <c r="F456" s="13">
        <f>IFERROR(__xludf.DUMMYFUNCTION("""COMPUTED_VALUE"""),0.3958333333321207)</f>
        <v>0.3958333333</v>
      </c>
      <c r="G456" s="14">
        <f>IFERROR(__xludf.DUMMYFUNCTION("""COMPUTED_VALUE"""),43858.0)</f>
        <v>43858</v>
      </c>
      <c r="H456" t="str">
        <f>IFERROR(__xludf.DUMMYFUNCTION("""COMPUTED_VALUE"""),"ICW SWMP sites")</f>
        <v>ICW SWMP sites</v>
      </c>
      <c r="I456" s="15">
        <f>IFERROR(__xludf.DUMMYFUNCTION("""COMPUTED_VALUE"""),0.6041666666678793)</f>
        <v>0.6041666667</v>
      </c>
      <c r="J456" s="16">
        <f>IFERROR(__xludf.DUMMYFUNCTION("""COMPUTED_VALUE"""),43858.64583333333)</f>
        <v>43858.64583</v>
      </c>
      <c r="K456" t="str">
        <f>IFERROR(__xludf.DUMMYFUNCTION("""COMPUTED_VALUE"""),"20ft Sea Ark FL5351SJ UNF 2015")</f>
        <v>20ft Sea Ark FL5351SJ UNF 2015</v>
      </c>
      <c r="M456" t="str">
        <f>IFERROR(__xludf.DUMMYFUNCTION("""COMPUTED_VALUE"""),"Ford F250 2017 (Moby Dix) - DEP0021578")</f>
        <v>Ford F250 2017 (Moby Dix) - DEP0021578</v>
      </c>
      <c r="N456" t="str">
        <f>IFERROR(__xludf.DUMMYFUNCTION("""COMPUTED_VALUE"""),"Silas Tanner, (904) 483-8423, Remo Mondazzi")</f>
        <v>Silas Tanner, (904) 483-8423, Remo Mondazzi</v>
      </c>
      <c r="P456" t="str">
        <f>IFERROR(__xludf.DUMMYFUNCTION("""COMPUTED_VALUE"""),"Silas Tanner")</f>
        <v>Silas Tanner</v>
      </c>
      <c r="Q456" t="str">
        <f>IFERROR(__xludf.DUMMYFUNCTION("""COMPUTED_VALUE"""),"All items in working order")</f>
        <v>All items in working order</v>
      </c>
      <c r="AE456" s="11"/>
      <c r="AF456" t="s">
        <v>218</v>
      </c>
      <c r="AG456" s="17" t="s">
        <v>60</v>
      </c>
      <c r="AH456" s="12">
        <v>1415.0</v>
      </c>
      <c r="AI456" s="12" t="s">
        <v>1322</v>
      </c>
      <c r="AJ456" s="19" t="s">
        <v>1323</v>
      </c>
      <c r="AK456" s="20" t="str">
        <f>HYPERLINK("https://docs.google.com/document/d/15riDRQddFewoCtebM5b3K6E6ZRdQtOvmuVhW4mV5b2w/edit?usp=drivesdk","Silas Tanner - 1/28/2020 9:30 AM")</f>
        <v>Silas Tanner - 1/28/2020 9:30 AM</v>
      </c>
      <c r="AL456" s="12" t="s">
        <v>1324</v>
      </c>
    </row>
    <row r="457">
      <c r="A457" s="10">
        <f>IFERROR(__xludf.DUMMYFUNCTION("""COMPUTED_VALUE"""),43858.36289945602)</f>
        <v>43858.3629</v>
      </c>
      <c r="B457" s="11" t="str">
        <f>IFERROR(__xludf.DUMMYFUNCTION("""COMPUTED_VALUE"""),"Jimmy Tomazinis")</f>
        <v>Jimmy Tomazinis</v>
      </c>
      <c r="C457" t="str">
        <f>IFERROR(__xludf.DUMMYFUNCTION("""COMPUTED_VALUE"""),"james.tomazinis@floridadep.gov")</f>
        <v>james.tomazinis@floridadep.gov</v>
      </c>
      <c r="D457" t="str">
        <f>IFERROR(__xludf.DUMMYFUNCTION("""COMPUTED_VALUE"""),"Stewardship (Aquatic)")</f>
        <v>Stewardship (Aquatic)</v>
      </c>
      <c r="E457" t="str">
        <f>IFERROR(__xludf.DUMMYFUNCTION("""COMPUTED_VALUE"""),"Guana Dam")</f>
        <v>Guana Dam</v>
      </c>
      <c r="F457" s="13">
        <f>IFERROR(__xludf.DUMMYFUNCTION("""COMPUTED_VALUE"""),0.3958333333321207)</f>
        <v>0.3958333333</v>
      </c>
      <c r="G457" s="14">
        <f>IFERROR(__xludf.DUMMYFUNCTION("""COMPUTED_VALUE"""),43858.0)</f>
        <v>43858</v>
      </c>
      <c r="H457" t="str">
        <f>IFERROR(__xludf.DUMMYFUNCTION("""COMPUTED_VALUE"""),"Guana Lake and River WQ sites")</f>
        <v>Guana Lake and River WQ sites</v>
      </c>
      <c r="I457" s="15">
        <f>IFERROR(__xludf.DUMMYFUNCTION("""COMPUTED_VALUE"""),0.625)</f>
        <v>0.625</v>
      </c>
      <c r="J457" s="16"/>
      <c r="K457" t="str">
        <f>IFERROR(__xludf.DUMMYFUNCTION("""COMPUTED_VALUE"""),"FWC mud boat")</f>
        <v>FWC mud boat</v>
      </c>
      <c r="M457" t="str">
        <f>IFERROR(__xludf.DUMMYFUNCTION("""COMPUTED_VALUE"""),"Ford F150 2018 (AP) - DEP21637")</f>
        <v>Ford F150 2018 (AP) - DEP21637</v>
      </c>
      <c r="N457" t="str">
        <f>IFERROR(__xludf.DUMMYFUNCTION("""COMPUTED_VALUE"""),"Jimmy Tomazinis, (904) 547-0094")</f>
        <v>Jimmy Tomazinis, (904) 547-0094</v>
      </c>
      <c r="O457" t="str">
        <f>IFERROR(__xludf.DUMMYFUNCTION("""COMPUTED_VALUE"""),"Jessica Lee")</f>
        <v>Jessica Lee</v>
      </c>
      <c r="P457" t="str">
        <f>IFERROR(__xludf.DUMMYFUNCTION("""COMPUTED_VALUE"""),"Jimmy")</f>
        <v>Jimmy</v>
      </c>
      <c r="Q457" t="str">
        <f>IFERROR(__xludf.DUMMYFUNCTION("""COMPUTED_VALUE"""),"All items in working order")</f>
        <v>All items in working order</v>
      </c>
      <c r="AE457" s="11"/>
      <c r="AF457" t="s">
        <v>32</v>
      </c>
      <c r="AG457" s="17" t="s">
        <v>60</v>
      </c>
      <c r="AH457" s="12">
        <v>1510.0</v>
      </c>
      <c r="AI457" s="12" t="s">
        <v>1325</v>
      </c>
      <c r="AJ457" s="19" t="s">
        <v>1326</v>
      </c>
      <c r="AK457" s="20" t="str">
        <f>HYPERLINK("https://docs.google.com/document/d/1dYLg8a56TpS3ThfTK-kkrtwivojDdKrEDFi-Db6t4m8/edit?usp=drivesdk","Jimmy Tomazinis - 1/28/2020 9:30 AM")</f>
        <v>Jimmy Tomazinis - 1/28/2020 9:30 AM</v>
      </c>
      <c r="AL457" s="12" t="s">
        <v>1327</v>
      </c>
    </row>
    <row r="458">
      <c r="A458" s="10">
        <f>IFERROR(__xludf.DUMMYFUNCTION("""COMPUTED_VALUE"""),43861.26121699074)</f>
        <v>43861.26122</v>
      </c>
      <c r="B458" s="11" t="str">
        <f>IFERROR(__xludf.DUMMYFUNCTION("""COMPUTED_VALUE"""),"Pam Marcum")</f>
        <v>Pam Marcum</v>
      </c>
      <c r="C458" t="str">
        <f>IFERROR(__xludf.DUMMYFUNCTION("""COMPUTED_VALUE"""),"Pamela.Marcum@FloridaDEP.gov")</f>
        <v>Pamela.Marcum@FloridaDEP.gov</v>
      </c>
      <c r="D458" t="str">
        <f>IFERROR(__xludf.DUMMYFUNCTION("""COMPUTED_VALUE"""),"Research/Nikki")</f>
        <v>Research/Nikki</v>
      </c>
      <c r="E458" t="str">
        <f>IFERROR(__xludf.DUMMYFUNCTION("""COMPUTED_VALUE"""),"Butler")</f>
        <v>Butler</v>
      </c>
      <c r="F458" s="13">
        <f>IFERROR(__xludf.DUMMYFUNCTION("""COMPUTED_VALUE"""),0.2916666666678793)</f>
        <v>0.2916666667</v>
      </c>
      <c r="G458" s="14">
        <f>IFERROR(__xludf.DUMMYFUNCTION("""COMPUTED_VALUE"""),43861.0)</f>
        <v>43861</v>
      </c>
      <c r="H458" t="str">
        <f>IFERROR(__xludf.DUMMYFUNCTION("""COMPUTED_VALUE"""),"Moses/Butler Flats")</f>
        <v>Moses/Butler Flats</v>
      </c>
      <c r="I458" s="15">
        <f>IFERROR(__xludf.DUMMYFUNCTION("""COMPUTED_VALUE"""),0.4583333333321207)</f>
        <v>0.4583333333</v>
      </c>
      <c r="J458" s="16">
        <f>IFERROR(__xludf.DUMMYFUNCTION("""COMPUTED_VALUE"""),43861.625)</f>
        <v>43861.625</v>
      </c>
      <c r="K458" t="str">
        <f>IFERROR(__xludf.DUMMYFUNCTION("""COMPUTED_VALUE"""),"20ft Sea Ark FL5351SJ UNF 2015")</f>
        <v>20ft Sea Ark FL5351SJ UNF 2015</v>
      </c>
      <c r="M458" t="str">
        <f>IFERROR(__xludf.DUMMYFUNCTION("""COMPUTED_VALUE"""),"Ford F250 2017 (Moby Dix) - DEP0021578")</f>
        <v>Ford F250 2017 (Moby Dix) - DEP0021578</v>
      </c>
      <c r="N458" t="str">
        <f>IFERROR(__xludf.DUMMYFUNCTION("""COMPUTED_VALUE"""),"Pam Marcum, (480) 332-5414")</f>
        <v>Pam Marcum, (480) 332-5414</v>
      </c>
      <c r="O458" t="str">
        <f>IFERROR(__xludf.DUMMYFUNCTION("""COMPUTED_VALUE"""),"Alee Knoell, (619) 750-4833, Adrienne Breef-Pilz, Chris Blanco")</f>
        <v>Alee Knoell, (619) 750-4833, Adrienne Breef-Pilz, Chris Blanco</v>
      </c>
      <c r="P458" t="str">
        <f>IFERROR(__xludf.DUMMYFUNCTION("""COMPUTED_VALUE"""),"Pam")</f>
        <v>Pam</v>
      </c>
      <c r="Q458" t="str">
        <f>IFERROR(__xludf.DUMMYFUNCTION("""COMPUTED_VALUE"""),"All items in working order")</f>
        <v>All items in working order</v>
      </c>
      <c r="AE458" s="11"/>
      <c r="AF458" t="s">
        <v>218</v>
      </c>
      <c r="AG458" s="17" t="s">
        <v>18</v>
      </c>
      <c r="AH458" s="12">
        <v>1000.0</v>
      </c>
      <c r="AI458" s="12" t="s">
        <v>1328</v>
      </c>
      <c r="AJ458" s="19" t="s">
        <v>1329</v>
      </c>
      <c r="AK458" s="20" t="str">
        <f>HYPERLINK("https://docs.google.com/document/d/1bOaRA6MwXwyJSUPqm-CvsNbw2NERAY_Pxr7kt3N14PE/edit?usp=drivesdk","Pam Marcum - 1/31/2020 7:00 AM")</f>
        <v>Pam Marcum - 1/31/2020 7:00 AM</v>
      </c>
      <c r="AL458" s="12" t="s">
        <v>1330</v>
      </c>
    </row>
    <row r="459">
      <c r="A459" s="10">
        <f>IFERROR(__xludf.DUMMYFUNCTION("""COMPUTED_VALUE"""),43863.64696052083)</f>
        <v>43863.64696</v>
      </c>
      <c r="B459" s="11" t="str">
        <f>IFERROR(__xludf.DUMMYFUNCTION("""COMPUTED_VALUE"""),"Ruben Allen")</f>
        <v>Ruben Allen</v>
      </c>
      <c r="C459" t="str">
        <f>IFERROR(__xludf.DUMMYFUNCTION("""COMPUTED_VALUE"""),"rubeall57@gmail.com")</f>
        <v>rubeall57@gmail.com</v>
      </c>
      <c r="D459" t="str">
        <f>IFERROR(__xludf.DUMMYFUNCTION("""COMPUTED_VALUE"""),"Research/Pam")</f>
        <v>Research/Pam</v>
      </c>
      <c r="E459" t="str">
        <f>IFERROR(__xludf.DUMMYFUNCTION("""COMPUTED_VALUE"""),"Vilano")</f>
        <v>Vilano</v>
      </c>
      <c r="F459" s="13">
        <f>IFERROR(__xludf.DUMMYFUNCTION("""COMPUTED_VALUE"""),0.3229166666678793)</f>
        <v>0.3229166667</v>
      </c>
      <c r="G459" s="14">
        <f>IFERROR(__xludf.DUMMYFUNCTION("""COMPUTED_VALUE"""),43864.0)</f>
        <v>43864</v>
      </c>
      <c r="H459" t="str">
        <f>IFERROR(__xludf.DUMMYFUNCTION("""COMPUTED_VALUE"""),"North and South Spat runs")</f>
        <v>North and South Spat runs</v>
      </c>
      <c r="I459" s="15">
        <f>IFERROR(__xludf.DUMMYFUNCTION("""COMPUTED_VALUE"""),0.6666666666678793)</f>
        <v>0.6666666667</v>
      </c>
      <c r="J459" s="16">
        <f>IFERROR(__xludf.DUMMYFUNCTION("""COMPUTED_VALUE"""),43864.1875)</f>
        <v>43864.1875</v>
      </c>
      <c r="K459" t="str">
        <f>IFERROR(__xludf.DUMMYFUNCTION("""COMPUTED_VALUE"""),"20ft Sea Ark FL5351SJ UNF 2015")</f>
        <v>20ft Sea Ark FL5351SJ UNF 2015</v>
      </c>
      <c r="M459" t="str">
        <f>IFERROR(__xludf.DUMMYFUNCTION("""COMPUTED_VALUE"""),"Ford F150 2015 (White) - DEP21448")</f>
        <v>Ford F150 2015 (White) - DEP21448</v>
      </c>
      <c r="N459" t="str">
        <f>IFERROR(__xludf.DUMMYFUNCTION("""COMPUTED_VALUE"""),"Ruben Allen")</f>
        <v>Ruben Allen</v>
      </c>
      <c r="O459" t="str">
        <f>IFERROR(__xludf.DUMMYFUNCTION("""COMPUTED_VALUE"""),"Alee Knoell, (619) 750-4833, Adrienne Breef-Pilz")</f>
        <v>Alee Knoell, (619) 750-4833, Adrienne Breef-Pilz</v>
      </c>
      <c r="P459" t="str">
        <f>IFERROR(__xludf.DUMMYFUNCTION("""COMPUTED_VALUE"""),"Ruben Allen")</f>
        <v>Ruben Allen</v>
      </c>
      <c r="Q459" t="str">
        <f>IFERROR(__xludf.DUMMYFUNCTION("""COMPUTED_VALUE"""),"All items in working order")</f>
        <v>All items in working order</v>
      </c>
      <c r="AD459" t="str">
        <f>IFERROR(__xludf.DUMMYFUNCTION("""COMPUTED_VALUE"""),"yes")</f>
        <v>yes</v>
      </c>
      <c r="AE459" s="11" t="str">
        <f>IFERROR(__xludf.DUMMYFUNCTION("""COMPUTED_VALUE"""),"yes")</f>
        <v>yes</v>
      </c>
      <c r="AF459" t="s">
        <v>262</v>
      </c>
      <c r="AG459" s="17" t="s">
        <v>43</v>
      </c>
      <c r="AH459" s="12">
        <v>1654.0</v>
      </c>
      <c r="AI459" s="12" t="s">
        <v>1331</v>
      </c>
      <c r="AJ459" s="19" t="s">
        <v>1332</v>
      </c>
      <c r="AK459" s="20" t="str">
        <f>HYPERLINK("https://docs.google.com/document/d/1fV7ujv8mdM-qcN_Fc0mQNchgUTDr7W6eeg26ipk9aYg/edit?usp=drivesdk","Ruben Allen - 2/3/2020 7:45 AM")</f>
        <v>Ruben Allen - 2/3/2020 7:45 AM</v>
      </c>
      <c r="AL459" s="12" t="s">
        <v>1333</v>
      </c>
    </row>
    <row r="460">
      <c r="A460" s="10">
        <f>IFERROR(__xludf.DUMMYFUNCTION("""COMPUTED_VALUE"""),43863.80952849537)</f>
        <v>43863.80953</v>
      </c>
      <c r="B460" s="11" t="str">
        <f>IFERROR(__xludf.DUMMYFUNCTION("""COMPUTED_VALUE"""),"James Tomazinis")</f>
        <v>James Tomazinis</v>
      </c>
      <c r="C460" t="str">
        <f>IFERROR(__xludf.DUMMYFUNCTION("""COMPUTED_VALUE"""),"james.tomazinis@floridadep.gov")</f>
        <v>james.tomazinis@floridadep.gov</v>
      </c>
      <c r="D460" t="str">
        <f>IFERROR(__xludf.DUMMYFUNCTION("""COMPUTED_VALUE"""),"Stewardship (Aquatic)")</f>
        <v>Stewardship (Aquatic)</v>
      </c>
      <c r="E460" t="str">
        <f>IFERROR(__xludf.DUMMYFUNCTION("""COMPUTED_VALUE"""),"Holly Point")</f>
        <v>Holly Point</v>
      </c>
      <c r="F460" s="13">
        <f>IFERROR(__xludf.DUMMYFUNCTION("""COMPUTED_VALUE"""),0.4375)</f>
        <v>0.4375</v>
      </c>
      <c r="G460" s="14">
        <f>IFERROR(__xludf.DUMMYFUNCTION("""COMPUTED_VALUE"""),43864.0)</f>
        <v>43864</v>
      </c>
      <c r="H460" t="str">
        <f>IFERROR(__xludf.DUMMYFUNCTION("""COMPUTED_VALUE"""),"Lofton Creek and Nassau River Stations")</f>
        <v>Lofton Creek and Nassau River Stations</v>
      </c>
      <c r="I460" s="15">
        <f>IFERROR(__xludf.DUMMYFUNCTION("""COMPUTED_VALUE"""),0.625)</f>
        <v>0.625</v>
      </c>
      <c r="J460" s="16"/>
      <c r="K460" t="str">
        <f>IFERROR(__xludf.DUMMYFUNCTION("""COMPUTED_VALUE"""),"23ft Skiff (Bertha) FL7972LJ DEP07613")</f>
        <v>23ft Skiff (Bertha) FL7972LJ DEP07613</v>
      </c>
      <c r="M460" t="str">
        <f>IFERROR(__xludf.DUMMYFUNCTION("""COMPUTED_VALUE"""),"Ford F150 2018 (AP) - DEP21637")</f>
        <v>Ford F150 2018 (AP) - DEP21637</v>
      </c>
      <c r="N460" t="str">
        <f>IFERROR(__xludf.DUMMYFUNCTION("""COMPUTED_VALUE"""),"Jimmy Tomazinis, (904) 547-0094")</f>
        <v>Jimmy Tomazinis, (904) 547-0094</v>
      </c>
      <c r="O460" t="str">
        <f>IFERROR(__xludf.DUMMYFUNCTION("""COMPUTED_VALUE"""),"Mike Darragh")</f>
        <v>Mike Darragh</v>
      </c>
      <c r="P460" t="str">
        <f>IFERROR(__xludf.DUMMYFUNCTION("""COMPUTED_VALUE"""),"Jimmy")</f>
        <v>Jimmy</v>
      </c>
      <c r="Q460" t="str">
        <f>IFERROR(__xludf.DUMMYFUNCTION("""COMPUTED_VALUE"""),"All items in working order")</f>
        <v>All items in working order</v>
      </c>
      <c r="AE460" s="11"/>
      <c r="AF460" t="s">
        <v>32</v>
      </c>
      <c r="AG460" s="17" t="s">
        <v>128</v>
      </c>
      <c r="AH460" s="12">
        <v>1500.0</v>
      </c>
      <c r="AI460" s="12" t="s">
        <v>1334</v>
      </c>
      <c r="AJ460" s="19" t="s">
        <v>1335</v>
      </c>
      <c r="AK460" s="20" t="str">
        <f>HYPERLINK("https://docs.google.com/document/d/15pl5c0Q7XZuL6VPAZlgrx280SO-_yYzrHSEimuYcJPo/edit?usp=drivesdk","James Tomazinis - 2/3/2020 10:30 AM")</f>
        <v>James Tomazinis - 2/3/2020 10:30 AM</v>
      </c>
      <c r="AL460" s="12" t="s">
        <v>1336</v>
      </c>
    </row>
    <row r="461">
      <c r="A461" s="10">
        <f>IFERROR(__xludf.DUMMYFUNCTION("""COMPUTED_VALUE"""),43864.330857615736)</f>
        <v>43864.33086</v>
      </c>
      <c r="B461" s="11" t="str">
        <f>IFERROR(__xludf.DUMMYFUNCTION("""COMPUTED_VALUE"""),"Pam Marcum")</f>
        <v>Pam Marcum</v>
      </c>
      <c r="C461" t="str">
        <f>IFERROR(__xludf.DUMMYFUNCTION("""COMPUTED_VALUE"""),"Pamela.Marcum@FloridaDEP.gov")</f>
        <v>Pamela.Marcum@FloridaDEP.gov</v>
      </c>
      <c r="D461" t="str">
        <f>IFERROR(__xludf.DUMMYFUNCTION("""COMPUTED_VALUE"""),"Research/Nikki")</f>
        <v>Research/Nikki</v>
      </c>
      <c r="E461" t="str">
        <f>IFERROR(__xludf.DUMMYFUNCTION("""COMPUTED_VALUE"""),"Usina/Aunt Kate's")</f>
        <v>Usina/Aunt Kate's</v>
      </c>
      <c r="F461" s="13">
        <f>IFERROR(__xludf.DUMMYFUNCTION("""COMPUTED_VALUE"""),0.3541666666678793)</f>
        <v>0.3541666667</v>
      </c>
      <c r="G461" s="14">
        <f>IFERROR(__xludf.DUMMYFUNCTION("""COMPUTED_VALUE"""),43864.0)</f>
        <v>43864</v>
      </c>
      <c r="H461" t="str">
        <f>IFERROR(__xludf.DUMMYFUNCTION("""COMPUTED_VALUE"""),"Airport Basin/Robinson's Creek")</f>
        <v>Airport Basin/Robinson's Creek</v>
      </c>
      <c r="I461" s="15">
        <f>IFERROR(__xludf.DUMMYFUNCTION("""COMPUTED_VALUE"""),0.4791666666678793)</f>
        <v>0.4791666667</v>
      </c>
      <c r="J461" s="16">
        <f>IFERROR(__xludf.DUMMYFUNCTION("""COMPUTED_VALUE"""),43864.5)</f>
        <v>43864.5</v>
      </c>
      <c r="K461" t="str">
        <f>IFERROR(__xludf.DUMMYFUNCTION("""COMPUTED_VALUE"""),"20ft Sea Ark FL5351SJ UNF 2015")</f>
        <v>20ft Sea Ark FL5351SJ UNF 2015</v>
      </c>
      <c r="M461" t="str">
        <f>IFERROR(__xludf.DUMMYFUNCTION("""COMPUTED_VALUE"""),"Ford F250 2017 (Moby Dix) - DEP0021578")</f>
        <v>Ford F250 2017 (Moby Dix) - DEP0021578</v>
      </c>
      <c r="N461" t="str">
        <f>IFERROR(__xludf.DUMMYFUNCTION("""COMPUTED_VALUE"""),"Pam Marcum, (480) 332-5414")</f>
        <v>Pam Marcum, (480) 332-5414</v>
      </c>
      <c r="O461" t="str">
        <f>IFERROR(__xludf.DUMMYFUNCTION("""COMPUTED_VALUE"""),"Anna Tripp, Steve Brown, Paul Yonally, Kaitlyn Campbell")</f>
        <v>Anna Tripp, Steve Brown, Paul Yonally, Kaitlyn Campbell</v>
      </c>
      <c r="P461" t="str">
        <f>IFERROR(__xludf.DUMMYFUNCTION("""COMPUTED_VALUE"""),"Pam")</f>
        <v>Pam</v>
      </c>
      <c r="Q461" t="str">
        <f>IFERROR(__xludf.DUMMYFUNCTION("""COMPUTED_VALUE"""),"All items in working order")</f>
        <v>All items in working order</v>
      </c>
      <c r="AE461" s="11"/>
      <c r="AF461" t="s">
        <v>218</v>
      </c>
      <c r="AG461" s="17" t="s">
        <v>18</v>
      </c>
      <c r="AH461" s="12">
        <v>1150.0</v>
      </c>
      <c r="AI461" s="12" t="s">
        <v>1337</v>
      </c>
      <c r="AJ461" s="19" t="s">
        <v>1338</v>
      </c>
      <c r="AK461" s="20" t="str">
        <f>HYPERLINK("https://docs.google.com/document/d/1cooWly9CdWRCoCXhOkU5l07MF3gtnaqhh5Nb1u9tu_s/edit?usp=drivesdk","Pam Marcum - 2/3/2020 8:30 AM")</f>
        <v>Pam Marcum - 2/3/2020 8:30 AM</v>
      </c>
      <c r="AL461" s="12" t="s">
        <v>1339</v>
      </c>
    </row>
    <row r="462">
      <c r="A462" s="10">
        <f>IFERROR(__xludf.DUMMYFUNCTION("""COMPUTED_VALUE"""),43865.3704878125)</f>
        <v>43865.37049</v>
      </c>
      <c r="B462" s="11" t="str">
        <f>IFERROR(__xludf.DUMMYFUNCTION("""COMPUTED_VALUE"""),"Pam Marcum")</f>
        <v>Pam Marcum</v>
      </c>
      <c r="C462" t="str">
        <f>IFERROR(__xludf.DUMMYFUNCTION("""COMPUTED_VALUE"""),"Pamela.Marcum@floridadep.gov")</f>
        <v>Pamela.Marcum@floridadep.gov</v>
      </c>
      <c r="D462" t="str">
        <f>IFERROR(__xludf.DUMMYFUNCTION("""COMPUTED_VALUE"""),"Research/Nikki")</f>
        <v>Research/Nikki</v>
      </c>
      <c r="E462" t="str">
        <f>IFERROR(__xludf.DUMMYFUNCTION("""COMPUTED_VALUE"""),"Usina/Aunt Kate's")</f>
        <v>Usina/Aunt Kate's</v>
      </c>
      <c r="F462" s="13">
        <f>IFERROR(__xludf.DUMMYFUNCTION("""COMPUTED_VALUE"""),0.3958333333321207)</f>
        <v>0.3958333333</v>
      </c>
      <c r="G462" s="14">
        <f>IFERROR(__xludf.DUMMYFUNCTION("""COMPUTED_VALUE"""),43865.0)</f>
        <v>43865</v>
      </c>
      <c r="H462" t="str">
        <f>IFERROR(__xludf.DUMMYFUNCTION("""COMPUTED_VALUE"""),"Guana/Tolomato Rivers")</f>
        <v>Guana/Tolomato Rivers</v>
      </c>
      <c r="I462" s="15">
        <f>IFERROR(__xludf.DUMMYFUNCTION("""COMPUTED_VALUE"""),0.5208333333321207)</f>
        <v>0.5208333333</v>
      </c>
      <c r="J462" s="16">
        <f>IFERROR(__xludf.DUMMYFUNCTION("""COMPUTED_VALUE"""),43865.54166666667)</f>
        <v>43865.54167</v>
      </c>
      <c r="K462" t="str">
        <f>IFERROR(__xludf.DUMMYFUNCTION("""COMPUTED_VALUE"""),"20ft Sea Ark FL5351SJ UNF 2015")</f>
        <v>20ft Sea Ark FL5351SJ UNF 2015</v>
      </c>
      <c r="M462" t="str">
        <f>IFERROR(__xludf.DUMMYFUNCTION("""COMPUTED_VALUE"""),"Ford F250 2017 (Moby Dix) - DEP0021578")</f>
        <v>Ford F250 2017 (Moby Dix) - DEP0021578</v>
      </c>
      <c r="N462" t="str">
        <f>IFERROR(__xludf.DUMMYFUNCTION("""COMPUTED_VALUE"""),"Pam Marcum, (480) 332-5414")</f>
        <v>Pam Marcum, (480) 332-5414</v>
      </c>
      <c r="O462" t="str">
        <f>IFERROR(__xludf.DUMMYFUNCTION("""COMPUTED_VALUE"""),"Alee Knoell, (619) 750-4833, Barry MacDonald, Mike Darragh, Nancy Stehno, Candce Killian")</f>
        <v>Alee Knoell, (619) 750-4833, Barry MacDonald, Mike Darragh, Nancy Stehno, Candce Killian</v>
      </c>
      <c r="P462" t="str">
        <f>IFERROR(__xludf.DUMMYFUNCTION("""COMPUTED_VALUE"""),"Pam")</f>
        <v>Pam</v>
      </c>
      <c r="Q462" t="str">
        <f>IFERROR(__xludf.DUMMYFUNCTION("""COMPUTED_VALUE"""),"All items in working order")</f>
        <v>All items in working order</v>
      </c>
      <c r="AE462" s="11"/>
      <c r="AF462" t="s">
        <v>218</v>
      </c>
      <c r="AG462" s="17" t="s">
        <v>18</v>
      </c>
      <c r="AH462" s="12">
        <v>1200.0</v>
      </c>
      <c r="AI462" s="12" t="s">
        <v>1340</v>
      </c>
      <c r="AJ462" s="19" t="s">
        <v>1341</v>
      </c>
      <c r="AK462" s="20" t="str">
        <f>HYPERLINK("https://docs.google.com/document/d/166DeXIgY-PkIiQZNK8YR4ZysxCR-mcL5zODZFyoTbHY/edit?usp=drivesdk","Pam Marcum - 2/4/2020 9:30 AM")</f>
        <v>Pam Marcum - 2/4/2020 9:30 AM</v>
      </c>
      <c r="AL462" s="12" t="s">
        <v>1342</v>
      </c>
    </row>
    <row r="463">
      <c r="A463" s="10">
        <f>IFERROR(__xludf.DUMMYFUNCTION("""COMPUTED_VALUE"""),43867.46352467593)</f>
        <v>43867.46352</v>
      </c>
      <c r="B463" s="11" t="str">
        <f>IFERROR(__xludf.DUMMYFUNCTION("""COMPUTED_VALUE"""),"Pam Marcum")</f>
        <v>Pam Marcum</v>
      </c>
      <c r="C463" t="str">
        <f>IFERROR(__xludf.DUMMYFUNCTION("""COMPUTED_VALUE"""),"Pamela.Marcum@floridadep.gov")</f>
        <v>Pamela.Marcum@floridadep.gov</v>
      </c>
      <c r="D463" t="str">
        <f>IFERROR(__xludf.DUMMYFUNCTION("""COMPUTED_VALUE"""),"Research/Nikki")</f>
        <v>Research/Nikki</v>
      </c>
      <c r="E463" t="str">
        <f>IFERROR(__xludf.DUMMYFUNCTION("""COMPUTED_VALUE"""),"usina")</f>
        <v>usina</v>
      </c>
      <c r="F463" s="13">
        <f>IFERROR(__xludf.DUMMYFUNCTION("""COMPUTED_VALUE"""),0.4791666666678793)</f>
        <v>0.4791666667</v>
      </c>
      <c r="G463" s="14">
        <f>IFERROR(__xludf.DUMMYFUNCTION("""COMPUTED_VALUE"""),43867.0)</f>
        <v>43867</v>
      </c>
      <c r="H463" t="str">
        <f>IFERROR(__xludf.DUMMYFUNCTION("""COMPUTED_VALUE"""),"guana river")</f>
        <v>guana river</v>
      </c>
      <c r="I463" s="15">
        <f>IFERROR(__xludf.DUMMYFUNCTION("""COMPUTED_VALUE"""),0.625)</f>
        <v>0.625</v>
      </c>
      <c r="J463" s="16">
        <f>IFERROR(__xludf.DUMMYFUNCTION("""COMPUTED_VALUE"""),43867.64583333333)</f>
        <v>43867.64583</v>
      </c>
      <c r="K463" t="str">
        <f>IFERROR(__xludf.DUMMYFUNCTION("""COMPUTED_VALUE"""),"20ft Sea Ark FL5351SJ UNF 2015")</f>
        <v>20ft Sea Ark FL5351SJ UNF 2015</v>
      </c>
      <c r="M463" t="str">
        <f>IFERROR(__xludf.DUMMYFUNCTION("""COMPUTED_VALUE"""),"Ford F250 2017 (Moby Dix) - DEP0021578")</f>
        <v>Ford F250 2017 (Moby Dix) - DEP0021578</v>
      </c>
      <c r="N463" t="str">
        <f>IFERROR(__xludf.DUMMYFUNCTION("""COMPUTED_VALUE"""),"Pam Marcum, (480) 332-5414")</f>
        <v>Pam Marcum, (480) 332-5414</v>
      </c>
      <c r="O463" t="str">
        <f>IFERROR(__xludf.DUMMYFUNCTION("""COMPUTED_VALUE"""),"Alee Knoell, (619) 750-4833, Mike Darragh, Vicki MacDonald, Pam Korchun")</f>
        <v>Alee Knoell, (619) 750-4833, Mike Darragh, Vicki MacDonald, Pam Korchun</v>
      </c>
      <c r="P463" t="str">
        <f>IFERROR(__xludf.DUMMYFUNCTION("""COMPUTED_VALUE"""),"Pam")</f>
        <v>Pam</v>
      </c>
      <c r="Q463" t="str">
        <f>IFERROR(__xludf.DUMMYFUNCTION("""COMPUTED_VALUE"""),"All items in working order")</f>
        <v>All items in working order</v>
      </c>
      <c r="AE463" s="11"/>
      <c r="AF463" t="s">
        <v>218</v>
      </c>
      <c r="AG463" s="17" t="s">
        <v>18</v>
      </c>
      <c r="AH463" s="12">
        <v>1407.0</v>
      </c>
      <c r="AI463" s="12" t="s">
        <v>1343</v>
      </c>
      <c r="AJ463" s="19" t="s">
        <v>1344</v>
      </c>
      <c r="AK463" s="20" t="str">
        <f>HYPERLINK("https://docs.google.com/document/d/1TfKfUlB6Fa99T2erVf-h8lic_B7WvdB6pl8P347q30k/edit?usp=drivesdk","Pam Marcum - 2/6/2020 11:30 AM")</f>
        <v>Pam Marcum - 2/6/2020 11:30 AM</v>
      </c>
      <c r="AL463" s="12" t="s">
        <v>1345</v>
      </c>
    </row>
    <row r="464">
      <c r="A464" s="10">
        <f>IFERROR(__xludf.DUMMYFUNCTION("""COMPUTED_VALUE"""),43868.48051929398)</f>
        <v>43868.48052</v>
      </c>
      <c r="B464" s="11" t="str">
        <f>IFERROR(__xludf.DUMMYFUNCTION("""COMPUTED_VALUE"""),"Pamela Marcum")</f>
        <v>Pamela Marcum</v>
      </c>
      <c r="C464" t="str">
        <f>IFERROR(__xludf.DUMMYFUNCTION("""COMPUTED_VALUE"""),"Pamela.Marcum@FloridaDEP.gov")</f>
        <v>Pamela.Marcum@FloridaDEP.gov</v>
      </c>
      <c r="D464" t="str">
        <f>IFERROR(__xludf.DUMMYFUNCTION("""COMPUTED_VALUE"""),"Research/Nikki")</f>
        <v>Research/Nikki</v>
      </c>
      <c r="E464" t="str">
        <f>IFERROR(__xludf.DUMMYFUNCTION("""COMPUTED_VALUE"""),"Shore Dr")</f>
        <v>Shore Dr</v>
      </c>
      <c r="F464" s="13">
        <f>IFERROR(__xludf.DUMMYFUNCTION("""COMPUTED_VALUE"""),0.5104166666678793)</f>
        <v>0.5104166667</v>
      </c>
      <c r="G464" s="14">
        <f>IFERROR(__xludf.DUMMYFUNCTION("""COMPUTED_VALUE"""),43868.0)</f>
        <v>43868</v>
      </c>
      <c r="H464" t="str">
        <f>IFERROR(__xludf.DUMMYFUNCTION("""COMPUTED_VALUE"""),"San Sebastian")</f>
        <v>San Sebastian</v>
      </c>
      <c r="I464" s="15">
        <f>IFERROR(__xludf.DUMMYFUNCTION("""COMPUTED_VALUE"""),0.6458333333321207)</f>
        <v>0.6458333333</v>
      </c>
      <c r="J464" s="16">
        <f>IFERROR(__xludf.DUMMYFUNCTION("""COMPUTED_VALUE"""),43868.66666666667)</f>
        <v>43868.66667</v>
      </c>
      <c r="K464" t="str">
        <f>IFERROR(__xludf.DUMMYFUNCTION("""COMPUTED_VALUE"""),"20ft Sea Ark FL5351SJ UNF 2015")</f>
        <v>20ft Sea Ark FL5351SJ UNF 2015</v>
      </c>
      <c r="M464" t="str">
        <f>IFERROR(__xludf.DUMMYFUNCTION("""COMPUTED_VALUE"""),"Ford F250 2017 (Moby Dix) - DEP0021578")</f>
        <v>Ford F250 2017 (Moby Dix) - DEP0021578</v>
      </c>
      <c r="N464" t="str">
        <f>IFERROR(__xludf.DUMMYFUNCTION("""COMPUTED_VALUE"""),"Pam Marcum, (480) 332-5414")</f>
        <v>Pam Marcum, (480) 332-5414</v>
      </c>
      <c r="O464" t="str">
        <f>IFERROR(__xludf.DUMMYFUNCTION("""COMPUTED_VALUE"""),"Alee Knoell, (619) 750-4833, Spencer Baba, Shelby Harrell")</f>
        <v>Alee Knoell, (619) 750-4833, Spencer Baba, Shelby Harrell</v>
      </c>
      <c r="P464" t="str">
        <f>IFERROR(__xludf.DUMMYFUNCTION("""COMPUTED_VALUE"""),"Pam")</f>
        <v>Pam</v>
      </c>
      <c r="Q464" t="str">
        <f>IFERROR(__xludf.DUMMYFUNCTION("""COMPUTED_VALUE"""),"All items in working order")</f>
        <v>All items in working order</v>
      </c>
      <c r="AE464" s="11"/>
      <c r="AF464" t="s">
        <v>218</v>
      </c>
      <c r="AG464" s="17" t="s">
        <v>43</v>
      </c>
      <c r="AH464" s="12">
        <v>1608.0</v>
      </c>
      <c r="AI464" s="12" t="s">
        <v>1346</v>
      </c>
      <c r="AJ464" s="19" t="s">
        <v>1347</v>
      </c>
      <c r="AK464" s="20" t="str">
        <f>HYPERLINK("https://docs.google.com/document/d/1m-gcMOonRqpC2CRrsxi78JIIPqqWlY38V9zr7EZlAqE/edit?usp=drivesdk","Pamela Marcum - 2/7/2020 12:15 PM")</f>
        <v>Pamela Marcum - 2/7/2020 12:15 PM</v>
      </c>
      <c r="AL464" s="12" t="s">
        <v>1348</v>
      </c>
    </row>
    <row r="465">
      <c r="A465" s="10">
        <f>IFERROR(__xludf.DUMMYFUNCTION("""COMPUTED_VALUE"""),43871.28128048612)</f>
        <v>43871.28128</v>
      </c>
      <c r="B465" s="11" t="str">
        <f>IFERROR(__xludf.DUMMYFUNCTION("""COMPUTED_VALUE"""),"James Tomazinis")</f>
        <v>James Tomazinis</v>
      </c>
      <c r="C465" t="str">
        <f>IFERROR(__xludf.DUMMYFUNCTION("""COMPUTED_VALUE"""),"james.tomazinis@floridadep.gov")</f>
        <v>james.tomazinis@floridadep.gov</v>
      </c>
      <c r="D465" t="str">
        <f>IFERROR(__xludf.DUMMYFUNCTION("""COMPUTED_VALUE"""),"Stewardship (Aquatic)")</f>
        <v>Stewardship (Aquatic)</v>
      </c>
      <c r="E465" t="str">
        <f>IFERROR(__xludf.DUMMYFUNCTION("""COMPUTED_VALUE"""),"Dee Dee Bartels and Holly Point")</f>
        <v>Dee Dee Bartels and Holly Point</v>
      </c>
      <c r="F465" s="13">
        <f>IFERROR(__xludf.DUMMYFUNCTION("""COMPUTED_VALUE"""),0.4166666666678793)</f>
        <v>0.4166666667</v>
      </c>
      <c r="G465" s="14">
        <f>IFERROR(__xludf.DUMMYFUNCTION("""COMPUTED_VALUE"""),43871.0)</f>
        <v>43871</v>
      </c>
      <c r="H465" t="str">
        <f>IFERROR(__xludf.DUMMYFUNCTION("""COMPUTED_VALUE"""),"NEAP WQ sites")</f>
        <v>NEAP WQ sites</v>
      </c>
      <c r="I465" s="15">
        <f>IFERROR(__xludf.DUMMYFUNCTION("""COMPUTED_VALUE"""),0.625)</f>
        <v>0.625</v>
      </c>
      <c r="J465" s="16"/>
      <c r="K465" t="str">
        <f>IFERROR(__xludf.DUMMYFUNCTION("""COMPUTED_VALUE"""),"17ft Skiff (Marsha) FL0642GW DEP07239")</f>
        <v>17ft Skiff (Marsha) FL0642GW DEP07239</v>
      </c>
      <c r="M465" t="str">
        <f>IFERROR(__xludf.DUMMYFUNCTION("""COMPUTED_VALUE"""),"Ford F150 2018 (AP) - DEP21637")</f>
        <v>Ford F150 2018 (AP) - DEP21637</v>
      </c>
      <c r="N465" t="str">
        <f>IFERROR(__xludf.DUMMYFUNCTION("""COMPUTED_VALUE"""),"Scott Eastman, (904) 501-9267, Jimmy Tomazinis, (904) 547-0094")</f>
        <v>Scott Eastman, (904) 501-9267, Jimmy Tomazinis, (904) 547-0094</v>
      </c>
      <c r="O465" t="str">
        <f>IFERROR(__xludf.DUMMYFUNCTION("""COMPUTED_VALUE"""),"Ashley Hurley")</f>
        <v>Ashley Hurley</v>
      </c>
      <c r="P465" t="str">
        <f>IFERROR(__xludf.DUMMYFUNCTION("""COMPUTED_VALUE"""),"Jimmy")</f>
        <v>Jimmy</v>
      </c>
      <c r="Q465" t="str">
        <f>IFERROR(__xludf.DUMMYFUNCTION("""COMPUTED_VALUE"""),"All items in working order")</f>
        <v>All items in working order</v>
      </c>
      <c r="AE465" s="11"/>
      <c r="AF465" t="s">
        <v>32</v>
      </c>
      <c r="AG465" s="17" t="s">
        <v>18</v>
      </c>
      <c r="AH465" s="12">
        <v>1320.0</v>
      </c>
      <c r="AI465" s="12" t="s">
        <v>1349</v>
      </c>
      <c r="AJ465" s="19" t="s">
        <v>1350</v>
      </c>
      <c r="AK465" s="20" t="str">
        <f>HYPERLINK("https://docs.google.com/document/d/1GzkY8izK06JsClfLYPWUgMRmQ1z2XstFMkeF9ixlJuU/edit?usp=drivesdk","James Tomazinis - 2/10/2020 10:00 AM")</f>
        <v>James Tomazinis - 2/10/2020 10:00 AM</v>
      </c>
      <c r="AL465" s="12" t="s">
        <v>1351</v>
      </c>
    </row>
    <row r="466">
      <c r="A466" s="10">
        <f>IFERROR(__xludf.DUMMYFUNCTION("""COMPUTED_VALUE"""),43871.37630462963)</f>
        <v>43871.3763</v>
      </c>
      <c r="B466" s="11" t="str">
        <f>IFERROR(__xludf.DUMMYFUNCTION("""COMPUTED_VALUE"""),"Jessica Lee")</f>
        <v>Jessica Lee</v>
      </c>
      <c r="C466" t="str">
        <f>IFERROR(__xludf.DUMMYFUNCTION("""COMPUTED_VALUE"""),"jessica.lee@FloridaDEP.gov")</f>
        <v>jessica.lee@FloridaDEP.gov</v>
      </c>
      <c r="D466" t="str">
        <f>IFERROR(__xludf.DUMMYFUNCTION("""COMPUTED_VALUE"""),"Research/Shannon")</f>
        <v>Research/Shannon</v>
      </c>
      <c r="E466" t="str">
        <f>IFERROR(__xludf.DUMMYFUNCTION("""COMPUTED_VALUE"""),"Guana")</f>
        <v>Guana</v>
      </c>
      <c r="F466" s="13">
        <f>IFERROR(__xludf.DUMMYFUNCTION("""COMPUTED_VALUE"""),0.4166666666678793)</f>
        <v>0.4166666667</v>
      </c>
      <c r="G466" s="14">
        <f>IFERROR(__xludf.DUMMYFUNCTION("""COMPUTED_VALUE"""),43871.0)</f>
        <v>43871</v>
      </c>
      <c r="H466" t="str">
        <f>IFERROR(__xludf.DUMMYFUNCTION("""COMPUTED_VALUE"""),"Guana River")</f>
        <v>Guana River</v>
      </c>
      <c r="I466" s="15">
        <f>IFERROR(__xludf.DUMMYFUNCTION("""COMPUTED_VALUE"""),0.5)</f>
        <v>0.5</v>
      </c>
      <c r="J466" s="16">
        <f>IFERROR(__xludf.DUMMYFUNCTION("""COMPUTED_VALUE"""),43871.52083333333)</f>
        <v>43871.52083</v>
      </c>
      <c r="K466" t="str">
        <f>IFERROR(__xludf.DUMMYFUNCTION("""COMPUTED_VALUE"""),"Jon Boat FL0484NP DEP06819")</f>
        <v>Jon Boat FL0484NP DEP06819</v>
      </c>
      <c r="M466" t="str">
        <f>IFERROR(__xludf.DUMMYFUNCTION("""COMPUTED_VALUE"""),"Ford F150 2008 (SWMP Thing) - DEP18041")</f>
        <v>Ford F150 2008 (SWMP Thing) - DEP18041</v>
      </c>
      <c r="N466" t="str">
        <f>IFERROR(__xludf.DUMMYFUNCTION("""COMPUTED_VALUE"""),"Nikki Dix, (352) 219-4079")</f>
        <v>Nikki Dix, (352) 219-4079</v>
      </c>
      <c r="O466" t="str">
        <f>IFERROR(__xludf.DUMMYFUNCTION("""COMPUTED_VALUE"""),"Erin Tice")</f>
        <v>Erin Tice</v>
      </c>
      <c r="P466" t="str">
        <f>IFERROR(__xludf.DUMMYFUNCTION("""COMPUTED_VALUE"""),"Nikki Dix")</f>
        <v>Nikki Dix</v>
      </c>
      <c r="Q466" t="str">
        <f>IFERROR(__xludf.DUMMYFUNCTION("""COMPUTED_VALUE"""),"All items in working order")</f>
        <v>All items in working order</v>
      </c>
      <c r="AE466" s="11"/>
      <c r="AF466" t="s">
        <v>269</v>
      </c>
      <c r="AG466" s="17" t="s">
        <v>18</v>
      </c>
      <c r="AH466" s="12">
        <v>1200.0</v>
      </c>
      <c r="AI466" s="12" t="s">
        <v>1352</v>
      </c>
      <c r="AJ466" s="19" t="s">
        <v>1353</v>
      </c>
      <c r="AK466" s="20" t="str">
        <f>HYPERLINK("https://docs.google.com/document/d/1Lso36k1FWGmJAnvnNYjIBwRDm4Ef21ZOWQtvphNocP4/edit?usp=drivesdk","Jessica Lee - 2/10/2020 10:00 AM")</f>
        <v>Jessica Lee - 2/10/2020 10:00 AM</v>
      </c>
      <c r="AL466" s="12" t="s">
        <v>1354</v>
      </c>
    </row>
    <row r="467">
      <c r="A467" s="10">
        <f>IFERROR(__xludf.DUMMYFUNCTION("""COMPUTED_VALUE"""),43871.565910486104)</f>
        <v>43871.56591</v>
      </c>
      <c r="B467" s="11" t="str">
        <f>IFERROR(__xludf.DUMMYFUNCTION("""COMPUTED_VALUE"""),"J Silas Tanner")</f>
        <v>J Silas Tanner</v>
      </c>
      <c r="C467" t="str">
        <f>IFERROR(__xludf.DUMMYFUNCTION("""COMPUTED_VALUE"""),"silas.tanner@floridadep.gov")</f>
        <v>silas.tanner@floridadep.gov</v>
      </c>
      <c r="D467" t="str">
        <f>IFERROR(__xludf.DUMMYFUNCTION("""COMPUTED_VALUE"""),"Research/Nikki")</f>
        <v>Research/Nikki</v>
      </c>
      <c r="E467" t="str">
        <f>IFERROR(__xludf.DUMMYFUNCTION("""COMPUTED_VALUE"""),"Vilano Landing")</f>
        <v>Vilano Landing</v>
      </c>
      <c r="F467" s="13">
        <f>IFERROR(__xludf.DUMMYFUNCTION("""COMPUTED_VALUE"""),0.3958333333321207)</f>
        <v>0.3958333333</v>
      </c>
      <c r="G467" s="14">
        <f>IFERROR(__xludf.DUMMYFUNCTION("""COMPUTED_VALUE"""),43872.0)</f>
        <v>43872</v>
      </c>
      <c r="H467" t="str">
        <f>IFERROR(__xludf.DUMMYFUNCTION("""COMPUTED_VALUE"""),"ICW SWMP sites")</f>
        <v>ICW SWMP sites</v>
      </c>
      <c r="I467" s="15">
        <f>IFERROR(__xludf.DUMMYFUNCTION("""COMPUTED_VALUE"""),0.6041666666678793)</f>
        <v>0.6041666667</v>
      </c>
      <c r="J467" s="16">
        <f>IFERROR(__xludf.DUMMYFUNCTION("""COMPUTED_VALUE"""),43872.625)</f>
        <v>43872.625</v>
      </c>
      <c r="K467" t="str">
        <f>IFERROR(__xludf.DUMMYFUNCTION("""COMPUTED_VALUE"""),"23ft Skiff (Bertha) FL7972LJ DEP07613")</f>
        <v>23ft Skiff (Bertha) FL7972LJ DEP07613</v>
      </c>
      <c r="M467" t="str">
        <f>IFERROR(__xludf.DUMMYFUNCTION("""COMPUTED_VALUE"""),"Ford F150 2015 (White) - DEP21448")</f>
        <v>Ford F150 2015 (White) - DEP21448</v>
      </c>
      <c r="N467" t="str">
        <f>IFERROR(__xludf.DUMMYFUNCTION("""COMPUTED_VALUE"""),"Silas Tanner, (904) 483-8423")</f>
        <v>Silas Tanner, (904) 483-8423</v>
      </c>
      <c r="O467" t="str">
        <f>IFERROR(__xludf.DUMMYFUNCTION("""COMPUTED_VALUE"""),"Alee Knoell, (619) 750-4833, Kaitlyn Campbell")</f>
        <v>Alee Knoell, (619) 750-4833, Kaitlyn Campbell</v>
      </c>
      <c r="P467" t="str">
        <f>IFERROR(__xludf.DUMMYFUNCTION("""COMPUTED_VALUE"""),"S. Tanner")</f>
        <v>S. Tanner</v>
      </c>
      <c r="Q467" t="str">
        <f>IFERROR(__xludf.DUMMYFUNCTION("""COMPUTED_VALUE"""),"All items in working order")</f>
        <v>All items in working order</v>
      </c>
      <c r="AE467" s="11"/>
      <c r="AF467" t="s">
        <v>218</v>
      </c>
      <c r="AG467" s="17" t="s">
        <v>18</v>
      </c>
      <c r="AH467" s="12">
        <v>1445.0</v>
      </c>
      <c r="AI467" s="12" t="s">
        <v>1355</v>
      </c>
      <c r="AJ467" s="19" t="s">
        <v>1356</v>
      </c>
      <c r="AK467" s="20" t="str">
        <f>HYPERLINK("https://docs.google.com/document/d/1q2m23PjSyDH6cKMBxl2b-8RlAo5GVdJl2Ouenx5a5uo/edit?usp=drivesdk","J Silas Tanner - 2/11/2020 9:30 AM")</f>
        <v>J Silas Tanner - 2/11/2020 9:30 AM</v>
      </c>
      <c r="AL467" s="12" t="s">
        <v>1357</v>
      </c>
    </row>
    <row r="468">
      <c r="A468" s="10">
        <f>IFERROR(__xludf.DUMMYFUNCTION("""COMPUTED_VALUE"""),43874.46721422453)</f>
        <v>43874.46721</v>
      </c>
      <c r="B468" s="11" t="str">
        <f>IFERROR(__xludf.DUMMYFUNCTION("""COMPUTED_VALUE"""),"J Silas Tanner")</f>
        <v>J Silas Tanner</v>
      </c>
      <c r="C468" t="str">
        <f>IFERROR(__xludf.DUMMYFUNCTION("""COMPUTED_VALUE"""),"silas.tanner@floridadep.gov")</f>
        <v>silas.tanner@floridadep.gov</v>
      </c>
      <c r="D468" t="str">
        <f>IFERROR(__xludf.DUMMYFUNCTION("""COMPUTED_VALUE"""),"Research/Pam")</f>
        <v>Research/Pam</v>
      </c>
      <c r="E468" t="str">
        <f>IFERROR(__xludf.DUMMYFUNCTION("""COMPUTED_VALUE"""),"Crane ramp")</f>
        <v>Crane ramp</v>
      </c>
      <c r="F468" s="13">
        <f>IFERROR(__xludf.DUMMYFUNCTION("""COMPUTED_VALUE"""),0.5006944444430701)</f>
        <v>0.5006944444</v>
      </c>
      <c r="G468" s="14">
        <f>IFERROR(__xludf.DUMMYFUNCTION("""COMPUTED_VALUE"""),43874.0)</f>
        <v>43874</v>
      </c>
      <c r="H468" t="str">
        <f>IFERROR(__xludf.DUMMYFUNCTION("""COMPUTED_VALUE"""),"Marsh Creek &amp; site 22 platforms")</f>
        <v>Marsh Creek &amp; site 22 platforms</v>
      </c>
      <c r="I468" s="15">
        <f>IFERROR(__xludf.DUMMYFUNCTION("""COMPUTED_VALUE"""),0.6666666666678793)</f>
        <v>0.6666666667</v>
      </c>
      <c r="J468" s="16">
        <f>IFERROR(__xludf.DUMMYFUNCTION("""COMPUTED_VALUE"""),43874.6875)</f>
        <v>43874.6875</v>
      </c>
      <c r="K468" t="str">
        <f>IFERROR(__xludf.DUMMYFUNCTION("""COMPUTED_VALUE"""),"20ft Sea Ark FL5351SJ UNF 2015")</f>
        <v>20ft Sea Ark FL5351SJ UNF 2015</v>
      </c>
      <c r="M468" t="str">
        <f>IFERROR(__xludf.DUMMYFUNCTION("""COMPUTED_VALUE"""),"Ford F250 2017 (Moby Dix) - DEP0021578")</f>
        <v>Ford F250 2017 (Moby Dix) - DEP0021578</v>
      </c>
      <c r="N468" t="str">
        <f>IFERROR(__xludf.DUMMYFUNCTION("""COMPUTED_VALUE"""),"Shannon Dunnigan, (803) 727-5734, Silas Tanner, (904) 483-8423")</f>
        <v>Shannon Dunnigan, (803) 727-5734, Silas Tanner, (904) 483-8423</v>
      </c>
      <c r="O468" t="str">
        <f>IFERROR(__xludf.DUMMYFUNCTION("""COMPUTED_VALUE"""),"Gabriela Canas, (904) 891-9743, Courtney Hackney")</f>
        <v>Gabriela Canas, (904) 891-9743, Courtney Hackney</v>
      </c>
      <c r="P468" t="str">
        <f>IFERROR(__xludf.DUMMYFUNCTION("""COMPUTED_VALUE"""),"S. Tanner")</f>
        <v>S. Tanner</v>
      </c>
      <c r="Q468" t="str">
        <f>IFERROR(__xludf.DUMMYFUNCTION("""COMPUTED_VALUE"""),"All items in working order")</f>
        <v>All items in working order</v>
      </c>
      <c r="AE468" s="11"/>
      <c r="AF468" t="s">
        <v>262</v>
      </c>
      <c r="AG468" s="17" t="s">
        <v>141</v>
      </c>
      <c r="AH468" s="12">
        <v>1408.0</v>
      </c>
      <c r="AI468" s="12" t="s">
        <v>1358</v>
      </c>
      <c r="AJ468" s="19" t="s">
        <v>1359</v>
      </c>
      <c r="AK468" s="20" t="str">
        <f>HYPERLINK("https://docs.google.com/document/d/1mNPO_GyVd2u4ik4BLnp61fbd_8_ai6qHicV6GLDH8k8/edit?usp=drivesdk","J Silas Tanner - 2/13/2020 12:01 PM")</f>
        <v>J Silas Tanner - 2/13/2020 12:01 PM</v>
      </c>
      <c r="AL468" s="12" t="s">
        <v>1360</v>
      </c>
    </row>
    <row r="469">
      <c r="A469" s="10">
        <f>IFERROR(__xludf.DUMMYFUNCTION("""COMPUTED_VALUE"""),43875.305054895834)</f>
        <v>43875.30505</v>
      </c>
      <c r="B469" s="11" t="str">
        <f>IFERROR(__xludf.DUMMYFUNCTION("""COMPUTED_VALUE"""),"Pam Marcum")</f>
        <v>Pam Marcum</v>
      </c>
      <c r="C469" t="str">
        <f>IFERROR(__xludf.DUMMYFUNCTION("""COMPUTED_VALUE"""),"pamela.marcum@floridadep.govs")</f>
        <v>pamela.marcum@floridadep.govs</v>
      </c>
      <c r="D469" t="str">
        <f>IFERROR(__xludf.DUMMYFUNCTION("""COMPUTED_VALUE"""),"Administration")</f>
        <v>Administration</v>
      </c>
      <c r="E469" t="str">
        <f>IFERROR(__xludf.DUMMYFUNCTION("""COMPUTED_VALUE"""),"Butler")</f>
        <v>Butler</v>
      </c>
      <c r="F469" s="13">
        <f>IFERROR(__xludf.DUMMYFUNCTION("""COMPUTED_VALUE"""),0.3125)</f>
        <v>0.3125</v>
      </c>
      <c r="G469" s="14">
        <f>IFERROR(__xludf.DUMMYFUNCTION("""COMPUTED_VALUE"""),43875.0)</f>
        <v>43875</v>
      </c>
      <c r="H469" t="str">
        <f>IFERROR(__xludf.DUMMYFUNCTION("""COMPUTED_VALUE"""),"Butler flats")</f>
        <v>Butler flats</v>
      </c>
      <c r="I469" s="15">
        <f>IFERROR(__xludf.DUMMYFUNCTION("""COMPUTED_VALUE"""),0.4583333333321207)</f>
        <v>0.4583333333</v>
      </c>
      <c r="J469" s="16">
        <f>IFERROR(__xludf.DUMMYFUNCTION("""COMPUTED_VALUE"""),43875.5)</f>
        <v>43875.5</v>
      </c>
      <c r="K469" t="str">
        <f>IFERROR(__xludf.DUMMYFUNCTION("""COMPUTED_VALUE"""),"17ft Skiff (Marsha) FL0642GW DEP07239")</f>
        <v>17ft Skiff (Marsha) FL0642GW DEP07239</v>
      </c>
      <c r="M469" t="str">
        <f>IFERROR(__xludf.DUMMYFUNCTION("""COMPUTED_VALUE"""),"Ford F150 2015 (White) - DEP21448")</f>
        <v>Ford F150 2015 (White) - DEP21448</v>
      </c>
      <c r="N469" t="str">
        <f>IFERROR(__xludf.DUMMYFUNCTION("""COMPUTED_VALUE"""),"Pam Marcum, (480) 332-5414")</f>
        <v>Pam Marcum, (480) 332-5414</v>
      </c>
      <c r="O469" t="str">
        <f>IFERROR(__xludf.DUMMYFUNCTION("""COMPUTED_VALUE"""),"Jeff Finnan, Mike Daragh")</f>
        <v>Jeff Finnan, Mike Daragh</v>
      </c>
      <c r="P469" t="str">
        <f>IFERROR(__xludf.DUMMYFUNCTION("""COMPUTED_VALUE"""),"Pam")</f>
        <v>Pam</v>
      </c>
      <c r="Q469" t="str">
        <f>IFERROR(__xludf.DUMMYFUNCTION("""COMPUTED_VALUE"""),"All items in working order")</f>
        <v>All items in working order</v>
      </c>
      <c r="AE469" s="11"/>
      <c r="AF469" t="s">
        <v>668</v>
      </c>
      <c r="AG469" s="18"/>
      <c r="AH469" s="12">
        <v>1019.0</v>
      </c>
      <c r="AI469" s="12" t="s">
        <v>1361</v>
      </c>
      <c r="AJ469" s="19" t="s">
        <v>1362</v>
      </c>
      <c r="AK469" s="20" t="str">
        <f>HYPERLINK("https://docs.google.com/document/d/1ePCO4KHagTKnQfElL5MNB80sbs6Ckddhbe23E2ORdR4/edit?usp=drivesdk","Pam Marcum - 2/14/2020 7:30 AM")</f>
        <v>Pam Marcum - 2/14/2020 7:30 AM</v>
      </c>
      <c r="AL469" s="12" t="s">
        <v>1363</v>
      </c>
    </row>
    <row r="470">
      <c r="A470" s="10">
        <f>IFERROR(__xludf.DUMMYFUNCTION("""COMPUTED_VALUE"""),43878.32801315973)</f>
        <v>43878.32801</v>
      </c>
      <c r="B470" s="11" t="str">
        <f>IFERROR(__xludf.DUMMYFUNCTION("""COMPUTED_VALUE"""),"Pamela Marcum")</f>
        <v>Pamela Marcum</v>
      </c>
      <c r="C470" t="str">
        <f>IFERROR(__xludf.DUMMYFUNCTION("""COMPUTED_VALUE"""),"Pamela.Marcum@floridadep.gov")</f>
        <v>Pamela.Marcum@floridadep.gov</v>
      </c>
      <c r="D470" t="str">
        <f>IFERROR(__xludf.DUMMYFUNCTION("""COMPUTED_VALUE"""),"Research/Shannon")</f>
        <v>Research/Shannon</v>
      </c>
      <c r="E470" t="str">
        <f>IFERROR(__xludf.DUMMYFUNCTION("""COMPUTED_VALUE"""),"Aunt Kate's")</f>
        <v>Aunt Kate's</v>
      </c>
      <c r="F470" s="13">
        <f>IFERROR(__xludf.DUMMYFUNCTION("""COMPUTED_VALUE"""),0.3541666666678793)</f>
        <v>0.3541666667</v>
      </c>
      <c r="G470" s="14">
        <f>IFERROR(__xludf.DUMMYFUNCTION("""COMPUTED_VALUE"""),43878.0)</f>
        <v>43878</v>
      </c>
      <c r="H470" t="str">
        <f>IFERROR(__xludf.DUMMYFUNCTION("""COMPUTED_VALUE"""),"guana river")</f>
        <v>guana river</v>
      </c>
      <c r="I470" s="15">
        <f>IFERROR(__xludf.DUMMYFUNCTION("""COMPUTED_VALUE"""),0.5208333333321207)</f>
        <v>0.5208333333</v>
      </c>
      <c r="J470" s="16">
        <f>IFERROR(__xludf.DUMMYFUNCTION("""COMPUTED_VALUE"""),43878.54166666667)</f>
        <v>43878.54167</v>
      </c>
      <c r="K470" t="str">
        <f>IFERROR(__xludf.DUMMYFUNCTION("""COMPUTED_VALUE"""),"20ft Sea Ark FL5351SJ UNF 2015")</f>
        <v>20ft Sea Ark FL5351SJ UNF 2015</v>
      </c>
      <c r="M470" t="str">
        <f>IFERROR(__xludf.DUMMYFUNCTION("""COMPUTED_VALUE"""),"Ford F250 2017 (Moby Dix) - DEP0021578")</f>
        <v>Ford F250 2017 (Moby Dix) - DEP0021578</v>
      </c>
      <c r="N470" t="str">
        <f>IFERROR(__xludf.DUMMYFUNCTION("""COMPUTED_VALUE"""),"Pam Marcum, (480) 332-5414")</f>
        <v>Pam Marcum, (480) 332-5414</v>
      </c>
      <c r="O470" t="str">
        <f>IFERROR(__xludf.DUMMYFUNCTION("""COMPUTED_VALUE"""),"Alee Knoell, (619) 750-4833, Mike Darragh, Stefana Moscardini, Kelly Sullivan, Paul Yonally")</f>
        <v>Alee Knoell, (619) 750-4833, Mike Darragh, Stefana Moscardini, Kelly Sullivan, Paul Yonally</v>
      </c>
      <c r="P470" t="str">
        <f>IFERROR(__xludf.DUMMYFUNCTION("""COMPUTED_VALUE"""),"Pam")</f>
        <v>Pam</v>
      </c>
      <c r="Q470" t="str">
        <f>IFERROR(__xludf.DUMMYFUNCTION("""COMPUTED_VALUE"""),"All items in working order")</f>
        <v>All items in working order</v>
      </c>
      <c r="AE470" s="11"/>
      <c r="AF470" t="s">
        <v>269</v>
      </c>
      <c r="AG470" s="17" t="s">
        <v>60</v>
      </c>
      <c r="AH470" s="12">
        <v>1245.0</v>
      </c>
      <c r="AI470" s="12" t="s">
        <v>1364</v>
      </c>
      <c r="AJ470" s="19" t="s">
        <v>1365</v>
      </c>
      <c r="AK470" s="20" t="str">
        <f>HYPERLINK("https://docs.google.com/document/d/1ZpHNgTfwEUWpacFvXODvASHbr6p2nOLQFoJ0GljaYLs/edit?usp=drivesdk","Pamela Marcum - 2/17/2020 8:30 AM")</f>
        <v>Pamela Marcum - 2/17/2020 8:30 AM</v>
      </c>
      <c r="AL470" s="12" t="s">
        <v>1366</v>
      </c>
    </row>
    <row r="471">
      <c r="A471" s="10">
        <f>IFERROR(__xludf.DUMMYFUNCTION("""COMPUTED_VALUE"""),43878.383327187505)</f>
        <v>43878.38333</v>
      </c>
      <c r="B471" s="11" t="str">
        <f>IFERROR(__xludf.DUMMYFUNCTION("""COMPUTED_VALUE"""),"James Tomazinis")</f>
        <v>James Tomazinis</v>
      </c>
      <c r="C471" t="str">
        <f>IFERROR(__xludf.DUMMYFUNCTION("""COMPUTED_VALUE"""),"james.tomazinis@floridadep.gov")</f>
        <v>james.tomazinis@floridadep.gov</v>
      </c>
      <c r="D471" t="str">
        <f>IFERROR(__xludf.DUMMYFUNCTION("""COMPUTED_VALUE"""),"Stewardship (Aquatic)")</f>
        <v>Stewardship (Aquatic)</v>
      </c>
      <c r="E471" t="str">
        <f>IFERROR(__xludf.DUMMYFUNCTION("""COMPUTED_VALUE"""),"Sawpit")</f>
        <v>Sawpit</v>
      </c>
      <c r="F471" s="13">
        <f>IFERROR(__xludf.DUMMYFUNCTION("""COMPUTED_VALUE"""),0.5)</f>
        <v>0.5</v>
      </c>
      <c r="G471" s="14">
        <f>IFERROR(__xludf.DUMMYFUNCTION("""COMPUTED_VALUE"""),43878.0)</f>
        <v>43878</v>
      </c>
      <c r="H471" t="str">
        <f>IFERROR(__xludf.DUMMYFUNCTION("""COMPUTED_VALUE"""),"Nassau/Amelia River Oyster Rakes")</f>
        <v>Nassau/Amelia River Oyster Rakes</v>
      </c>
      <c r="I471" s="15">
        <f>IFERROR(__xludf.DUMMYFUNCTION("""COMPUTED_VALUE"""),0.6666666666678793)</f>
        <v>0.6666666667</v>
      </c>
      <c r="J471" s="16"/>
      <c r="K471" t="str">
        <f>IFERROR(__xludf.DUMMYFUNCTION("""COMPUTED_VALUE"""),"23ft Skiff (Bertha) FL7972LJ DEP07613")</f>
        <v>23ft Skiff (Bertha) FL7972LJ DEP07613</v>
      </c>
      <c r="M471" t="str">
        <f>IFERROR(__xludf.DUMMYFUNCTION("""COMPUTED_VALUE"""),"Ford F150 2018 (AP) - DEP21637")</f>
        <v>Ford F150 2018 (AP) - DEP21637</v>
      </c>
      <c r="N471" t="str">
        <f>IFERROR(__xludf.DUMMYFUNCTION("""COMPUTED_VALUE"""),"Jimmy Tomazinis, (904) 547-0094")</f>
        <v>Jimmy Tomazinis, (904) 547-0094</v>
      </c>
      <c r="O471" t="str">
        <f>IFERROR(__xludf.DUMMYFUNCTION("""COMPUTED_VALUE"""),"Jean Olbert, Joe Marchionno and others")</f>
        <v>Jean Olbert, Joe Marchionno and others</v>
      </c>
      <c r="P471" t="str">
        <f>IFERROR(__xludf.DUMMYFUNCTION("""COMPUTED_VALUE"""),"Jimmy")</f>
        <v>Jimmy</v>
      </c>
      <c r="Q471" t="str">
        <f>IFERROR(__xludf.DUMMYFUNCTION("""COMPUTED_VALUE"""),"All items in working order")</f>
        <v>All items in working order</v>
      </c>
      <c r="AE471" s="11"/>
      <c r="AF471" t="s">
        <v>32</v>
      </c>
      <c r="AG471" s="17" t="s">
        <v>18</v>
      </c>
      <c r="AH471" s="12">
        <v>1540.0</v>
      </c>
      <c r="AI471" s="12" t="s">
        <v>1367</v>
      </c>
      <c r="AJ471" s="19" t="s">
        <v>1368</v>
      </c>
      <c r="AK471" s="20" t="str">
        <f>HYPERLINK("https://docs.google.com/document/d/1LGB0_A8ZWtOqleEzjTfQHtsoVacH_5UR0QbIFYLaSwY/edit?usp=drivesdk","James Tomazinis - 2/17/2020 12:00 PM")</f>
        <v>James Tomazinis - 2/17/2020 12:00 PM</v>
      </c>
      <c r="AL471" s="12" t="s">
        <v>1369</v>
      </c>
    </row>
    <row r="472">
      <c r="A472" s="10">
        <f>IFERROR(__xludf.DUMMYFUNCTION("""COMPUTED_VALUE"""),43879.37892613426)</f>
        <v>43879.37893</v>
      </c>
      <c r="B472" s="11" t="str">
        <f>IFERROR(__xludf.DUMMYFUNCTION("""COMPUTED_VALUE"""),"Pam Marcum")</f>
        <v>Pam Marcum</v>
      </c>
      <c r="C472" t="str">
        <f>IFERROR(__xludf.DUMMYFUNCTION("""COMPUTED_VALUE"""),"Pamela.Marcum@floridadep.gov")</f>
        <v>Pamela.Marcum@floridadep.gov</v>
      </c>
      <c r="D472" t="str">
        <f>IFERROR(__xludf.DUMMYFUNCTION("""COMPUTED_VALUE"""),"Research/Nikki")</f>
        <v>Research/Nikki</v>
      </c>
      <c r="E472" t="str">
        <f>IFERROR(__xludf.DUMMYFUNCTION("""COMPUTED_VALUE"""),"Aunt Kate's")</f>
        <v>Aunt Kate's</v>
      </c>
      <c r="F472" s="13">
        <f>IFERROR(__xludf.DUMMYFUNCTION("""COMPUTED_VALUE"""),0.3958333333321207)</f>
        <v>0.3958333333</v>
      </c>
      <c r="G472" s="14">
        <f>IFERROR(__xludf.DUMMYFUNCTION("""COMPUTED_VALUE"""),43879.0)</f>
        <v>43879</v>
      </c>
      <c r="H472" t="str">
        <f>IFERROR(__xludf.DUMMYFUNCTION("""COMPUTED_VALUE"""),"San Sebastian/Pine Island")</f>
        <v>San Sebastian/Pine Island</v>
      </c>
      <c r="I472" s="15">
        <f>IFERROR(__xludf.DUMMYFUNCTION("""COMPUTED_VALUE"""),0.5416666666678793)</f>
        <v>0.5416666667</v>
      </c>
      <c r="J472" s="16">
        <f>IFERROR(__xludf.DUMMYFUNCTION("""COMPUTED_VALUE"""),43879.5625)</f>
        <v>43879.5625</v>
      </c>
      <c r="K472" t="str">
        <f>IFERROR(__xludf.DUMMYFUNCTION("""COMPUTED_VALUE"""),"20ft Sea Ark FL5351SJ UNF 2015")</f>
        <v>20ft Sea Ark FL5351SJ UNF 2015</v>
      </c>
      <c r="M472" t="str">
        <f>IFERROR(__xludf.DUMMYFUNCTION("""COMPUTED_VALUE"""),"Ford F250 2017 (Moby Dix) - DEP0021578")</f>
        <v>Ford F250 2017 (Moby Dix) - DEP0021578</v>
      </c>
      <c r="N472" t="str">
        <f>IFERROR(__xludf.DUMMYFUNCTION("""COMPUTED_VALUE"""),"Pam Marcum, (480) 332-5414")</f>
        <v>Pam Marcum, (480) 332-5414</v>
      </c>
      <c r="O472" t="str">
        <f>IFERROR(__xludf.DUMMYFUNCTION("""COMPUTED_VALUE"""),"Alee Knoell, (619) 750-4833, Rauney Mitchell, Traci Yochum, Jeff Finnan, Chris Blanco")</f>
        <v>Alee Knoell, (619) 750-4833, Rauney Mitchell, Traci Yochum, Jeff Finnan, Chris Blanco</v>
      </c>
      <c r="P472" t="str">
        <f>IFERROR(__xludf.DUMMYFUNCTION("""COMPUTED_VALUE"""),"Pam")</f>
        <v>Pam</v>
      </c>
      <c r="Q472" t="str">
        <f>IFERROR(__xludf.DUMMYFUNCTION("""COMPUTED_VALUE"""),"All items in working order")</f>
        <v>All items in working order</v>
      </c>
      <c r="AE472" s="11"/>
      <c r="AF472" t="s">
        <v>218</v>
      </c>
      <c r="AG472" s="17" t="s">
        <v>18</v>
      </c>
      <c r="AH472" s="12">
        <v>1315.0</v>
      </c>
      <c r="AI472" s="12" t="s">
        <v>1370</v>
      </c>
      <c r="AJ472" s="19" t="s">
        <v>1371</v>
      </c>
      <c r="AK472" s="20" t="str">
        <f>HYPERLINK("https://docs.google.com/document/d/1RhI2g82fbFAKOgTn73GYXSoJOtPGjCugxGRLUVIJdgE/edit?usp=drivesdk","Pam Marcum - 2/18/2020 9:30 AM")</f>
        <v>Pam Marcum - 2/18/2020 9:30 AM</v>
      </c>
      <c r="AL472" s="12" t="s">
        <v>1372</v>
      </c>
    </row>
    <row r="473">
      <c r="A473" s="10">
        <f>IFERROR(__xludf.DUMMYFUNCTION("""COMPUTED_VALUE"""),43880.41746081018)</f>
        <v>43880.41746</v>
      </c>
      <c r="B473" s="11" t="str">
        <f>IFERROR(__xludf.DUMMYFUNCTION("""COMPUTED_VALUE"""),"Pamela Marcum")</f>
        <v>Pamela Marcum</v>
      </c>
      <c r="C473" t="str">
        <f>IFERROR(__xludf.DUMMYFUNCTION("""COMPUTED_VALUE"""),"Pamela.Marcum@FloridaDEP.gov")</f>
        <v>Pamela.Marcum@FloridaDEP.gov</v>
      </c>
      <c r="D473" t="str">
        <f>IFERROR(__xludf.DUMMYFUNCTION("""COMPUTED_VALUE"""),"Research/Nikki")</f>
        <v>Research/Nikki</v>
      </c>
      <c r="E473" t="str">
        <f>IFERROR(__xludf.DUMMYFUNCTION("""COMPUTED_VALUE"""),"Aunt Kate's")</f>
        <v>Aunt Kate's</v>
      </c>
      <c r="F473" s="13">
        <f>IFERROR(__xludf.DUMMYFUNCTION("""COMPUTED_VALUE"""),0.4375)</f>
        <v>0.4375</v>
      </c>
      <c r="G473" s="14">
        <f>IFERROR(__xludf.DUMMYFUNCTION("""COMPUTED_VALUE"""),43880.0)</f>
        <v>43880</v>
      </c>
      <c r="H473" t="str">
        <f>IFERROR(__xludf.DUMMYFUNCTION("""COMPUTED_VALUE"""),"Robinson's Creek")</f>
        <v>Robinson's Creek</v>
      </c>
      <c r="I473" s="15">
        <f>IFERROR(__xludf.DUMMYFUNCTION("""COMPUTED_VALUE"""),0.5208333333321207)</f>
        <v>0.5208333333</v>
      </c>
      <c r="J473" s="16">
        <f>IFERROR(__xludf.DUMMYFUNCTION("""COMPUTED_VALUE"""),43880.54166666667)</f>
        <v>43880.54167</v>
      </c>
      <c r="K473" t="str">
        <f>IFERROR(__xludf.DUMMYFUNCTION("""COMPUTED_VALUE"""),"20ft Sea Ark FL5351SJ UNF 2015")</f>
        <v>20ft Sea Ark FL5351SJ UNF 2015</v>
      </c>
      <c r="M473" t="str">
        <f>IFERROR(__xludf.DUMMYFUNCTION("""COMPUTED_VALUE"""),"Ford F250 2017 (Moby Dix) - DEP0021578")</f>
        <v>Ford F250 2017 (Moby Dix) - DEP0021578</v>
      </c>
      <c r="N473" t="str">
        <f>IFERROR(__xludf.DUMMYFUNCTION("""COMPUTED_VALUE"""),"Pam Marcum, (480) 332-5414")</f>
        <v>Pam Marcum, (480) 332-5414</v>
      </c>
      <c r="O473" t="str">
        <f>IFERROR(__xludf.DUMMYFUNCTION("""COMPUTED_VALUE"""),"Alee Knoell, (619) 750-4833, Jeff Finnan, Zach Lepera, Spencer Baba")</f>
        <v>Alee Knoell, (619) 750-4833, Jeff Finnan, Zach Lepera, Spencer Baba</v>
      </c>
      <c r="P473" t="str">
        <f>IFERROR(__xludf.DUMMYFUNCTION("""COMPUTED_VALUE"""),"Pam")</f>
        <v>Pam</v>
      </c>
      <c r="Q473" t="str">
        <f>IFERROR(__xludf.DUMMYFUNCTION("""COMPUTED_VALUE"""),"All items in working order")</f>
        <v>All items in working order</v>
      </c>
      <c r="AE473" s="11"/>
      <c r="AF473" t="s">
        <v>218</v>
      </c>
      <c r="AG473" s="17" t="s">
        <v>18</v>
      </c>
      <c r="AH473" s="12">
        <v>1300.0</v>
      </c>
      <c r="AI473" s="12" t="s">
        <v>1373</v>
      </c>
      <c r="AJ473" s="19" t="s">
        <v>1374</v>
      </c>
      <c r="AK473" s="20" t="str">
        <f>HYPERLINK("https://docs.google.com/document/d/141-rvnc8rquWsEyt7uGttPzhVWom2_hCURpb5ShysQk/edit?usp=drivesdk","Pamela Marcum - 2/19/2020 10:30 AM")</f>
        <v>Pamela Marcum - 2/19/2020 10:30 AM</v>
      </c>
      <c r="AL473" s="12" t="s">
        <v>1375</v>
      </c>
    </row>
    <row r="474">
      <c r="A474" s="10">
        <f>IFERROR(__xludf.DUMMYFUNCTION("""COMPUTED_VALUE"""),43881.46326886574)</f>
        <v>43881.46327</v>
      </c>
      <c r="B474" s="11" t="str">
        <f>IFERROR(__xludf.DUMMYFUNCTION("""COMPUTED_VALUE"""),"Pam Marcum")</f>
        <v>Pam Marcum</v>
      </c>
      <c r="C474" t="str">
        <f>IFERROR(__xludf.DUMMYFUNCTION("""COMPUTED_VALUE"""),"Pamela.Marcum@dep.state.fl.us")</f>
        <v>Pamela.Marcum@dep.state.fl.us</v>
      </c>
      <c r="D474" t="str">
        <f>IFERROR(__xludf.DUMMYFUNCTION("""COMPUTED_VALUE"""),"Administration")</f>
        <v>Administration</v>
      </c>
      <c r="E474" t="str">
        <f>IFERROR(__xludf.DUMMYFUNCTION("""COMPUTED_VALUE"""),"Aunt Kate's")</f>
        <v>Aunt Kate's</v>
      </c>
      <c r="F474" s="13">
        <f>IFERROR(__xludf.DUMMYFUNCTION("""COMPUTED_VALUE"""),0.4791666666678793)</f>
        <v>0.4791666667</v>
      </c>
      <c r="G474" s="14">
        <f>IFERROR(__xludf.DUMMYFUNCTION("""COMPUTED_VALUE"""),43881.0)</f>
        <v>43881</v>
      </c>
      <c r="H474" t="str">
        <f>IFERROR(__xludf.DUMMYFUNCTION("""COMPUTED_VALUE"""),"Guana River")</f>
        <v>Guana River</v>
      </c>
      <c r="I474" s="15">
        <f>IFERROR(__xludf.DUMMYFUNCTION("""COMPUTED_VALUE"""),0.5833333333321207)</f>
        <v>0.5833333333</v>
      </c>
      <c r="J474" s="16">
        <f>IFERROR(__xludf.DUMMYFUNCTION("""COMPUTED_VALUE"""),43881.60416666667)</f>
        <v>43881.60417</v>
      </c>
      <c r="K474" t="str">
        <f>IFERROR(__xludf.DUMMYFUNCTION("""COMPUTED_VALUE"""),"20ft Sea Ark FL5351SJ UNF 2015")</f>
        <v>20ft Sea Ark FL5351SJ UNF 2015</v>
      </c>
      <c r="M474" t="str">
        <f>IFERROR(__xludf.DUMMYFUNCTION("""COMPUTED_VALUE"""),"Ford F250 2017 (Moby Dix) - DEP0021578")</f>
        <v>Ford F250 2017 (Moby Dix) - DEP0021578</v>
      </c>
      <c r="N474" t="str">
        <f>IFERROR(__xludf.DUMMYFUNCTION("""COMPUTED_VALUE"""),"Nikki Dix, (352) 219-4079, Pam Marcum, (480) 332-5414, Jimmy Tomazinis, (904) 547-0094")</f>
        <v>Nikki Dix, (352) 219-4079, Pam Marcum, (480) 332-5414, Jimmy Tomazinis, (904) 547-0094</v>
      </c>
      <c r="O474" t="str">
        <f>IFERROR(__xludf.DUMMYFUNCTION("""COMPUTED_VALUE"""),"Alee Knoell, (619) 750-4833")</f>
        <v>Alee Knoell, (619) 750-4833</v>
      </c>
      <c r="P474" t="str">
        <f>IFERROR(__xludf.DUMMYFUNCTION("""COMPUTED_VALUE"""),"Pam")</f>
        <v>Pam</v>
      </c>
      <c r="Q474" t="str">
        <f>IFERROR(__xludf.DUMMYFUNCTION("""COMPUTED_VALUE"""),"All items in working order")</f>
        <v>All items in working order</v>
      </c>
      <c r="AE474" s="11"/>
      <c r="AF474" t="s">
        <v>668</v>
      </c>
      <c r="AG474" s="17" t="s">
        <v>60</v>
      </c>
      <c r="AH474" s="12">
        <v>1540.0</v>
      </c>
      <c r="AI474" s="12" t="s">
        <v>1376</v>
      </c>
      <c r="AJ474" s="19" t="s">
        <v>1377</v>
      </c>
      <c r="AK474" s="20" t="str">
        <f>HYPERLINK("https://docs.google.com/document/d/1Bpf7ojuRWo8Q2ilNRXfOzVHky-n3dnqdoLkTMDrGvlI/edit?usp=drivesdk","Pam Marcum - 2/20/2020 11:30 AM")</f>
        <v>Pam Marcum - 2/20/2020 11:30 AM</v>
      </c>
      <c r="AL474" s="12" t="s">
        <v>1378</v>
      </c>
    </row>
    <row r="475">
      <c r="A475" s="10">
        <f>IFERROR(__xludf.DUMMYFUNCTION("""COMPUTED_VALUE"""),43886.313399374994)</f>
        <v>43886.3134</v>
      </c>
      <c r="B475" s="11" t="str">
        <f>IFERROR(__xludf.DUMMYFUNCTION("""COMPUTED_VALUE"""),"J Silas Tanner")</f>
        <v>J Silas Tanner</v>
      </c>
      <c r="C475" t="str">
        <f>IFERROR(__xludf.DUMMYFUNCTION("""COMPUTED_VALUE"""),"silas.tanner@floridadep.gov")</f>
        <v>silas.tanner@floridadep.gov</v>
      </c>
      <c r="D475" t="str">
        <f>IFERROR(__xludf.DUMMYFUNCTION("""COMPUTED_VALUE"""),"Research/Nikki")</f>
        <v>Research/Nikki</v>
      </c>
      <c r="E475" t="str">
        <f>IFERROR(__xludf.DUMMYFUNCTION("""COMPUTED_VALUE"""),"Douglas Crane, Green Road")</f>
        <v>Douglas Crane, Green Road</v>
      </c>
      <c r="F475" s="13">
        <f>IFERROR(__xludf.DUMMYFUNCTION("""COMPUTED_VALUE"""),0.3854166666678793)</f>
        <v>0.3854166667</v>
      </c>
      <c r="G475" s="14">
        <f>IFERROR(__xludf.DUMMYFUNCTION("""COMPUTED_VALUE"""),43886.0)</f>
        <v>43886</v>
      </c>
      <c r="H475" t="str">
        <f>IFERROR(__xludf.DUMMYFUNCTION("""COMPUTED_VALUE"""),"ICW SWMP Sites: San Sebastian &amp; Fort Matanzas")</f>
        <v>ICW SWMP Sites: San Sebastian &amp; Fort Matanzas</v>
      </c>
      <c r="I475" s="15">
        <f>IFERROR(__xludf.DUMMYFUNCTION("""COMPUTED_VALUE"""),0.625)</f>
        <v>0.625</v>
      </c>
      <c r="J475" s="16">
        <f>IFERROR(__xludf.DUMMYFUNCTION("""COMPUTED_VALUE"""),43886.66666666667)</f>
        <v>43886.66667</v>
      </c>
      <c r="K475" t="str">
        <f>IFERROR(__xludf.DUMMYFUNCTION("""COMPUTED_VALUE"""),"20ft Sea Ark FL5351SJ UNF 2015")</f>
        <v>20ft Sea Ark FL5351SJ UNF 2015</v>
      </c>
      <c r="M475" t="str">
        <f>IFERROR(__xludf.DUMMYFUNCTION("""COMPUTED_VALUE"""),"Ford F250 2017 (Moby Dix) - DEP0021578")</f>
        <v>Ford F250 2017 (Moby Dix) - DEP0021578</v>
      </c>
      <c r="N475" t="str">
        <f>IFERROR(__xludf.DUMMYFUNCTION("""COMPUTED_VALUE"""),"Silas Tanner, (904) 483-8423")</f>
        <v>Silas Tanner, (904) 483-8423</v>
      </c>
      <c r="O475" t="str">
        <f>IFERROR(__xludf.DUMMYFUNCTION("""COMPUTED_VALUE"""),"Chris Blanco")</f>
        <v>Chris Blanco</v>
      </c>
      <c r="P475" t="str">
        <f>IFERROR(__xludf.DUMMYFUNCTION("""COMPUTED_VALUE"""),"S. Tanner")</f>
        <v>S. Tanner</v>
      </c>
      <c r="Q475" t="str">
        <f>IFERROR(__xludf.DUMMYFUNCTION("""COMPUTED_VALUE"""),"All items in working order")</f>
        <v>All items in working order</v>
      </c>
      <c r="AE475" s="11"/>
      <c r="AF475" t="s">
        <v>218</v>
      </c>
      <c r="AG475" s="17" t="s">
        <v>60</v>
      </c>
      <c r="AH475" s="12">
        <v>1345.0</v>
      </c>
      <c r="AI475" s="12" t="s">
        <v>1379</v>
      </c>
      <c r="AJ475" s="19" t="s">
        <v>1380</v>
      </c>
      <c r="AK475" s="20" t="str">
        <f>HYPERLINK("https://docs.google.com/document/d/1GJCy6Iex1X0y338RB7zPqTEUS_P0oXSt368XSaXCcXo/edit?usp=drivesdk","J Silas Tanner - 2/25/2020 9:15 AM")</f>
        <v>J Silas Tanner - 2/25/2020 9:15 AM</v>
      </c>
      <c r="AL475" s="12" t="s">
        <v>1381</v>
      </c>
    </row>
    <row r="476">
      <c r="A476" s="10">
        <f>IFERROR(__xludf.DUMMYFUNCTION("""COMPUTED_VALUE"""),43887.30994584491)</f>
        <v>43887.30995</v>
      </c>
      <c r="B476" s="11" t="str">
        <f>IFERROR(__xludf.DUMMYFUNCTION("""COMPUTED_VALUE"""),"Silas Tanner")</f>
        <v>Silas Tanner</v>
      </c>
      <c r="C476" t="str">
        <f>IFERROR(__xludf.DUMMYFUNCTION("""COMPUTED_VALUE"""),"silas.tanner@floridadep.gov")</f>
        <v>silas.tanner@floridadep.gov</v>
      </c>
      <c r="D476" t="str">
        <f>IFERROR(__xludf.DUMMYFUNCTION("""COMPUTED_VALUE"""),"Research/Nikki")</f>
        <v>Research/Nikki</v>
      </c>
      <c r="E476" t="str">
        <f>IFERROR(__xludf.DUMMYFUNCTION("""COMPUTED_VALUE"""),"ICW Palm Valley")</f>
        <v>ICW Palm Valley</v>
      </c>
      <c r="F476" s="13">
        <f>IFERROR(__xludf.DUMMYFUNCTION("""COMPUTED_VALUE"""),0.3229166666678793)</f>
        <v>0.3229166667</v>
      </c>
      <c r="G476" s="14">
        <f>IFERROR(__xludf.DUMMYFUNCTION("""COMPUTED_VALUE"""),43887.0)</f>
        <v>43887</v>
      </c>
      <c r="H476" t="str">
        <f>IFERROR(__xludf.DUMMYFUNCTION("""COMPUTED_VALUE"""),"ICW Pine Island SWMP station")</f>
        <v>ICW Pine Island SWMP station</v>
      </c>
      <c r="I476" s="15">
        <f>IFERROR(__xludf.DUMMYFUNCTION("""COMPUTED_VALUE"""),0.375)</f>
        <v>0.375</v>
      </c>
      <c r="J476" s="16">
        <f>IFERROR(__xludf.DUMMYFUNCTION("""COMPUTED_VALUE"""),43887.38541666667)</f>
        <v>43887.38542</v>
      </c>
      <c r="K476" t="str">
        <f>IFERROR(__xludf.DUMMYFUNCTION("""COMPUTED_VALUE"""),"20ft Sea Ark FL5351SJ UNF 2015")</f>
        <v>20ft Sea Ark FL5351SJ UNF 2015</v>
      </c>
      <c r="M476" t="str">
        <f>IFERROR(__xludf.DUMMYFUNCTION("""COMPUTED_VALUE"""),"Ford F250 2017 (Moby Dix) - DEP0021578")</f>
        <v>Ford F250 2017 (Moby Dix) - DEP0021578</v>
      </c>
      <c r="N476" t="str">
        <f>IFERROR(__xludf.DUMMYFUNCTION("""COMPUTED_VALUE"""),"Silas Tanner, (904) 483-8423")</f>
        <v>Silas Tanner, (904) 483-8423</v>
      </c>
      <c r="O476" t="str">
        <f>IFERROR(__xludf.DUMMYFUNCTION("""COMPUTED_VALUE"""),"Chris Blanco")</f>
        <v>Chris Blanco</v>
      </c>
      <c r="P476" t="str">
        <f>IFERROR(__xludf.DUMMYFUNCTION("""COMPUTED_VALUE"""),"S. Tanner")</f>
        <v>S. Tanner</v>
      </c>
      <c r="Q476" t="str">
        <f>IFERROR(__xludf.DUMMYFUNCTION("""COMPUTED_VALUE"""),"All items in working order")</f>
        <v>All items in working order</v>
      </c>
      <c r="AE476" s="11"/>
      <c r="AF476" t="s">
        <v>218</v>
      </c>
      <c r="AG476" s="17" t="s">
        <v>43</v>
      </c>
      <c r="AH476" s="12">
        <v>845.0</v>
      </c>
      <c r="AI476" s="12" t="s">
        <v>1382</v>
      </c>
      <c r="AJ476" s="19" t="s">
        <v>1383</v>
      </c>
      <c r="AK476" s="20" t="str">
        <f>HYPERLINK("https://docs.google.com/document/d/1I2AtTZU48vr_j58JnQ7CCqEsOX1W59aS-zCtRzHyvls/edit?usp=drivesdk","Silas Tanner - 2/26/2020 7:45 AM")</f>
        <v>Silas Tanner - 2/26/2020 7:45 AM</v>
      </c>
      <c r="AL476" s="12" t="s">
        <v>1384</v>
      </c>
    </row>
    <row r="477">
      <c r="A477" s="10">
        <f>IFERROR(__xludf.DUMMYFUNCTION("""COMPUTED_VALUE"""),43893.297057986114)</f>
        <v>43893.29706</v>
      </c>
      <c r="B477" s="11" t="str">
        <f>IFERROR(__xludf.DUMMYFUNCTION("""COMPUTED_VALUE"""),"Pam Marcum")</f>
        <v>Pam Marcum</v>
      </c>
      <c r="C477" t="str">
        <f>IFERROR(__xludf.DUMMYFUNCTION("""COMPUTED_VALUE"""),"pamela.marcum@floridadep.gov")</f>
        <v>pamela.marcum@floridadep.gov</v>
      </c>
      <c r="D477" t="str">
        <f>IFERROR(__xludf.DUMMYFUNCTION("""COMPUTED_VALUE"""),"Research/Nikki")</f>
        <v>Research/Nikki</v>
      </c>
      <c r="E477" t="str">
        <f>IFERROR(__xludf.DUMMYFUNCTION("""COMPUTED_VALUE"""),"Vilano")</f>
        <v>Vilano</v>
      </c>
      <c r="F477" s="13">
        <f>IFERROR(__xludf.DUMMYFUNCTION("""COMPUTED_VALUE"""),0.2916666666678793)</f>
        <v>0.2916666667</v>
      </c>
      <c r="G477" s="14">
        <f>IFERROR(__xludf.DUMMYFUNCTION("""COMPUTED_VALUE"""),43893.0)</f>
        <v>43893</v>
      </c>
      <c r="H477" t="str">
        <f>IFERROR(__xludf.DUMMYFUNCTION("""COMPUTED_VALUE"""),"Spat trees SR, GR, TR, SA, FM")</f>
        <v>Spat trees SR, GR, TR, SA, FM</v>
      </c>
      <c r="I477" s="15">
        <f>IFERROR(__xludf.DUMMYFUNCTION("""COMPUTED_VALUE"""),0.6666666666678793)</f>
        <v>0.6666666667</v>
      </c>
      <c r="J477" s="16">
        <f>IFERROR(__xludf.DUMMYFUNCTION("""COMPUTED_VALUE"""),43893.67708333333)</f>
        <v>43893.67708</v>
      </c>
      <c r="K477" t="str">
        <f>IFERROR(__xludf.DUMMYFUNCTION("""COMPUTED_VALUE"""),"20ft Sea Ark FL5351SJ UNF 2015")</f>
        <v>20ft Sea Ark FL5351SJ UNF 2015</v>
      </c>
      <c r="M477" t="str">
        <f>IFERROR(__xludf.DUMMYFUNCTION("""COMPUTED_VALUE"""),"Ford F250 2017 (Moby Dix) - DEP0021578")</f>
        <v>Ford F250 2017 (Moby Dix) - DEP0021578</v>
      </c>
      <c r="N477" t="str">
        <f>IFERROR(__xludf.DUMMYFUNCTION("""COMPUTED_VALUE"""),"Pam Marcum, (480) 332-5414")</f>
        <v>Pam Marcum, (480) 332-5414</v>
      </c>
      <c r="O477" t="str">
        <f>IFERROR(__xludf.DUMMYFUNCTION("""COMPUTED_VALUE"""),"Alee Knoell, (619) 750-4833, Adrienne Breef-Pilz (TR GR only)")</f>
        <v>Alee Knoell, (619) 750-4833, Adrienne Breef-Pilz (TR GR only)</v>
      </c>
      <c r="P477" t="str">
        <f>IFERROR(__xludf.DUMMYFUNCTION("""COMPUTED_VALUE"""),"Pam")</f>
        <v>Pam</v>
      </c>
      <c r="Q477" t="str">
        <f>IFERROR(__xludf.DUMMYFUNCTION("""COMPUTED_VALUE"""),"All items in working order")</f>
        <v>All items in working order</v>
      </c>
      <c r="AE477" s="11"/>
      <c r="AF477" t="s">
        <v>218</v>
      </c>
      <c r="AG477" s="17" t="s">
        <v>18</v>
      </c>
      <c r="AH477" s="12">
        <v>1530.0</v>
      </c>
      <c r="AI477" s="12" t="s">
        <v>1385</v>
      </c>
      <c r="AJ477" s="19" t="s">
        <v>1386</v>
      </c>
      <c r="AK477" s="20" t="str">
        <f>HYPERLINK("https://docs.google.com/document/d/1ul8UQMETh26VSjI04pzTDRAA7H0Qdpy0QDoLfZHiKdQ/edit?usp=drivesdk","Pam Marcum - 3/3/2020 7:00 AM")</f>
        <v>Pam Marcum - 3/3/2020 7:00 AM</v>
      </c>
      <c r="AL477" s="12" t="s">
        <v>1387</v>
      </c>
    </row>
    <row r="478">
      <c r="A478" s="10">
        <f>IFERROR(__xludf.DUMMYFUNCTION("""COMPUTED_VALUE"""),43894.47825983797)</f>
        <v>43894.47826</v>
      </c>
      <c r="B478" s="11" t="str">
        <f>IFERROR(__xludf.DUMMYFUNCTION("""COMPUTED_VALUE"""),"Shannon Dunnigan")</f>
        <v>Shannon Dunnigan</v>
      </c>
      <c r="C478" t="str">
        <f>IFERROR(__xludf.DUMMYFUNCTION("""COMPUTED_VALUE"""),"shannon.dunnigan@dep.state.fl.us")</f>
        <v>shannon.dunnigan@dep.state.fl.us</v>
      </c>
      <c r="D478" t="str">
        <f>IFERROR(__xludf.DUMMYFUNCTION("""COMPUTED_VALUE"""),"Research/Nikki")</f>
        <v>Research/Nikki</v>
      </c>
      <c r="E478" t="str">
        <f>IFERROR(__xludf.DUMMYFUNCTION("""COMPUTED_VALUE"""),"Crane")</f>
        <v>Crane</v>
      </c>
      <c r="F478" s="13">
        <f>IFERROR(__xludf.DUMMYFUNCTION("""COMPUTED_VALUE"""),0.5104166666678793)</f>
        <v>0.5104166667</v>
      </c>
      <c r="G478" s="14">
        <f>IFERROR(__xludf.DUMMYFUNCTION("""COMPUTED_VALUE"""),43894.0)</f>
        <v>43894</v>
      </c>
      <c r="H478" t="str">
        <f>IFERROR(__xludf.DUMMYFUNCTION("""COMPUTED_VALUE"""),"Gabby’s Creek")</f>
        <v>Gabby’s Creek</v>
      </c>
      <c r="I478" s="15">
        <f>IFERROR(__xludf.DUMMYFUNCTION("""COMPUTED_VALUE"""),0.7083333333321207)</f>
        <v>0.7083333333</v>
      </c>
      <c r="J478" s="16">
        <f>IFERROR(__xludf.DUMMYFUNCTION("""COMPUTED_VALUE"""),43894.75)</f>
        <v>43894.75</v>
      </c>
      <c r="K478" t="str">
        <f>IFERROR(__xludf.DUMMYFUNCTION("""COMPUTED_VALUE"""),"20ft Sea Ark FL5351SJ UNF 2015")</f>
        <v>20ft Sea Ark FL5351SJ UNF 2015</v>
      </c>
      <c r="M478" t="str">
        <f>IFERROR(__xludf.DUMMYFUNCTION("""COMPUTED_VALUE"""),"Ford F250 2017 (Moby Dix) - DEP0021578")</f>
        <v>Ford F250 2017 (Moby Dix) - DEP0021578</v>
      </c>
      <c r="N478" t="str">
        <f>IFERROR(__xludf.DUMMYFUNCTION("""COMPUTED_VALUE"""),"Shannon Dunnigan, (803) 727-5734")</f>
        <v>Shannon Dunnigan, (803) 727-5734</v>
      </c>
      <c r="O478" t="str">
        <f>IFERROR(__xludf.DUMMYFUNCTION("""COMPUTED_VALUE"""),"Gabriela Canas, (904) 891-9743, Alee Knoell, (619) 750-4833, Chris Blanco")</f>
        <v>Gabriela Canas, (904) 891-9743, Alee Knoell, (619) 750-4833, Chris Blanco</v>
      </c>
      <c r="P478" t="str">
        <f>IFERROR(__xludf.DUMMYFUNCTION("""COMPUTED_VALUE"""),"Shannon")</f>
        <v>Shannon</v>
      </c>
      <c r="Q478" t="str">
        <f>IFERROR(__xludf.DUMMYFUNCTION("""COMPUTED_VALUE"""),"All items in working order")</f>
        <v>All items in working order</v>
      </c>
      <c r="AE478" s="11"/>
      <c r="AF478" t="s">
        <v>218</v>
      </c>
      <c r="AG478" s="17" t="s">
        <v>43</v>
      </c>
      <c r="AH478" s="12">
        <v>1700.0</v>
      </c>
      <c r="AI478" s="12" t="s">
        <v>1388</v>
      </c>
      <c r="AJ478" s="19" t="s">
        <v>1389</v>
      </c>
      <c r="AK478" s="20" t="str">
        <f>HYPERLINK("https://docs.google.com/document/d/1QJ8qppcBqpikeIHSEle2xykj56OYREhWCr7N0Svg7Gw/edit?usp=drivesdk","Shannon Dunnigan - 3/4/2020 12:15 PM")</f>
        <v>Shannon Dunnigan - 3/4/2020 12:15 PM</v>
      </c>
      <c r="AL478" s="12" t="s">
        <v>1390</v>
      </c>
    </row>
    <row r="479">
      <c r="A479" s="10">
        <f>IFERROR(__xludf.DUMMYFUNCTION("""COMPUTED_VALUE"""),43896.33656585648)</f>
        <v>43896.33657</v>
      </c>
      <c r="B479" s="11" t="str">
        <f>IFERROR(__xludf.DUMMYFUNCTION("""COMPUTED_VALUE"""),"Alexandria Knoell")</f>
        <v>Alexandria Knoell</v>
      </c>
      <c r="C479" t="str">
        <f>IFERROR(__xludf.DUMMYFUNCTION("""COMPUTED_VALUE"""),"alee.knoell@floridadep.gov")</f>
        <v>alee.knoell@floridadep.gov</v>
      </c>
      <c r="D479" t="str">
        <f>IFERROR(__xludf.DUMMYFUNCTION("""COMPUTED_VALUE"""),"Research/Nikki")</f>
        <v>Research/Nikki</v>
      </c>
      <c r="E479" t="str">
        <f>IFERROR(__xludf.DUMMYFUNCTION("""COMPUTED_VALUE"""),"Crane")</f>
        <v>Crane</v>
      </c>
      <c r="F479" s="13">
        <f>IFERROR(__xludf.DUMMYFUNCTION("""COMPUTED_VALUE"""),0.3541666666678793)</f>
        <v>0.3541666667</v>
      </c>
      <c r="G479" s="14">
        <f>IFERROR(__xludf.DUMMYFUNCTION("""COMPUTED_VALUE"""),43896.0)</f>
        <v>43896</v>
      </c>
      <c r="H479" t="str">
        <f>IFERROR(__xludf.DUMMYFUNCTION("""COMPUTED_VALUE"""),"Gabbys creek")</f>
        <v>Gabbys creek</v>
      </c>
      <c r="I479" s="15">
        <f>IFERROR(__xludf.DUMMYFUNCTION("""COMPUTED_VALUE"""),0.6666666666678793)</f>
        <v>0.6666666667</v>
      </c>
      <c r="J479" s="16">
        <f>IFERROR(__xludf.DUMMYFUNCTION("""COMPUTED_VALUE"""),43957.6875)</f>
        <v>43957.6875</v>
      </c>
      <c r="K479" t="str">
        <f>IFERROR(__xludf.DUMMYFUNCTION("""COMPUTED_VALUE"""),"20ft Sea Ark FL5351SJ UNF 2015")</f>
        <v>20ft Sea Ark FL5351SJ UNF 2015</v>
      </c>
      <c r="M479" t="str">
        <f>IFERROR(__xludf.DUMMYFUNCTION("""COMPUTED_VALUE"""),"Ford F250 2017 (Moby Dix) - DEP0021578")</f>
        <v>Ford F250 2017 (Moby Dix) - DEP0021578</v>
      </c>
      <c r="N479" t="str">
        <f>IFERROR(__xludf.DUMMYFUNCTION("""COMPUTED_VALUE"""),"Gabby Canas")</f>
        <v>Gabby Canas</v>
      </c>
      <c r="O479" t="str">
        <f>IFERROR(__xludf.DUMMYFUNCTION("""COMPUTED_VALUE"""),"Alee Knoell, (619) 750-4833, Mathew Stirchio, Chris blanco, Julie Campbell ")</f>
        <v>Alee Knoell, (619) 750-4833, Mathew Stirchio, Chris blanco, Julie Campbell </v>
      </c>
      <c r="P479" t="str">
        <f>IFERROR(__xludf.DUMMYFUNCTION("""COMPUTED_VALUE"""),"Gabby Canas")</f>
        <v>Gabby Canas</v>
      </c>
      <c r="Q479" t="str">
        <f>IFERROR(__xludf.DUMMYFUNCTION("""COMPUTED_VALUE"""),"All items in working order")</f>
        <v>All items in working order</v>
      </c>
      <c r="AE479" s="11"/>
      <c r="AF479" t="s">
        <v>218</v>
      </c>
      <c r="AG479" s="17" t="s">
        <v>43</v>
      </c>
      <c r="AH479" s="12">
        <v>1600.0</v>
      </c>
      <c r="AI479" s="12" t="s">
        <v>1391</v>
      </c>
      <c r="AJ479" s="19" t="s">
        <v>1392</v>
      </c>
      <c r="AK479" s="20" t="str">
        <f>HYPERLINK("https://docs.google.com/document/d/1t_HbU2KMIckKkFaXHUZlIFIY1bDLUHLlTkApJ2_oJx8/edit?usp=drivesdk","Alexandria Knoell - 3/6/2020 8:30 AM")</f>
        <v>Alexandria Knoell - 3/6/2020 8:30 AM</v>
      </c>
      <c r="AL479" s="12" t="s">
        <v>1393</v>
      </c>
    </row>
    <row r="480">
      <c r="A480" s="10">
        <f>IFERROR(__xludf.DUMMYFUNCTION("""COMPUTED_VALUE"""),43899.32906851852)</f>
        <v>43899.32907</v>
      </c>
      <c r="B480" s="11" t="str">
        <f>IFERROR(__xludf.DUMMYFUNCTION("""COMPUTED_VALUE"""),"James Tomazinis")</f>
        <v>James Tomazinis</v>
      </c>
      <c r="C480" t="str">
        <f>IFERROR(__xludf.DUMMYFUNCTION("""COMPUTED_VALUE"""),"james.tomazinis@floridadep.gov")</f>
        <v>james.tomazinis@floridadep.gov</v>
      </c>
      <c r="D480" t="str">
        <f>IFERROR(__xludf.DUMMYFUNCTION("""COMPUTED_VALUE"""),"Stewardship (Aquatic)")</f>
        <v>Stewardship (Aquatic)</v>
      </c>
      <c r="E480" t="str">
        <f>IFERROR(__xludf.DUMMYFUNCTION("""COMPUTED_VALUE"""),"Holly Point, Dee Dee Bartels")</f>
        <v>Holly Point, Dee Dee Bartels</v>
      </c>
      <c r="F480" s="13">
        <f>IFERROR(__xludf.DUMMYFUNCTION("""COMPUTED_VALUE"""),0.4166666666678793)</f>
        <v>0.4166666667</v>
      </c>
      <c r="G480" s="14">
        <f>IFERROR(__xludf.DUMMYFUNCTION("""COMPUTED_VALUE"""),43899.0)</f>
        <v>43899</v>
      </c>
      <c r="H480" t="str">
        <f>IFERROR(__xludf.DUMMYFUNCTION("""COMPUTED_VALUE"""),"NEAP WQ Sites")</f>
        <v>NEAP WQ Sites</v>
      </c>
      <c r="I480" s="15">
        <f>IFERROR(__xludf.DUMMYFUNCTION("""COMPUTED_VALUE"""),0.625)</f>
        <v>0.625</v>
      </c>
      <c r="J480" s="16"/>
      <c r="K480" t="str">
        <f>IFERROR(__xludf.DUMMYFUNCTION("""COMPUTED_VALUE"""),"17ft Skiff (Marsha) FL0642GW DEP07239")</f>
        <v>17ft Skiff (Marsha) FL0642GW DEP07239</v>
      </c>
      <c r="M480" t="str">
        <f>IFERROR(__xludf.DUMMYFUNCTION("""COMPUTED_VALUE"""),"Ford F150 2010 (4 Door) - DEP07668")</f>
        <v>Ford F150 2010 (4 Door) - DEP07668</v>
      </c>
      <c r="N480" t="str">
        <f>IFERROR(__xludf.DUMMYFUNCTION("""COMPUTED_VALUE"""),"Jimmy Tomazinis, (904) 547-0094")</f>
        <v>Jimmy Tomazinis, (904) 547-0094</v>
      </c>
      <c r="O480" t="str">
        <f>IFERROR(__xludf.DUMMYFUNCTION("""COMPUTED_VALUE"""),"Suzi")</f>
        <v>Suzi</v>
      </c>
      <c r="P480" t="str">
        <f>IFERROR(__xludf.DUMMYFUNCTION("""COMPUTED_VALUE"""),"Jimmy")</f>
        <v>Jimmy</v>
      </c>
      <c r="Q480" t="str">
        <f>IFERROR(__xludf.DUMMYFUNCTION("""COMPUTED_VALUE"""),"All items in working order")</f>
        <v>All items in working order</v>
      </c>
      <c r="AE480" s="11"/>
      <c r="AF480" t="s">
        <v>32</v>
      </c>
      <c r="AG480" s="17" t="s">
        <v>18</v>
      </c>
      <c r="AH480" s="12">
        <v>1420.0</v>
      </c>
      <c r="AI480" s="12" t="s">
        <v>1394</v>
      </c>
      <c r="AJ480" s="19" t="s">
        <v>1395</v>
      </c>
      <c r="AK480" s="20" t="str">
        <f>HYPERLINK("https://docs.google.com/document/d/1P2c3NmveEvGKnZfUU2uvh3ndH8ul-gQOW4t1mqVBDUc/edit?usp=drivesdk","James Tomazinis - 3/9/2020 10:00 AM")</f>
        <v>James Tomazinis - 3/9/2020 10:00 AM</v>
      </c>
      <c r="AL480" s="12" t="s">
        <v>1396</v>
      </c>
    </row>
    <row r="481">
      <c r="A481" s="10">
        <f>IFERROR(__xludf.DUMMYFUNCTION("""COMPUTED_VALUE"""),43899.36991033565)</f>
        <v>43899.36991</v>
      </c>
      <c r="B481" s="11" t="str">
        <f>IFERROR(__xludf.DUMMYFUNCTION("""COMPUTED_VALUE"""),"Jessica Lee")</f>
        <v>Jessica Lee</v>
      </c>
      <c r="C481" t="str">
        <f>IFERROR(__xludf.DUMMYFUNCTION("""COMPUTED_VALUE"""),"jessica.lee@FloridaDEP.gov")</f>
        <v>jessica.lee@FloridaDEP.gov</v>
      </c>
      <c r="D481" t="str">
        <f>IFERROR(__xludf.DUMMYFUNCTION("""COMPUTED_VALUE"""),"Research/Nikki")</f>
        <v>Research/Nikki</v>
      </c>
      <c r="E481" t="str">
        <f>IFERROR(__xludf.DUMMYFUNCTION("""COMPUTED_VALUE"""),"Guana River")</f>
        <v>Guana River</v>
      </c>
      <c r="F481" s="13">
        <f>IFERROR(__xludf.DUMMYFUNCTION("""COMPUTED_VALUE"""),0.40625)</f>
        <v>0.40625</v>
      </c>
      <c r="G481" s="14">
        <f>IFERROR(__xludf.DUMMYFUNCTION("""COMPUTED_VALUE"""),43899.0)</f>
        <v>43899</v>
      </c>
      <c r="H481" t="str">
        <f>IFERROR(__xludf.DUMMYFUNCTION("""COMPUTED_VALUE"""),"Guana River")</f>
        <v>Guana River</v>
      </c>
      <c r="I481" s="15">
        <f>IFERROR(__xludf.DUMMYFUNCTION("""COMPUTED_VALUE"""),0.4791666666678793)</f>
        <v>0.4791666667</v>
      </c>
      <c r="J481" s="16">
        <f>IFERROR(__xludf.DUMMYFUNCTION("""COMPUTED_VALUE"""),43899.5)</f>
        <v>43899.5</v>
      </c>
      <c r="K481" t="str">
        <f>IFERROR(__xludf.DUMMYFUNCTION("""COMPUTED_VALUE"""),"Jon Boat FL0484NP DEP06819")</f>
        <v>Jon Boat FL0484NP DEP06819</v>
      </c>
      <c r="M481" t="str">
        <f>IFERROR(__xludf.DUMMYFUNCTION("""COMPUTED_VALUE"""),"Ford F250 2017 (Moby Dix) - DEP0021578")</f>
        <v>Ford F250 2017 (Moby Dix) - DEP0021578</v>
      </c>
      <c r="N481" t="str">
        <f>IFERROR(__xludf.DUMMYFUNCTION("""COMPUTED_VALUE"""),"Pam Marcum, (480) 332-5414")</f>
        <v>Pam Marcum, (480) 332-5414</v>
      </c>
      <c r="P481" t="str">
        <f>IFERROR(__xludf.DUMMYFUNCTION("""COMPUTED_VALUE"""),"Pam")</f>
        <v>Pam</v>
      </c>
      <c r="Q481" t="str">
        <f>IFERROR(__xludf.DUMMYFUNCTION("""COMPUTED_VALUE"""),"All items in working order")</f>
        <v>All items in working order</v>
      </c>
      <c r="AE481" s="11"/>
      <c r="AF481" t="s">
        <v>218</v>
      </c>
      <c r="AG481" s="17" t="s">
        <v>448</v>
      </c>
      <c r="AH481" s="12">
        <v>1130.0</v>
      </c>
      <c r="AI481" s="12" t="s">
        <v>1397</v>
      </c>
      <c r="AJ481" s="19" t="s">
        <v>1398</v>
      </c>
      <c r="AK481" s="20" t="str">
        <f>HYPERLINK("https://docs.google.com/document/d/1e08sBtJqFFpwenXSA3mAXTmmgBTa13oAmwQ_-AZbT-o/edit?usp=drivesdk","Jessica Lee - 3/9/2020 9:45 AM")</f>
        <v>Jessica Lee - 3/9/2020 9:45 AM</v>
      </c>
      <c r="AL481" s="12" t="s">
        <v>1399</v>
      </c>
    </row>
    <row r="482">
      <c r="A482" s="10">
        <f>IFERROR(__xludf.DUMMYFUNCTION("""COMPUTED_VALUE"""),43900.40784344907)</f>
        <v>43900.40784</v>
      </c>
      <c r="B482" s="11" t="str">
        <f>IFERROR(__xludf.DUMMYFUNCTION("""COMPUTED_VALUE"""),"Alexandria Knoell")</f>
        <v>Alexandria Knoell</v>
      </c>
      <c r="C482" t="str">
        <f>IFERROR(__xludf.DUMMYFUNCTION("""COMPUTED_VALUE"""),"alee.knoell@floridadep.gov")</f>
        <v>alee.knoell@floridadep.gov</v>
      </c>
      <c r="D482" t="str">
        <f>IFERROR(__xludf.DUMMYFUNCTION("""COMPUTED_VALUE"""),"Research/Pam")</f>
        <v>Research/Pam</v>
      </c>
      <c r="E482" t="str">
        <f>IFERROR(__xludf.DUMMYFUNCTION("""COMPUTED_VALUE"""),"Vilano")</f>
        <v>Vilano</v>
      </c>
      <c r="F482" s="13">
        <f>IFERROR(__xludf.DUMMYFUNCTION("""COMPUTED_VALUE"""),0.4166666666678793)</f>
        <v>0.4166666667</v>
      </c>
      <c r="G482" s="14">
        <f>IFERROR(__xludf.DUMMYFUNCTION("""COMPUTED_VALUE"""),43900.0)</f>
        <v>43900</v>
      </c>
      <c r="H482" t="str">
        <f>IFERROR(__xludf.DUMMYFUNCTION("""COMPUTED_VALUE"""),"Icw swmp sites")</f>
        <v>Icw swmp sites</v>
      </c>
      <c r="I482" s="15">
        <f>IFERROR(__xludf.DUMMYFUNCTION("""COMPUTED_VALUE"""),0.625)</f>
        <v>0.625</v>
      </c>
      <c r="J482" s="16">
        <f>IFERROR(__xludf.DUMMYFUNCTION("""COMPUTED_VALUE"""),43900.64583333333)</f>
        <v>43900.64583</v>
      </c>
      <c r="K482" t="str">
        <f>IFERROR(__xludf.DUMMYFUNCTION("""COMPUTED_VALUE"""),"23ft Skiff (Bertha) FL7972LJ DEP07613")</f>
        <v>23ft Skiff (Bertha) FL7972LJ DEP07613</v>
      </c>
      <c r="M482" t="str">
        <f>IFERROR(__xludf.DUMMYFUNCTION("""COMPUTED_VALUE"""),"Ford F250 2017 (Moby Dix) - DEP0021578")</f>
        <v>Ford F250 2017 (Moby Dix) - DEP0021578</v>
      </c>
      <c r="N482" t="str">
        <f>IFERROR(__xludf.DUMMYFUNCTION("""COMPUTED_VALUE"""),"Silas Tanner, (904) 483-8423")</f>
        <v>Silas Tanner, (904) 483-8423</v>
      </c>
      <c r="O482" t="str">
        <f>IFERROR(__xludf.DUMMYFUNCTION("""COMPUTED_VALUE"""),"Alee Knoell, (619) 750-4833, Chris Blanco")</f>
        <v>Alee Knoell, (619) 750-4833, Chris Blanco</v>
      </c>
      <c r="P482" t="str">
        <f>IFERROR(__xludf.DUMMYFUNCTION("""COMPUTED_VALUE"""),"James Silas Tanner ")</f>
        <v>James Silas Tanner </v>
      </c>
      <c r="Q482" t="str">
        <f>IFERROR(__xludf.DUMMYFUNCTION("""COMPUTED_VALUE"""),"All items in working order")</f>
        <v>All items in working order</v>
      </c>
      <c r="AE482" s="11"/>
      <c r="AF482" t="s">
        <v>262</v>
      </c>
      <c r="AG482" s="17" t="s">
        <v>141</v>
      </c>
      <c r="AH482" s="12">
        <v>1501.0</v>
      </c>
      <c r="AI482" s="12" t="s">
        <v>1400</v>
      </c>
      <c r="AJ482" s="19" t="s">
        <v>1401</v>
      </c>
      <c r="AK482" s="20" t="str">
        <f>HYPERLINK("https://docs.google.com/document/d/1PYruXjtnmoBwol6V6flRUmAVDTT2ew1vRytwXaJ8-S0/edit?usp=drivesdk","Alexandria Knoell - 3/10/2020 10:00 AM")</f>
        <v>Alexandria Knoell - 3/10/2020 10:00 AM</v>
      </c>
      <c r="AL482" s="12" t="s">
        <v>1402</v>
      </c>
    </row>
    <row r="483">
      <c r="A483" s="10">
        <f>IFERROR(__xludf.DUMMYFUNCTION("""COMPUTED_VALUE"""),43901.41088331019)</f>
        <v>43901.41088</v>
      </c>
      <c r="B483" s="11" t="str">
        <f>IFERROR(__xludf.DUMMYFUNCTION("""COMPUTED_VALUE"""),"Jessica Lee")</f>
        <v>Jessica Lee</v>
      </c>
      <c r="C483" t="str">
        <f>IFERROR(__xludf.DUMMYFUNCTION("""COMPUTED_VALUE"""),"jessica.lee@FloridaDEP.gov")</f>
        <v>jessica.lee@FloridaDEP.gov</v>
      </c>
      <c r="D483" t="str">
        <f>IFERROR(__xludf.DUMMYFUNCTION("""COMPUTED_VALUE"""),"Research/Nikki")</f>
        <v>Research/Nikki</v>
      </c>
      <c r="E483" t="str">
        <f>IFERROR(__xludf.DUMMYFUNCTION("""COMPUTED_VALUE"""),"Guana River")</f>
        <v>Guana River</v>
      </c>
      <c r="F483" s="13">
        <f>IFERROR(__xludf.DUMMYFUNCTION("""COMPUTED_VALUE"""),0.4895833333321207)</f>
        <v>0.4895833333</v>
      </c>
      <c r="G483" s="14">
        <f>IFERROR(__xludf.DUMMYFUNCTION("""COMPUTED_VALUE"""),43901.0)</f>
        <v>43901</v>
      </c>
      <c r="H483" t="str">
        <f>IFERROR(__xludf.DUMMYFUNCTION("""COMPUTED_VALUE"""),"Guana River")</f>
        <v>Guana River</v>
      </c>
      <c r="I483" s="15">
        <f>IFERROR(__xludf.DUMMYFUNCTION("""COMPUTED_VALUE"""),0.5520833333321207)</f>
        <v>0.5520833333</v>
      </c>
      <c r="J483" s="16">
        <f>IFERROR(__xludf.DUMMYFUNCTION("""COMPUTED_VALUE"""),43901.5625)</f>
        <v>43901.5625</v>
      </c>
      <c r="K483" t="str">
        <f>IFERROR(__xludf.DUMMYFUNCTION("""COMPUTED_VALUE"""),"Jon Boat FL0484NP DEP06819")</f>
        <v>Jon Boat FL0484NP DEP06819</v>
      </c>
      <c r="M483" t="str">
        <f>IFERROR(__xludf.DUMMYFUNCTION("""COMPUTED_VALUE"""),"Ford F150 2008 (SWMP Thing) - DEP18041")</f>
        <v>Ford F150 2008 (SWMP Thing) - DEP18041</v>
      </c>
      <c r="N483" t="str">
        <f>IFERROR(__xludf.DUMMYFUNCTION("""COMPUTED_VALUE"""),"Pam Marcum, (480) 332-5414")</f>
        <v>Pam Marcum, (480) 332-5414</v>
      </c>
      <c r="P483" t="str">
        <f>IFERROR(__xludf.DUMMYFUNCTION("""COMPUTED_VALUE"""),"Jess")</f>
        <v>Jess</v>
      </c>
      <c r="Q483" t="str">
        <f>IFERROR(__xludf.DUMMYFUNCTION("""COMPUTED_VALUE"""),"All items in working order")</f>
        <v>All items in working order</v>
      </c>
      <c r="AE483" s="11"/>
      <c r="AF483" t="s">
        <v>218</v>
      </c>
      <c r="AG483" s="17" t="s">
        <v>18</v>
      </c>
      <c r="AH483" s="12">
        <v>1230.0</v>
      </c>
      <c r="AI483" s="12" t="s">
        <v>1403</v>
      </c>
      <c r="AJ483" s="19" t="s">
        <v>1404</v>
      </c>
      <c r="AK483" s="20" t="str">
        <f>HYPERLINK("https://docs.google.com/document/d/17DpJQQVWVYncHaLGLqF9eLNSJ1q7pYx7n6G7Wv-Qn8Y/edit?usp=drivesdk","Jessica Lee - 3/11/2020 11:45 AM")</f>
        <v>Jessica Lee - 3/11/2020 11:45 AM</v>
      </c>
      <c r="AL483" s="12" t="s">
        <v>1405</v>
      </c>
    </row>
    <row r="484">
      <c r="A484" s="10">
        <f>IFERROR(__xludf.DUMMYFUNCTION("""COMPUTED_VALUE"""),43906.741598726854)</f>
        <v>43906.7416</v>
      </c>
      <c r="B484" s="11" t="str">
        <f>IFERROR(__xludf.DUMMYFUNCTION("""COMPUTED_VALUE"""),"Pam Marcum")</f>
        <v>Pam Marcum</v>
      </c>
      <c r="C484" t="str">
        <f>IFERROR(__xludf.DUMMYFUNCTION("""COMPUTED_VALUE"""),"pamela.marcum@dep.state.fl.us")</f>
        <v>pamela.marcum@dep.state.fl.us</v>
      </c>
      <c r="D484" t="str">
        <f>IFERROR(__xludf.DUMMYFUNCTION("""COMPUTED_VALUE"""),"Administration")</f>
        <v>Administration</v>
      </c>
      <c r="E484" t="str">
        <f>IFERROR(__xludf.DUMMYFUNCTION("""COMPUTED_VALUE"""),"Bings")</f>
        <v>Bings</v>
      </c>
      <c r="F484" s="13">
        <f>IFERROR(__xludf.DUMMYFUNCTION("""COMPUTED_VALUE"""),0.7395833333321207)</f>
        <v>0.7395833333</v>
      </c>
      <c r="G484" s="14">
        <f>IFERROR(__xludf.DUMMYFUNCTION("""COMPUTED_VALUE"""),43906.0)</f>
        <v>43906</v>
      </c>
      <c r="H484" t="str">
        <f>IFERROR(__xludf.DUMMYFUNCTION("""COMPUTED_VALUE"""),"Washington oaks platforms")</f>
        <v>Washington oaks platforms</v>
      </c>
      <c r="I484" s="15">
        <f>IFERROR(__xludf.DUMMYFUNCTION("""COMPUTED_VALUE"""),0.7916666666678793)</f>
        <v>0.7916666667</v>
      </c>
      <c r="J484" s="16">
        <f>IFERROR(__xludf.DUMMYFUNCTION("""COMPUTED_VALUE"""),43906.83333333333)</f>
        <v>43906.83333</v>
      </c>
      <c r="K484" t="str">
        <f>IFERROR(__xludf.DUMMYFUNCTION("""COMPUTED_VALUE"""),"20ft Sea Ark FL5351SJ UNF 2015")</f>
        <v>20ft Sea Ark FL5351SJ UNF 2015</v>
      </c>
      <c r="M484" t="str">
        <f>IFERROR(__xludf.DUMMYFUNCTION("""COMPUTED_VALUE"""),"Ford F150 2008 (SWMP Thing) - DEP18041")</f>
        <v>Ford F150 2008 (SWMP Thing) - DEP18041</v>
      </c>
      <c r="N484" t="str">
        <f>IFERROR(__xludf.DUMMYFUNCTION("""COMPUTED_VALUE"""),"Pam Marcum, (480) 332-5414")</f>
        <v>Pam Marcum, (480) 332-5414</v>
      </c>
      <c r="O484" t="str">
        <f>IFERROR(__xludf.DUMMYFUNCTION("""COMPUTED_VALUE"""),"Alee Knoell, (619) 750-4833")</f>
        <v>Alee Knoell, (619) 750-4833</v>
      </c>
      <c r="P484" t="str">
        <f>IFERROR(__xludf.DUMMYFUNCTION("""COMPUTED_VALUE"""),"Pam")</f>
        <v>Pam</v>
      </c>
      <c r="Q484" t="str">
        <f>IFERROR(__xludf.DUMMYFUNCTION("""COMPUTED_VALUE"""),"All items in working order")</f>
        <v>All items in working order</v>
      </c>
      <c r="AE484" s="11"/>
      <c r="AF484" t="s">
        <v>668</v>
      </c>
      <c r="AG484" s="17" t="s">
        <v>1406</v>
      </c>
      <c r="AH484" s="12">
        <v>1952.0</v>
      </c>
      <c r="AI484" s="12" t="s">
        <v>1407</v>
      </c>
      <c r="AJ484" s="19" t="s">
        <v>1408</v>
      </c>
      <c r="AK484" s="20" t="str">
        <f>HYPERLINK("https://docs.google.com/document/d/1QddUwrZdJV4ixLSWPW4dMpr5PP4hsvdstW26I4rlJwE/edit?usp=drivesdk","Pam Marcum - 3/16/2020 5:45 PM")</f>
        <v>Pam Marcum - 3/16/2020 5:45 PM</v>
      </c>
      <c r="AL484" s="12" t="s">
        <v>1409</v>
      </c>
    </row>
    <row r="485">
      <c r="A485" s="10">
        <f>IFERROR(__xludf.DUMMYFUNCTION("""COMPUTED_VALUE"""),43907.31685435185)</f>
        <v>43907.31685</v>
      </c>
      <c r="B485" s="11" t="str">
        <f>IFERROR(__xludf.DUMMYFUNCTION("""COMPUTED_VALUE"""),"Pam Marcum")</f>
        <v>Pam Marcum</v>
      </c>
      <c r="C485" t="str">
        <f>IFERROR(__xludf.DUMMYFUNCTION("""COMPUTED_VALUE"""),"pamela.marcum@floridadep.gov")</f>
        <v>pamela.marcum@floridadep.gov</v>
      </c>
      <c r="D485" t="str">
        <f>IFERROR(__xludf.DUMMYFUNCTION("""COMPUTED_VALUE"""),"Research/Nikki")</f>
        <v>Research/Nikki</v>
      </c>
      <c r="E485" t="str">
        <f>IFERROR(__xludf.DUMMYFUNCTION("""COMPUTED_VALUE"""),"Bings")</f>
        <v>Bings</v>
      </c>
      <c r="F485" s="13">
        <f>IFERROR(__xludf.DUMMYFUNCTION("""COMPUTED_VALUE"""),0.3125)</f>
        <v>0.3125</v>
      </c>
      <c r="G485" s="14">
        <f>IFERROR(__xludf.DUMMYFUNCTION("""COMPUTED_VALUE"""),43907.0)</f>
        <v>43907</v>
      </c>
      <c r="H485" t="str">
        <f>IFERROR(__xludf.DUMMYFUNCTION("""COMPUTED_VALUE"""),"Washington oaks platform")</f>
        <v>Washington oaks platform</v>
      </c>
      <c r="I485" s="15">
        <f>IFERROR(__xludf.DUMMYFUNCTION("""COMPUTED_VALUE"""),0.375)</f>
        <v>0.375</v>
      </c>
      <c r="J485" s="16">
        <f>IFERROR(__xludf.DUMMYFUNCTION("""COMPUTED_VALUE"""),43907.4375)</f>
        <v>43907.4375</v>
      </c>
      <c r="K485" t="str">
        <f>IFERROR(__xludf.DUMMYFUNCTION("""COMPUTED_VALUE"""),"20ft Sea Ark FL5351SJ UNF 2015")</f>
        <v>20ft Sea Ark FL5351SJ UNF 2015</v>
      </c>
      <c r="M485" t="str">
        <f>IFERROR(__xludf.DUMMYFUNCTION("""COMPUTED_VALUE"""),"Ford F150 2008 (SWMP Thing) - DEP18041")</f>
        <v>Ford F150 2008 (SWMP Thing) - DEP18041</v>
      </c>
      <c r="N485" t="str">
        <f>IFERROR(__xludf.DUMMYFUNCTION("""COMPUTED_VALUE"""),"Pam Marcum, (480) 332-5414")</f>
        <v>Pam Marcum, (480) 332-5414</v>
      </c>
      <c r="O485" t="str">
        <f>IFERROR(__xludf.DUMMYFUNCTION("""COMPUTED_VALUE"""),"Alee Knoell, (619) 750-4833")</f>
        <v>Alee Knoell, (619) 750-4833</v>
      </c>
      <c r="P485" t="str">
        <f>IFERROR(__xludf.DUMMYFUNCTION("""COMPUTED_VALUE"""),"Pam")</f>
        <v>Pam</v>
      </c>
      <c r="Q485" t="str">
        <f>IFERROR(__xludf.DUMMYFUNCTION("""COMPUTED_VALUE"""),"All items in working order")</f>
        <v>All items in working order</v>
      </c>
      <c r="AE485" s="11"/>
      <c r="AF485" t="s">
        <v>218</v>
      </c>
      <c r="AG485" s="17" t="s">
        <v>503</v>
      </c>
      <c r="AH485" s="12">
        <v>845.0</v>
      </c>
      <c r="AI485" s="12" t="s">
        <v>1410</v>
      </c>
      <c r="AJ485" s="19" t="s">
        <v>1411</v>
      </c>
      <c r="AK485" s="20" t="str">
        <f>HYPERLINK("https://docs.google.com/document/d/1rxH0rJ98dJK4X5bbJaoAGGflljfPw1gwfQL6B2O0ksM/edit?usp=drivesdk","Pam Marcum - 3/17/2020 7:30 AM")</f>
        <v>Pam Marcum - 3/17/2020 7:30 AM</v>
      </c>
      <c r="AL485" s="12" t="s">
        <v>1412</v>
      </c>
    </row>
    <row r="486">
      <c r="A486" s="10">
        <f>IFERROR(__xludf.DUMMYFUNCTION("""COMPUTED_VALUE"""),43908.36985476851)</f>
        <v>43908.36985</v>
      </c>
      <c r="B486" s="11" t="str">
        <f>IFERROR(__xludf.DUMMYFUNCTION("""COMPUTED_VALUE"""),"Pam Marcum")</f>
        <v>Pam Marcum</v>
      </c>
      <c r="C486" t="str">
        <f>IFERROR(__xludf.DUMMYFUNCTION("""COMPUTED_VALUE"""),"Pamela.Marcum@FloridaDEP.gov")</f>
        <v>Pamela.Marcum@FloridaDEP.gov</v>
      </c>
      <c r="D486" t="str">
        <f>IFERROR(__xludf.DUMMYFUNCTION("""COMPUTED_VALUE"""),"Research/Nikki")</f>
        <v>Research/Nikki</v>
      </c>
      <c r="E486" t="str">
        <f>IFERROR(__xludf.DUMMYFUNCTION("""COMPUTED_VALUE"""),"Aunt Kate's")</f>
        <v>Aunt Kate's</v>
      </c>
      <c r="F486" s="13">
        <f>IFERROR(__xludf.DUMMYFUNCTION("""COMPUTED_VALUE"""),0.3958333333321207)</f>
        <v>0.3958333333</v>
      </c>
      <c r="G486" s="14">
        <f>IFERROR(__xludf.DUMMYFUNCTION("""COMPUTED_VALUE"""),43908.0)</f>
        <v>43908</v>
      </c>
      <c r="H486" t="str">
        <f>IFERROR(__xludf.DUMMYFUNCTION("""COMPUTED_VALUE"""),"Hat Island")</f>
        <v>Hat Island</v>
      </c>
      <c r="I486" s="15">
        <f>IFERROR(__xludf.DUMMYFUNCTION("""COMPUTED_VALUE"""),0.4583333333321207)</f>
        <v>0.4583333333</v>
      </c>
      <c r="J486" s="16">
        <f>IFERROR(__xludf.DUMMYFUNCTION("""COMPUTED_VALUE"""),43908.47916666667)</f>
        <v>43908.47917</v>
      </c>
      <c r="K486" t="str">
        <f>IFERROR(__xludf.DUMMYFUNCTION("""COMPUTED_VALUE"""),"20ft Sea Ark FL5351SJ UNF 2015")</f>
        <v>20ft Sea Ark FL5351SJ UNF 2015</v>
      </c>
      <c r="M486" t="str">
        <f>IFERROR(__xludf.DUMMYFUNCTION("""COMPUTED_VALUE"""),"Ford F150 2008 (SWMP Thing) - DEP18041")</f>
        <v>Ford F150 2008 (SWMP Thing) - DEP18041</v>
      </c>
      <c r="N486" t="str">
        <f>IFERROR(__xludf.DUMMYFUNCTION("""COMPUTED_VALUE"""),"Pam Marcum, (480) 332-5414")</f>
        <v>Pam Marcum, (480) 332-5414</v>
      </c>
      <c r="O486" t="str">
        <f>IFERROR(__xludf.DUMMYFUNCTION("""COMPUTED_VALUE"""),"Alee Knoell, (619) 750-4833")</f>
        <v>Alee Knoell, (619) 750-4833</v>
      </c>
      <c r="P486" t="str">
        <f>IFERROR(__xludf.DUMMYFUNCTION("""COMPUTED_VALUE"""),"Pam")</f>
        <v>Pam</v>
      </c>
      <c r="Q486" t="str">
        <f>IFERROR(__xludf.DUMMYFUNCTION("""COMPUTED_VALUE"""),"All items in working order")</f>
        <v>All items in working order</v>
      </c>
      <c r="AE486" s="11"/>
      <c r="AF486" t="s">
        <v>218</v>
      </c>
      <c r="AG486" s="17" t="s">
        <v>115</v>
      </c>
      <c r="AH486" s="12">
        <v>1125.0</v>
      </c>
      <c r="AI486" s="12" t="s">
        <v>1413</v>
      </c>
      <c r="AJ486" s="19" t="s">
        <v>1414</v>
      </c>
      <c r="AK486" s="20" t="str">
        <f>HYPERLINK("https://docs.google.com/document/d/1F8W1BsCvrmv-v2LIuvU9wyI3HOyz_vu6ru4jTZf1DCY/edit?usp=drivesdk","Pam Marcum - 3/18/2020 9:30 AM")</f>
        <v>Pam Marcum - 3/18/2020 9:30 AM</v>
      </c>
      <c r="AL486" s="12" t="s">
        <v>1415</v>
      </c>
    </row>
    <row r="487">
      <c r="A487" s="10">
        <f>IFERROR(__xludf.DUMMYFUNCTION("""COMPUTED_VALUE"""),43908.62035174769)</f>
        <v>43908.62035</v>
      </c>
      <c r="B487" s="11" t="str">
        <f>IFERROR(__xludf.DUMMYFUNCTION("""COMPUTED_VALUE"""),"Pam Marcum")</f>
        <v>Pam Marcum</v>
      </c>
      <c r="C487" t="str">
        <f>IFERROR(__xludf.DUMMYFUNCTION("""COMPUTED_VALUE"""),"Pamela.Marcum@FloridaDEP.gov")</f>
        <v>Pamela.Marcum@FloridaDEP.gov</v>
      </c>
      <c r="D487" t="str">
        <f>IFERROR(__xludf.DUMMYFUNCTION("""COMPUTED_VALUE"""),"Administration")</f>
        <v>Administration</v>
      </c>
      <c r="E487" t="str">
        <f>IFERROR(__xludf.DUMMYFUNCTION("""COMPUTED_VALUE"""),"Aunt Kate's")</f>
        <v>Aunt Kate's</v>
      </c>
      <c r="F487" s="13">
        <f>IFERROR(__xludf.DUMMYFUNCTION("""COMPUTED_VALUE"""),0.6354166666678793)</f>
        <v>0.6354166667</v>
      </c>
      <c r="G487" s="14">
        <f>IFERROR(__xludf.DUMMYFUNCTION("""COMPUTED_VALUE"""),43908.0)</f>
        <v>43908</v>
      </c>
      <c r="H487" t="str">
        <f>IFERROR(__xludf.DUMMYFUNCTION("""COMPUTED_VALUE"""),"hat island")</f>
        <v>hat island</v>
      </c>
      <c r="I487" s="15">
        <f>IFERROR(__xludf.DUMMYFUNCTION("""COMPUTED_VALUE"""),0.7083333333321207)</f>
        <v>0.7083333333</v>
      </c>
      <c r="J487" s="16">
        <f>IFERROR(__xludf.DUMMYFUNCTION("""COMPUTED_VALUE"""),43908.71875)</f>
        <v>43908.71875</v>
      </c>
      <c r="K487" t="str">
        <f>IFERROR(__xludf.DUMMYFUNCTION("""COMPUTED_VALUE"""),"20ft Sea Ark FL5351SJ UNF 2015")</f>
        <v>20ft Sea Ark FL5351SJ UNF 2015</v>
      </c>
      <c r="M487" t="str">
        <f>IFERROR(__xludf.DUMMYFUNCTION("""COMPUTED_VALUE"""),"Ford F150 2008 (SWMP Thing) - DEP18041")</f>
        <v>Ford F150 2008 (SWMP Thing) - DEP18041</v>
      </c>
      <c r="N487" t="str">
        <f>IFERROR(__xludf.DUMMYFUNCTION("""COMPUTED_VALUE"""),"Pam Marcum, (480) 332-5414")</f>
        <v>Pam Marcum, (480) 332-5414</v>
      </c>
      <c r="O487" t="str">
        <f>IFERROR(__xludf.DUMMYFUNCTION("""COMPUTED_VALUE"""),"Alee Knoell, (619) 750-4833")</f>
        <v>Alee Knoell, (619) 750-4833</v>
      </c>
      <c r="P487" t="str">
        <f>IFERROR(__xludf.DUMMYFUNCTION("""COMPUTED_VALUE"""),"Pam")</f>
        <v>Pam</v>
      </c>
      <c r="Q487" t="str">
        <f>IFERROR(__xludf.DUMMYFUNCTION("""COMPUTED_VALUE"""),"All items in working order")</f>
        <v>All items in working order</v>
      </c>
      <c r="AE487" s="11"/>
      <c r="AF487" t="s">
        <v>668</v>
      </c>
      <c r="AG487" s="17" t="s">
        <v>503</v>
      </c>
      <c r="AH487" s="12">
        <v>1624.0</v>
      </c>
      <c r="AI487" s="12" t="s">
        <v>1416</v>
      </c>
      <c r="AJ487" s="19" t="s">
        <v>1417</v>
      </c>
      <c r="AK487" s="20" t="str">
        <f>HYPERLINK("https://docs.google.com/document/d/1exSR_49qEXTDF3RI0mOobFnMhkRjTAvhT5YDX3nR2bY/edit?usp=drivesdk","Pam Marcum - 3/18/2020 3:15 PM")</f>
        <v>Pam Marcum - 3/18/2020 3:15 PM</v>
      </c>
      <c r="AL487" s="12" t="s">
        <v>1418</v>
      </c>
    </row>
    <row r="488">
      <c r="A488" s="10">
        <f>IFERROR(__xludf.DUMMYFUNCTION("""COMPUTED_VALUE"""),43910.49422699073)</f>
        <v>43910.49423</v>
      </c>
      <c r="B488" s="11" t="str">
        <f>IFERROR(__xludf.DUMMYFUNCTION("""COMPUTED_VALUE"""),"Alexandria Knoell")</f>
        <v>Alexandria Knoell</v>
      </c>
      <c r="C488" t="str">
        <f>IFERROR(__xludf.DUMMYFUNCTION("""COMPUTED_VALUE"""),"alee.knoell@floridadep.gov")</f>
        <v>alee.knoell@floridadep.gov</v>
      </c>
      <c r="D488" t="str">
        <f>IFERROR(__xludf.DUMMYFUNCTION("""COMPUTED_VALUE"""),"Stewardship (Aquatic)")</f>
        <v>Stewardship (Aquatic)</v>
      </c>
      <c r="E488" t="str">
        <f>IFERROR(__xludf.DUMMYFUNCTION("""COMPUTED_VALUE"""),"Aunt Kates")</f>
        <v>Aunt Kates</v>
      </c>
      <c r="F488" s="13">
        <f>IFERROR(__xludf.DUMMYFUNCTION("""COMPUTED_VALUE"""),0.5104166666678793)</f>
        <v>0.5104166667</v>
      </c>
      <c r="G488" s="14">
        <f>IFERROR(__xludf.DUMMYFUNCTION("""COMPUTED_VALUE"""),43910.0)</f>
        <v>43910</v>
      </c>
      <c r="H488" t="str">
        <f>IFERROR(__xludf.DUMMYFUNCTION("""COMPUTED_VALUE"""),"Platforms")</f>
        <v>Platforms</v>
      </c>
      <c r="I488" s="15">
        <f>IFERROR(__xludf.DUMMYFUNCTION("""COMPUTED_VALUE"""),0.625)</f>
        <v>0.625</v>
      </c>
      <c r="J488" s="16">
        <f>IFERROR(__xludf.DUMMYFUNCTION("""COMPUTED_VALUE"""),43910.66666666667)</f>
        <v>43910.66667</v>
      </c>
      <c r="K488" t="str">
        <f>IFERROR(__xludf.DUMMYFUNCTION("""COMPUTED_VALUE"""),"20ft Sea Ark FL5351SJ UNF 2015")</f>
        <v>20ft Sea Ark FL5351SJ UNF 2015</v>
      </c>
      <c r="M488" t="str">
        <f>IFERROR(__xludf.DUMMYFUNCTION("""COMPUTED_VALUE"""),"Ford F150 2008 (SWMP Thing) - DEP18041")</f>
        <v>Ford F150 2008 (SWMP Thing) - DEP18041</v>
      </c>
      <c r="N488" t="str">
        <f>IFERROR(__xludf.DUMMYFUNCTION("""COMPUTED_VALUE"""),"Pam Marcum, (480) 332-5414")</f>
        <v>Pam Marcum, (480) 332-5414</v>
      </c>
      <c r="O488" t="str">
        <f>IFERROR(__xludf.DUMMYFUNCTION("""COMPUTED_VALUE"""),"Alee Knoell, (619) 750-4833")</f>
        <v>Alee Knoell, (619) 750-4833</v>
      </c>
      <c r="P488" t="str">
        <f>IFERROR(__xludf.DUMMYFUNCTION("""COMPUTED_VALUE"""),"Pam marcum")</f>
        <v>Pam marcum</v>
      </c>
      <c r="Q488" t="str">
        <f>IFERROR(__xludf.DUMMYFUNCTION("""COMPUTED_VALUE"""),"All items in working order")</f>
        <v>All items in working order</v>
      </c>
      <c r="AE488" s="11"/>
      <c r="AF488" t="s">
        <v>32</v>
      </c>
      <c r="AG488" s="17" t="s">
        <v>18</v>
      </c>
      <c r="AH488" s="12">
        <v>1435.0</v>
      </c>
      <c r="AI488" s="12" t="s">
        <v>1419</v>
      </c>
      <c r="AJ488" s="19" t="s">
        <v>1420</v>
      </c>
      <c r="AK488" s="20" t="str">
        <f>HYPERLINK("https://docs.google.com/document/d/1RHiYVjY9-4YF0lckv35EaQ4iFUfcAeZtNCiaiKv_ifE/edit?usp=drivesdk","Alexandria Knoell - 3/20/2020 12:15 PM")</f>
        <v>Alexandria Knoell - 3/20/2020 12:15 PM</v>
      </c>
      <c r="AL488" s="12" t="s">
        <v>1421</v>
      </c>
    </row>
    <row r="489">
      <c r="A489" s="10">
        <f>IFERROR(__xludf.DUMMYFUNCTION("""COMPUTED_VALUE"""),43910.67200489583)</f>
        <v>43910.672</v>
      </c>
      <c r="B489" s="11" t="str">
        <f>IFERROR(__xludf.DUMMYFUNCTION("""COMPUTED_VALUE"""),"Alexandria Knoell")</f>
        <v>Alexandria Knoell</v>
      </c>
      <c r="C489" t="str">
        <f>IFERROR(__xludf.DUMMYFUNCTION("""COMPUTED_VALUE"""),"alee.knoell@floridadep.gov")</f>
        <v>alee.knoell@floridadep.gov</v>
      </c>
      <c r="D489" t="str">
        <f>IFERROR(__xludf.DUMMYFUNCTION("""COMPUTED_VALUE"""),"Research/Nikki")</f>
        <v>Research/Nikki</v>
      </c>
      <c r="E489" t="str">
        <f>IFERROR(__xludf.DUMMYFUNCTION("""COMPUTED_VALUE"""),"Aunt kates")</f>
        <v>Aunt kates</v>
      </c>
      <c r="F489" s="13">
        <f>IFERROR(__xludf.DUMMYFUNCTION("""COMPUTED_VALUE"""),0.6666666666678793)</f>
        <v>0.6666666667</v>
      </c>
      <c r="G489" s="14">
        <f>IFERROR(__xludf.DUMMYFUNCTION("""COMPUTED_VALUE"""),43910.0)</f>
        <v>43910</v>
      </c>
      <c r="H489" t="str">
        <f>IFERROR(__xludf.DUMMYFUNCTION("""COMPUTED_VALUE"""),"Platforms ")</f>
        <v>Platforms </v>
      </c>
      <c r="I489" s="15">
        <f>IFERROR(__xludf.DUMMYFUNCTION("""COMPUTED_VALUE"""),0.75)</f>
        <v>0.75</v>
      </c>
      <c r="J489" s="16">
        <f>IFERROR(__xludf.DUMMYFUNCTION("""COMPUTED_VALUE"""),43910.77083333333)</f>
        <v>43910.77083</v>
      </c>
      <c r="K489" t="str">
        <f>IFERROR(__xludf.DUMMYFUNCTION("""COMPUTED_VALUE"""),"20ft Sea Ark FL5351SJ UNF 2015")</f>
        <v>20ft Sea Ark FL5351SJ UNF 2015</v>
      </c>
      <c r="M489" t="str">
        <f>IFERROR(__xludf.DUMMYFUNCTION("""COMPUTED_VALUE"""),"Ford F150 2008 (SWMP Thing) - DEP18041")</f>
        <v>Ford F150 2008 (SWMP Thing) - DEP18041</v>
      </c>
      <c r="N489" t="str">
        <f>IFERROR(__xludf.DUMMYFUNCTION("""COMPUTED_VALUE"""),"Pam Marcum, (480) 332-5414")</f>
        <v>Pam Marcum, (480) 332-5414</v>
      </c>
      <c r="O489" t="str">
        <f>IFERROR(__xludf.DUMMYFUNCTION("""COMPUTED_VALUE"""),"Alee Knoell, (619) 750-4833")</f>
        <v>Alee Knoell, (619) 750-4833</v>
      </c>
      <c r="P489" t="str">
        <f>IFERROR(__xludf.DUMMYFUNCTION("""COMPUTED_VALUE"""),"Pam marcum")</f>
        <v>Pam marcum</v>
      </c>
      <c r="Q489" t="str">
        <f>IFERROR(__xludf.DUMMYFUNCTION("""COMPUTED_VALUE"""),"All items in working order")</f>
        <v>All items in working order</v>
      </c>
      <c r="AE489" s="11"/>
      <c r="AF489" t="s">
        <v>218</v>
      </c>
      <c r="AG489" s="17" t="s">
        <v>43</v>
      </c>
      <c r="AH489" s="12">
        <v>1835.0</v>
      </c>
      <c r="AI489" s="12" t="s">
        <v>1422</v>
      </c>
      <c r="AJ489" s="19" t="s">
        <v>1423</v>
      </c>
      <c r="AK489" s="20" t="str">
        <f>HYPERLINK("https://docs.google.com/document/d/1ht4KR4PwKwVAbilS9T0Jtztvf1v3rhtaFwZhObvyNLw/edit?usp=drivesdk","Alexandria Knoell - 3/20/2020 4:00 PM")</f>
        <v>Alexandria Knoell - 3/20/2020 4:00 PM</v>
      </c>
      <c r="AL489" s="12" t="s">
        <v>1424</v>
      </c>
    </row>
    <row r="490">
      <c r="A490" s="10">
        <f>IFERROR(__xludf.DUMMYFUNCTION("""COMPUTED_VALUE"""),43913.44119835648)</f>
        <v>43913.4412</v>
      </c>
      <c r="B490" s="11" t="str">
        <f>IFERROR(__xludf.DUMMYFUNCTION("""COMPUTED_VALUE"""),"Pam Marcum")</f>
        <v>Pam Marcum</v>
      </c>
      <c r="C490" t="str">
        <f>IFERROR(__xludf.DUMMYFUNCTION("""COMPUTED_VALUE"""),"pamela.marcum@floridadep.gov")</f>
        <v>pamela.marcum@floridadep.gov</v>
      </c>
      <c r="D490" t="str">
        <f>IFERROR(__xludf.DUMMYFUNCTION("""COMPUTED_VALUE"""),"Research/Nikki")</f>
        <v>Research/Nikki</v>
      </c>
      <c r="E490" t="str">
        <f>IFERROR(__xludf.DUMMYFUNCTION("""COMPUTED_VALUE"""),"Bings")</f>
        <v>Bings</v>
      </c>
      <c r="F490" s="13">
        <f>IFERROR(__xludf.DUMMYFUNCTION("""COMPUTED_VALUE"""),0.4375)</f>
        <v>0.4375</v>
      </c>
      <c r="G490" s="14">
        <f>IFERROR(__xludf.DUMMYFUNCTION("""COMPUTED_VALUE"""),43913.0)</f>
        <v>43913</v>
      </c>
      <c r="H490" t="str">
        <f>IFERROR(__xludf.DUMMYFUNCTION("""COMPUTED_VALUE"""),"Washington oaks platform")</f>
        <v>Washington oaks platform</v>
      </c>
      <c r="I490" s="15">
        <f>IFERROR(__xludf.DUMMYFUNCTION("""COMPUTED_VALUE"""),0.5416666666678793)</f>
        <v>0.5416666667</v>
      </c>
      <c r="J490" s="16">
        <f>IFERROR(__xludf.DUMMYFUNCTION("""COMPUTED_VALUE"""),43913.5625)</f>
        <v>43913.5625</v>
      </c>
      <c r="K490" t="str">
        <f>IFERROR(__xludf.DUMMYFUNCTION("""COMPUTED_VALUE"""),"20ft Sea Ark FL5351SJ UNF 2015")</f>
        <v>20ft Sea Ark FL5351SJ UNF 2015</v>
      </c>
      <c r="M490" t="str">
        <f>IFERROR(__xludf.DUMMYFUNCTION("""COMPUTED_VALUE"""),"Ford F150 2015 (White) - DEP21448")</f>
        <v>Ford F150 2015 (White) - DEP21448</v>
      </c>
      <c r="N490" t="str">
        <f>IFERROR(__xludf.DUMMYFUNCTION("""COMPUTED_VALUE"""),"Pam Marcum, (480) 332-5414")</f>
        <v>Pam Marcum, (480) 332-5414</v>
      </c>
      <c r="O490" t="str">
        <f>IFERROR(__xludf.DUMMYFUNCTION("""COMPUTED_VALUE"""),"Alee Knoell, (619) 750-4833")</f>
        <v>Alee Knoell, (619) 750-4833</v>
      </c>
      <c r="P490" t="str">
        <f>IFERROR(__xludf.DUMMYFUNCTION("""COMPUTED_VALUE"""),"Pam")</f>
        <v>Pam</v>
      </c>
      <c r="Q490" t="str">
        <f>IFERROR(__xludf.DUMMYFUNCTION("""COMPUTED_VALUE"""),"All items in working order")</f>
        <v>All items in working order</v>
      </c>
      <c r="AE490" s="11"/>
      <c r="AF490" t="s">
        <v>218</v>
      </c>
      <c r="AG490" s="17" t="s">
        <v>18</v>
      </c>
      <c r="AH490" s="12">
        <v>1240.0</v>
      </c>
      <c r="AI490" s="12" t="s">
        <v>1425</v>
      </c>
      <c r="AJ490" s="19" t="s">
        <v>1426</v>
      </c>
      <c r="AK490" s="20" t="str">
        <f>HYPERLINK("https://docs.google.com/document/d/1cRqHYijxrV4_pPbX7RD-5IfiCLeFdjnQzlrF8IOye4A/edit?usp=drivesdk","Pam Marcum - 3/23/2020 10:30 AM")</f>
        <v>Pam Marcum - 3/23/2020 10:30 AM</v>
      </c>
      <c r="AL490" s="12" t="s">
        <v>1427</v>
      </c>
    </row>
    <row r="491">
      <c r="A491" s="10">
        <f>IFERROR(__xludf.DUMMYFUNCTION("""COMPUTED_VALUE"""),43913.626542523154)</f>
        <v>43913.62654</v>
      </c>
      <c r="B491" s="11" t="str">
        <f>IFERROR(__xludf.DUMMYFUNCTION("""COMPUTED_VALUE"""),"Pamela Marcum")</f>
        <v>Pamela Marcum</v>
      </c>
      <c r="C491" t="str">
        <f>IFERROR(__xludf.DUMMYFUNCTION("""COMPUTED_VALUE"""),"Pamela.Marcum@floridadep.gov")</f>
        <v>Pamela.Marcum@floridadep.gov</v>
      </c>
      <c r="D491" t="str">
        <f>IFERROR(__xludf.DUMMYFUNCTION("""COMPUTED_VALUE"""),"Research/Nikki")</f>
        <v>Research/Nikki</v>
      </c>
      <c r="E491" t="str">
        <f>IFERROR(__xludf.DUMMYFUNCTION("""COMPUTED_VALUE"""),"Bings")</f>
        <v>Bings</v>
      </c>
      <c r="F491" s="13">
        <f>IFERROR(__xludf.DUMMYFUNCTION("""COMPUTED_VALUE"""),0.625)</f>
        <v>0.625</v>
      </c>
      <c r="G491" s="14">
        <f>IFERROR(__xludf.DUMMYFUNCTION("""COMPUTED_VALUE"""),43913.0)</f>
        <v>43913</v>
      </c>
      <c r="H491" t="str">
        <f>IFERROR(__xludf.DUMMYFUNCTION("""COMPUTED_VALUE"""),"Washington oaks platform")</f>
        <v>Washington oaks platform</v>
      </c>
      <c r="I491" s="15">
        <f>IFERROR(__xludf.DUMMYFUNCTION("""COMPUTED_VALUE"""),0.6875)</f>
        <v>0.6875</v>
      </c>
      <c r="J491" s="16">
        <f>IFERROR(__xludf.DUMMYFUNCTION("""COMPUTED_VALUE"""),43913.72916666667)</f>
        <v>43913.72917</v>
      </c>
      <c r="K491" t="str">
        <f>IFERROR(__xludf.DUMMYFUNCTION("""COMPUTED_VALUE"""),"20ft Sea Ark FL5351SJ UNF 2015")</f>
        <v>20ft Sea Ark FL5351SJ UNF 2015</v>
      </c>
      <c r="M491" t="str">
        <f>IFERROR(__xludf.DUMMYFUNCTION("""COMPUTED_VALUE"""),"Ford F150 2015 (White) - DEP21448")</f>
        <v>Ford F150 2015 (White) - DEP21448</v>
      </c>
      <c r="N491" t="str">
        <f>IFERROR(__xludf.DUMMYFUNCTION("""COMPUTED_VALUE"""),"Pam Marcum, (480) 332-5414")</f>
        <v>Pam Marcum, (480) 332-5414</v>
      </c>
      <c r="O491" t="str">
        <f>IFERROR(__xludf.DUMMYFUNCTION("""COMPUTED_VALUE"""),"Alee Knoell, (619) 750-4833")</f>
        <v>Alee Knoell, (619) 750-4833</v>
      </c>
      <c r="P491" t="str">
        <f>IFERROR(__xludf.DUMMYFUNCTION("""COMPUTED_VALUE"""),"Pam")</f>
        <v>Pam</v>
      </c>
      <c r="Q491" t="str">
        <f>IFERROR(__xludf.DUMMYFUNCTION("""COMPUTED_VALUE"""),"All items in working order")</f>
        <v>All items in working order</v>
      </c>
      <c r="AE491" s="11"/>
      <c r="AF491" t="s">
        <v>218</v>
      </c>
      <c r="AG491" s="17" t="s">
        <v>115</v>
      </c>
      <c r="AH491" s="12">
        <v>1650.0</v>
      </c>
      <c r="AI491" s="12" t="s">
        <v>1428</v>
      </c>
      <c r="AJ491" s="19" t="s">
        <v>1429</v>
      </c>
      <c r="AK491" s="20" t="str">
        <f>HYPERLINK("https://docs.google.com/document/d/1bJjngFVPOFzo5ER4E-G5LhmHysIoL1jI-vCNoprStLg/edit?usp=drivesdk","Pamela Marcum - 3/23/2020 3:00 PM")</f>
        <v>Pamela Marcum - 3/23/2020 3:00 PM</v>
      </c>
      <c r="AL491" s="12" t="s">
        <v>1430</v>
      </c>
    </row>
    <row r="492">
      <c r="A492" s="10">
        <f>IFERROR(__xludf.DUMMYFUNCTION("""COMPUTED_VALUE"""),43914.42500164352)</f>
        <v>43914.425</v>
      </c>
      <c r="B492" s="11" t="str">
        <f>IFERROR(__xludf.DUMMYFUNCTION("""COMPUTED_VALUE"""),"Pam Marcum")</f>
        <v>Pam Marcum</v>
      </c>
      <c r="C492" t="str">
        <f>IFERROR(__xludf.DUMMYFUNCTION("""COMPUTED_VALUE"""),"Pamela.Marcum@floridadep.gov")</f>
        <v>Pamela.Marcum@floridadep.gov</v>
      </c>
      <c r="D492" t="str">
        <f>IFERROR(__xludf.DUMMYFUNCTION("""COMPUTED_VALUE"""),"Research/Nikki")</f>
        <v>Research/Nikki</v>
      </c>
      <c r="E492" t="str">
        <f>IFERROR(__xludf.DUMMYFUNCTION("""COMPUTED_VALUE"""),"Shore Dr")</f>
        <v>Shore Dr</v>
      </c>
      <c r="F492" s="13">
        <f>IFERROR(__xludf.DUMMYFUNCTION("""COMPUTED_VALUE"""),0.4270833333321207)</f>
        <v>0.4270833333</v>
      </c>
      <c r="G492" s="14">
        <f>IFERROR(__xludf.DUMMYFUNCTION("""COMPUTED_VALUE"""),43914.0)</f>
        <v>43914</v>
      </c>
      <c r="H492" t="str">
        <f>IFERROR(__xludf.DUMMYFUNCTION("""COMPUTED_VALUE"""),"Site 22")</f>
        <v>Site 22</v>
      </c>
      <c r="I492" s="15">
        <f>IFERROR(__xludf.DUMMYFUNCTION("""COMPUTED_VALUE"""),0.5416666666678793)</f>
        <v>0.5416666667</v>
      </c>
      <c r="J492" s="16">
        <f>IFERROR(__xludf.DUMMYFUNCTION("""COMPUTED_VALUE"""),43914.5625)</f>
        <v>43914.5625</v>
      </c>
      <c r="K492" t="str">
        <f>IFERROR(__xludf.DUMMYFUNCTION("""COMPUTED_VALUE"""),"20ft Sea Ark FL5351SJ UNF 2015")</f>
        <v>20ft Sea Ark FL5351SJ UNF 2015</v>
      </c>
      <c r="M492" t="str">
        <f>IFERROR(__xludf.DUMMYFUNCTION("""COMPUTED_VALUE"""),"Ford F150 2015 (White) - DEP21448")</f>
        <v>Ford F150 2015 (White) - DEP21448</v>
      </c>
      <c r="N492" t="str">
        <f>IFERROR(__xludf.DUMMYFUNCTION("""COMPUTED_VALUE"""),"Pam Marcum, (480) 332-5414")</f>
        <v>Pam Marcum, (480) 332-5414</v>
      </c>
      <c r="O492" t="str">
        <f>IFERROR(__xludf.DUMMYFUNCTION("""COMPUTED_VALUE"""),"Alee Knoell, (619) 750-4833")</f>
        <v>Alee Knoell, (619) 750-4833</v>
      </c>
      <c r="P492" t="str">
        <f>IFERROR(__xludf.DUMMYFUNCTION("""COMPUTED_VALUE"""),"Pam")</f>
        <v>Pam</v>
      </c>
      <c r="Q492" t="str">
        <f>IFERROR(__xludf.DUMMYFUNCTION("""COMPUTED_VALUE"""),"All items in working order")</f>
        <v>All items in working order</v>
      </c>
      <c r="AE492" s="11"/>
      <c r="AF492" t="s">
        <v>218</v>
      </c>
      <c r="AG492" s="17" t="s">
        <v>18</v>
      </c>
      <c r="AH492" s="12">
        <v>1330.0</v>
      </c>
      <c r="AI492" s="12" t="s">
        <v>1431</v>
      </c>
      <c r="AJ492" s="19" t="s">
        <v>1432</v>
      </c>
      <c r="AK492" s="20" t="str">
        <f>HYPERLINK("https://docs.google.com/document/d/1SOV0UdB55rp9XaUmInRbqKUHRSOAHs5qFw6sitgs6Wk/edit?usp=drivesdk","Pam Marcum - 3/24/2020 10:15 AM")</f>
        <v>Pam Marcum - 3/24/2020 10:15 AM</v>
      </c>
      <c r="AL492" s="12" t="s">
        <v>1433</v>
      </c>
    </row>
    <row r="493">
      <c r="A493" s="10">
        <f>IFERROR(__xludf.DUMMYFUNCTION("""COMPUTED_VALUE"""),43914.65506585649)</f>
        <v>43914.65507</v>
      </c>
      <c r="B493" s="11" t="str">
        <f>IFERROR(__xludf.DUMMYFUNCTION("""COMPUTED_VALUE"""),"Pam Marcum")</f>
        <v>Pam Marcum</v>
      </c>
      <c r="C493" t="str">
        <f>IFERROR(__xludf.DUMMYFUNCTION("""COMPUTED_VALUE"""),"pamela.marcum@floridadep.gov")</f>
        <v>pamela.marcum@floridadep.gov</v>
      </c>
      <c r="D493" t="str">
        <f>IFERROR(__xludf.DUMMYFUNCTION("""COMPUTED_VALUE"""),"Research/Nikki")</f>
        <v>Research/Nikki</v>
      </c>
      <c r="E493" t="str">
        <f>IFERROR(__xludf.DUMMYFUNCTION("""COMPUTED_VALUE"""),"Shore dr")</f>
        <v>Shore dr</v>
      </c>
      <c r="F493" s="13">
        <f>IFERROR(__xludf.DUMMYFUNCTION("""COMPUTED_VALUE"""),0.15277777777737356)</f>
        <v>0.1527777778</v>
      </c>
      <c r="G493" s="14">
        <f>IFERROR(__xludf.DUMMYFUNCTION("""COMPUTED_VALUE"""),43914.0)</f>
        <v>43914</v>
      </c>
      <c r="H493" t="str">
        <f>IFERROR(__xludf.DUMMYFUNCTION("""COMPUTED_VALUE"""),"Site 22")</f>
        <v>Site 22</v>
      </c>
      <c r="I493" s="15">
        <f>IFERROR(__xludf.DUMMYFUNCTION("""COMPUTED_VALUE"""),0.7291666666678793)</f>
        <v>0.7291666667</v>
      </c>
      <c r="J493" s="16">
        <f>IFERROR(__xludf.DUMMYFUNCTION("""COMPUTED_VALUE"""),43914.75)</f>
        <v>43914.75</v>
      </c>
      <c r="K493" t="str">
        <f>IFERROR(__xludf.DUMMYFUNCTION("""COMPUTED_VALUE"""),"20ft Sea Ark FL5351SJ UNF 2015")</f>
        <v>20ft Sea Ark FL5351SJ UNF 2015</v>
      </c>
      <c r="M493" t="str">
        <f>IFERROR(__xludf.DUMMYFUNCTION("""COMPUTED_VALUE"""),"Ford F150 2015 (White) - DEP21448")</f>
        <v>Ford F150 2015 (White) - DEP21448</v>
      </c>
      <c r="N493" t="str">
        <f>IFERROR(__xludf.DUMMYFUNCTION("""COMPUTED_VALUE"""),"Pam Marcum, (480) 332-5414")</f>
        <v>Pam Marcum, (480) 332-5414</v>
      </c>
      <c r="O493" t="str">
        <f>IFERROR(__xludf.DUMMYFUNCTION("""COMPUTED_VALUE"""),"Alee Knoell, (619) 750-4833")</f>
        <v>Alee Knoell, (619) 750-4833</v>
      </c>
      <c r="P493" t="str">
        <f>IFERROR(__xludf.DUMMYFUNCTION("""COMPUTED_VALUE"""),"Pam")</f>
        <v>Pam</v>
      </c>
      <c r="Q493" t="str">
        <f>IFERROR(__xludf.DUMMYFUNCTION("""COMPUTED_VALUE"""),"All items in working order")</f>
        <v>All items in working order</v>
      </c>
      <c r="AE493" s="11"/>
      <c r="AF493" t="s">
        <v>218</v>
      </c>
      <c r="AG493" s="17" t="s">
        <v>43</v>
      </c>
      <c r="AH493" s="12">
        <v>1730.0</v>
      </c>
      <c r="AI493" s="12" t="s">
        <v>1434</v>
      </c>
      <c r="AJ493" s="19" t="s">
        <v>1435</v>
      </c>
      <c r="AK493" s="20" t="str">
        <f>HYPERLINK("https://docs.google.com/document/d/1mRsg8UU1_qBmth7c0i0zK_eqLA777I_HlUDbnNeoAu8/edit?usp=drivesdk","Pam Marcum - 3/24/2020 3:40 AM")</f>
        <v>Pam Marcum - 3/24/2020 3:40 AM</v>
      </c>
      <c r="AL493" s="12" t="s">
        <v>1436</v>
      </c>
    </row>
    <row r="494">
      <c r="A494" s="10">
        <f>IFERROR(__xludf.DUMMYFUNCTION("""COMPUTED_VALUE"""),43915.320939097226)</f>
        <v>43915.32094</v>
      </c>
      <c r="B494" s="11" t="str">
        <f>IFERROR(__xludf.DUMMYFUNCTION("""COMPUTED_VALUE"""),"Pamela Marcum")</f>
        <v>Pamela Marcum</v>
      </c>
      <c r="C494" t="str">
        <f>IFERROR(__xludf.DUMMYFUNCTION("""COMPUTED_VALUE"""),"Pamela.Marcum@dep.state.fl.us")</f>
        <v>Pamela.Marcum@dep.state.fl.us</v>
      </c>
      <c r="D494" t="str">
        <f>IFERROR(__xludf.DUMMYFUNCTION("""COMPUTED_VALUE"""),"Research/Nikki")</f>
        <v>Research/Nikki</v>
      </c>
      <c r="E494" t="str">
        <f>IFERROR(__xludf.DUMMYFUNCTION("""COMPUTED_VALUE"""),"Aunt Kate's")</f>
        <v>Aunt Kate's</v>
      </c>
      <c r="F494" s="13">
        <f>IFERROR(__xludf.DUMMYFUNCTION("""COMPUTED_VALUE"""),0.3333333333321207)</f>
        <v>0.3333333333</v>
      </c>
      <c r="G494" s="14">
        <f>IFERROR(__xludf.DUMMYFUNCTION("""COMPUTED_VALUE"""),43915.0)</f>
        <v>43915</v>
      </c>
      <c r="H494" t="str">
        <f>IFERROR(__xludf.DUMMYFUNCTION("""COMPUTED_VALUE"""),"Pine Island Platforms")</f>
        <v>Pine Island Platforms</v>
      </c>
      <c r="I494" s="15">
        <f>IFERROR(__xludf.DUMMYFUNCTION("""COMPUTED_VALUE"""),0.5)</f>
        <v>0.5</v>
      </c>
      <c r="J494" s="16">
        <f>IFERROR(__xludf.DUMMYFUNCTION("""COMPUTED_VALUE"""),43915.52083333333)</f>
        <v>43915.52083</v>
      </c>
      <c r="K494" t="str">
        <f>IFERROR(__xludf.DUMMYFUNCTION("""COMPUTED_VALUE"""),"20ft Sea Ark FL5351SJ UNF 2015")</f>
        <v>20ft Sea Ark FL5351SJ UNF 2015</v>
      </c>
      <c r="M494" t="str">
        <f>IFERROR(__xludf.DUMMYFUNCTION("""COMPUTED_VALUE"""),"Ford F150 2015 (White) - DEP21448")</f>
        <v>Ford F150 2015 (White) - DEP21448</v>
      </c>
      <c r="N494" t="str">
        <f>IFERROR(__xludf.DUMMYFUNCTION("""COMPUTED_VALUE"""),"Pam Marcum, (480) 332-5414")</f>
        <v>Pam Marcum, (480) 332-5414</v>
      </c>
      <c r="O494" t="str">
        <f>IFERROR(__xludf.DUMMYFUNCTION("""COMPUTED_VALUE"""),"Alee Knoell, (619) 750-4833")</f>
        <v>Alee Knoell, (619) 750-4833</v>
      </c>
      <c r="P494" t="str">
        <f>IFERROR(__xludf.DUMMYFUNCTION("""COMPUTED_VALUE"""),"Pam")</f>
        <v>Pam</v>
      </c>
      <c r="Q494" t="str">
        <f>IFERROR(__xludf.DUMMYFUNCTION("""COMPUTED_VALUE"""),"All items in working order")</f>
        <v>All items in working order</v>
      </c>
      <c r="AE494" s="11"/>
      <c r="AF494" t="s">
        <v>218</v>
      </c>
      <c r="AG494" s="17" t="s">
        <v>18</v>
      </c>
      <c r="AH494" s="12">
        <v>1042.0</v>
      </c>
      <c r="AI494" s="12" t="s">
        <v>1437</v>
      </c>
      <c r="AJ494" s="19" t="s">
        <v>1438</v>
      </c>
      <c r="AK494" s="20" t="str">
        <f>HYPERLINK("https://docs.google.com/document/d/10Pq2dFcd8rSR6s3ZPl55x0eCQEeN13hjFpn0InKn-zA/edit?usp=drivesdk","Pamela Marcum - 3/25/2020 8:00 AM")</f>
        <v>Pamela Marcum - 3/25/2020 8:00 AM</v>
      </c>
      <c r="AL494" s="12" t="s">
        <v>1439</v>
      </c>
    </row>
    <row r="495">
      <c r="A495" s="10">
        <f>IFERROR(__xludf.DUMMYFUNCTION("""COMPUTED_VALUE"""),43915.356152083325)</f>
        <v>43915.35615</v>
      </c>
      <c r="B495" s="11" t="str">
        <f>IFERROR(__xludf.DUMMYFUNCTION("""COMPUTED_VALUE"""),"Shannon Dunnigan")</f>
        <v>Shannon Dunnigan</v>
      </c>
      <c r="C495" t="str">
        <f>IFERROR(__xludf.DUMMYFUNCTION("""COMPUTED_VALUE"""),"shannon.dunnigan@floridadep.gov")</f>
        <v>shannon.dunnigan@floridadep.gov</v>
      </c>
      <c r="D495" t="str">
        <f>IFERROR(__xludf.DUMMYFUNCTION("""COMPUTED_VALUE"""),"Research/Nikki")</f>
        <v>Research/Nikki</v>
      </c>
      <c r="E495" t="str">
        <f>IFERROR(__xludf.DUMMYFUNCTION("""COMPUTED_VALUE"""),"Vilano")</f>
        <v>Vilano</v>
      </c>
      <c r="F495" s="13">
        <f>IFERROR(__xludf.DUMMYFUNCTION("""COMPUTED_VALUE"""),0.3645833333321207)</f>
        <v>0.3645833333</v>
      </c>
      <c r="G495" s="14">
        <f>IFERROR(__xludf.DUMMYFUNCTION("""COMPUTED_VALUE"""),43915.0)</f>
        <v>43915</v>
      </c>
      <c r="H495" t="str">
        <f>IFERROR(__xludf.DUMMYFUNCTION("""COMPUTED_VALUE"""),"ICW SWMP sites")</f>
        <v>ICW SWMP sites</v>
      </c>
      <c r="I495" s="15">
        <f>IFERROR(__xludf.DUMMYFUNCTION("""COMPUTED_VALUE"""),0.625)</f>
        <v>0.625</v>
      </c>
      <c r="J495" s="16">
        <f>IFERROR(__xludf.DUMMYFUNCTION("""COMPUTED_VALUE"""),43915.70833333333)</f>
        <v>43915.70833</v>
      </c>
      <c r="K495" t="str">
        <f>IFERROR(__xludf.DUMMYFUNCTION("""COMPUTED_VALUE"""),"23ft Skiff (Bertha) FL7972LJ DEP07613")</f>
        <v>23ft Skiff (Bertha) FL7972LJ DEP07613</v>
      </c>
      <c r="M495" t="str">
        <f>IFERROR(__xludf.DUMMYFUNCTION("""COMPUTED_VALUE"""),"Ford F250 2017 (Moby Dix) - DEP0021578")</f>
        <v>Ford F250 2017 (Moby Dix) - DEP0021578</v>
      </c>
      <c r="N495" t="str">
        <f>IFERROR(__xludf.DUMMYFUNCTION("""COMPUTED_VALUE"""),"Shannon Dunnigan, (803) 727-5734, Silas Tanner, (904) 483-8423")</f>
        <v>Shannon Dunnigan, (803) 727-5734, Silas Tanner, (904) 483-8423</v>
      </c>
      <c r="O495" t="str">
        <f>IFERROR(__xludf.DUMMYFUNCTION("""COMPUTED_VALUE"""),"Alee Knoell, (619) 750-4833")</f>
        <v>Alee Knoell, (619) 750-4833</v>
      </c>
      <c r="P495" t="str">
        <f>IFERROR(__xludf.DUMMYFUNCTION("""COMPUTED_VALUE"""),"Silas Tanner")</f>
        <v>Silas Tanner</v>
      </c>
      <c r="Q495" t="str">
        <f>IFERROR(__xludf.DUMMYFUNCTION("""COMPUTED_VALUE"""),"All items in working order")</f>
        <v>All items in working order</v>
      </c>
      <c r="AE495" s="11"/>
      <c r="AF495" t="s">
        <v>218</v>
      </c>
      <c r="AG495" s="17" t="s">
        <v>43</v>
      </c>
      <c r="AH495" s="12">
        <v>1400.0</v>
      </c>
      <c r="AI495" s="12" t="s">
        <v>1440</v>
      </c>
      <c r="AJ495" s="19" t="s">
        <v>1441</v>
      </c>
      <c r="AK495" s="20" t="str">
        <f>HYPERLINK("https://docs.google.com/document/d/18ueYMCS9PuEcdj5e2Dexz71bQVfSkZh4Jcpu8cHWIEU/edit?usp=drivesdk","Shannon Dunnigan - 3/25/2020 8:45 AM")</f>
        <v>Shannon Dunnigan - 3/25/2020 8:45 AM</v>
      </c>
      <c r="AL495" s="12" t="s">
        <v>1442</v>
      </c>
    </row>
    <row r="496">
      <c r="A496" s="10">
        <f>IFERROR(__xludf.DUMMYFUNCTION("""COMPUTED_VALUE"""),43916.33850557871)</f>
        <v>43916.33851</v>
      </c>
      <c r="B496" s="11" t="str">
        <f>IFERROR(__xludf.DUMMYFUNCTION("""COMPUTED_VALUE"""),"Pam Marcum")</f>
        <v>Pam Marcum</v>
      </c>
      <c r="C496" t="str">
        <f>IFERROR(__xludf.DUMMYFUNCTION("""COMPUTED_VALUE"""),"Pamela.Marcum@floridadep.gov")</f>
        <v>Pamela.Marcum@floridadep.gov</v>
      </c>
      <c r="D496" t="str">
        <f>IFERROR(__xludf.DUMMYFUNCTION("""COMPUTED_VALUE"""),"Research/Nikki")</f>
        <v>Research/Nikki</v>
      </c>
      <c r="E496" t="str">
        <f>IFERROR(__xludf.DUMMYFUNCTION("""COMPUTED_VALUE"""),"Butler")</f>
        <v>Butler</v>
      </c>
      <c r="F496" s="13">
        <f>IFERROR(__xludf.DUMMYFUNCTION("""COMPUTED_VALUE"""),0.375)</f>
        <v>0.375</v>
      </c>
      <c r="G496" s="14">
        <f>IFERROR(__xludf.DUMMYFUNCTION("""COMPUTED_VALUE"""),43916.0)</f>
        <v>43916</v>
      </c>
      <c r="H496" t="str">
        <f>IFERROR(__xludf.DUMMYFUNCTION("""COMPUTED_VALUE"""),"Moses Creek")</f>
        <v>Moses Creek</v>
      </c>
      <c r="I496" s="15">
        <f>IFERROR(__xludf.DUMMYFUNCTION("""COMPUTED_VALUE"""),0.6458333333321207)</f>
        <v>0.6458333333</v>
      </c>
      <c r="J496" s="16">
        <f>IFERROR(__xludf.DUMMYFUNCTION("""COMPUTED_VALUE"""),43916.66666666667)</f>
        <v>43916.66667</v>
      </c>
      <c r="K496" t="str">
        <f>IFERROR(__xludf.DUMMYFUNCTION("""COMPUTED_VALUE"""),"20ft Sea Ark FL5351SJ UNF 2015")</f>
        <v>20ft Sea Ark FL5351SJ UNF 2015</v>
      </c>
      <c r="M496" t="str">
        <f>IFERROR(__xludf.DUMMYFUNCTION("""COMPUTED_VALUE"""),"Ford F150 2015 (White) - DEP21448")</f>
        <v>Ford F150 2015 (White) - DEP21448</v>
      </c>
      <c r="N496" t="str">
        <f>IFERROR(__xludf.DUMMYFUNCTION("""COMPUTED_VALUE"""),"Pam Marcum, (480) 332-5414")</f>
        <v>Pam Marcum, (480) 332-5414</v>
      </c>
      <c r="O496" t="str">
        <f>IFERROR(__xludf.DUMMYFUNCTION("""COMPUTED_VALUE"""),"Alee Knoell, (619) 750-4833")</f>
        <v>Alee Knoell, (619) 750-4833</v>
      </c>
      <c r="P496" t="str">
        <f>IFERROR(__xludf.DUMMYFUNCTION("""COMPUTED_VALUE"""),"Pam")</f>
        <v>Pam</v>
      </c>
      <c r="Q496" t="str">
        <f>IFERROR(__xludf.DUMMYFUNCTION("""COMPUTED_VALUE"""),"All items in working order")</f>
        <v>All items in working order</v>
      </c>
      <c r="AE496" s="11"/>
      <c r="AF496" t="s">
        <v>218</v>
      </c>
      <c r="AG496" s="17" t="s">
        <v>128</v>
      </c>
      <c r="AH496" s="12">
        <v>1500.0</v>
      </c>
      <c r="AI496" s="12" t="s">
        <v>1443</v>
      </c>
      <c r="AJ496" s="19" t="s">
        <v>1444</v>
      </c>
      <c r="AK496" s="20" t="str">
        <f>HYPERLINK("https://docs.google.com/document/d/1eWQd0y-2Ifc1Jo3GIVsL30Yze6kP_BNpjmRFsdCugbA/edit?usp=drivesdk","Pam Marcum - 3/26/2020 9:00 AM")</f>
        <v>Pam Marcum - 3/26/2020 9:00 AM</v>
      </c>
      <c r="AL496" s="12" t="s">
        <v>1445</v>
      </c>
    </row>
    <row r="497">
      <c r="A497" s="10">
        <f>IFERROR(__xludf.DUMMYFUNCTION("""COMPUTED_VALUE"""),43922.27999945602)</f>
        <v>43922.28</v>
      </c>
      <c r="B497" s="11" t="str">
        <f>IFERROR(__xludf.DUMMYFUNCTION("""COMPUTED_VALUE"""),"Pamela Marcum")</f>
        <v>Pamela Marcum</v>
      </c>
      <c r="C497" t="str">
        <f>IFERROR(__xludf.DUMMYFUNCTION("""COMPUTED_VALUE"""),"Pamela.Marcum@FloridaDEP.gov")</f>
        <v>Pamela.Marcum@FloridaDEP.gov</v>
      </c>
      <c r="D497" t="str">
        <f>IFERROR(__xludf.DUMMYFUNCTION("""COMPUTED_VALUE"""),"Research/Nikki")</f>
        <v>Research/Nikki</v>
      </c>
      <c r="E497" t="str">
        <f>IFERROR(__xludf.DUMMYFUNCTION("""COMPUTED_VALUE"""),"Aunt Kate's")</f>
        <v>Aunt Kate's</v>
      </c>
      <c r="F497" s="13">
        <f>IFERROR(__xludf.DUMMYFUNCTION("""COMPUTED_VALUE"""),0.2916666666678793)</f>
        <v>0.2916666667</v>
      </c>
      <c r="G497" s="14">
        <f>IFERROR(__xludf.DUMMYFUNCTION("""COMPUTED_VALUE"""),43922.0)</f>
        <v>43922</v>
      </c>
      <c r="H497" t="str">
        <f>IFERROR(__xludf.DUMMYFUNCTION("""COMPUTED_VALUE"""),"Spat Run")</f>
        <v>Spat Run</v>
      </c>
      <c r="I497" s="15">
        <f>IFERROR(__xludf.DUMMYFUNCTION("""COMPUTED_VALUE"""),0.6666666666678793)</f>
        <v>0.6666666667</v>
      </c>
      <c r="J497" s="16">
        <f>IFERROR(__xludf.DUMMYFUNCTION("""COMPUTED_VALUE"""),43922.6875)</f>
        <v>43922.6875</v>
      </c>
      <c r="K497" t="str">
        <f>IFERROR(__xludf.DUMMYFUNCTION("""COMPUTED_VALUE"""),"20ft Sea Ark FL5351SJ UNF 2015")</f>
        <v>20ft Sea Ark FL5351SJ UNF 2015</v>
      </c>
      <c r="M497" t="str">
        <f>IFERROR(__xludf.DUMMYFUNCTION("""COMPUTED_VALUE"""),"Ford F150 2015 (White) - DEP21448")</f>
        <v>Ford F150 2015 (White) - DEP21448</v>
      </c>
      <c r="N497" t="str">
        <f>IFERROR(__xludf.DUMMYFUNCTION("""COMPUTED_VALUE"""),"Pam Marcum, (480) 332-5414")</f>
        <v>Pam Marcum, (480) 332-5414</v>
      </c>
      <c r="O497" t="str">
        <f>IFERROR(__xludf.DUMMYFUNCTION("""COMPUTED_VALUE"""),"Alee Knoell, (619) 750-4833, Alee is switching with Adrienne Breef-Pilz at 11am ")</f>
        <v>Alee Knoell, (619) 750-4833, Alee is switching with Adrienne Breef-Pilz at 11am </v>
      </c>
      <c r="P497" t="str">
        <f>IFERROR(__xludf.DUMMYFUNCTION("""COMPUTED_VALUE"""),"Pam")</f>
        <v>Pam</v>
      </c>
      <c r="Q497" t="str">
        <f>IFERROR(__xludf.DUMMYFUNCTION("""COMPUTED_VALUE"""),"All items in working order")</f>
        <v>All items in working order</v>
      </c>
      <c r="AE497" s="11"/>
      <c r="AF497" t="s">
        <v>218</v>
      </c>
      <c r="AG497" s="17" t="s">
        <v>43</v>
      </c>
      <c r="AH497" s="12">
        <v>1530.0</v>
      </c>
      <c r="AI497" s="12" t="s">
        <v>1446</v>
      </c>
      <c r="AJ497" s="19" t="s">
        <v>1447</v>
      </c>
      <c r="AK497" s="20" t="str">
        <f>HYPERLINK("https://docs.google.com/document/d/1ZNiHciiuxCGN-TrD_Oge6bnmI0cb_1j_xs7GOnxOotw/edit?usp=drivesdk","Pamela Marcum - 4/1/2020 7:00 AM")</f>
        <v>Pamela Marcum - 4/1/2020 7:00 AM</v>
      </c>
      <c r="AL497" s="12" t="s">
        <v>1448</v>
      </c>
    </row>
    <row r="498">
      <c r="A498" s="10">
        <f>IFERROR(__xludf.DUMMYFUNCTION("""COMPUTED_VALUE"""),43923.45609358796)</f>
        <v>43923.45609</v>
      </c>
      <c r="B498" s="11" t="str">
        <f>IFERROR(__xludf.DUMMYFUNCTION("""COMPUTED_VALUE"""),"Pam Marcum")</f>
        <v>Pam Marcum</v>
      </c>
      <c r="C498" t="str">
        <f>IFERROR(__xludf.DUMMYFUNCTION("""COMPUTED_VALUE"""),"Pamela.Marcum@floridadep.gov")</f>
        <v>Pamela.Marcum@floridadep.gov</v>
      </c>
      <c r="D498" t="str">
        <f>IFERROR(__xludf.DUMMYFUNCTION("""COMPUTED_VALUE"""),"Research/Silas")</f>
        <v>Research/Silas</v>
      </c>
      <c r="E498" t="str">
        <f>IFERROR(__xludf.DUMMYFUNCTION("""COMPUTED_VALUE"""),"Shore Dr")</f>
        <v>Shore Dr</v>
      </c>
      <c r="F498" s="13">
        <f>IFERROR(__xludf.DUMMYFUNCTION("""COMPUTED_VALUE"""),0.4583333333321207)</f>
        <v>0.4583333333</v>
      </c>
      <c r="G498" s="14">
        <f>IFERROR(__xludf.DUMMYFUNCTION("""COMPUTED_VALUE"""),43923.0)</f>
        <v>43923</v>
      </c>
      <c r="H498" t="str">
        <f>IFERROR(__xludf.DUMMYFUNCTION("""COMPUTED_VALUE"""),"Gabbys Creek")</f>
        <v>Gabbys Creek</v>
      </c>
      <c r="I498" s="15">
        <f>IFERROR(__xludf.DUMMYFUNCTION("""COMPUTED_VALUE"""),0.6666666666678793)</f>
        <v>0.6666666667</v>
      </c>
      <c r="J498" s="16">
        <f>IFERROR(__xludf.DUMMYFUNCTION("""COMPUTED_VALUE"""),43923.6875)</f>
        <v>43923.6875</v>
      </c>
      <c r="K498" t="str">
        <f>IFERROR(__xludf.DUMMYFUNCTION("""COMPUTED_VALUE"""),"23ft Skiff (Bertha) FL7972LJ DEP07613")</f>
        <v>23ft Skiff (Bertha) FL7972LJ DEP07613</v>
      </c>
      <c r="M498" t="str">
        <f>IFERROR(__xludf.DUMMYFUNCTION("""COMPUTED_VALUE"""),"Ford F150 2015 (White) - DEP21448")</f>
        <v>Ford F150 2015 (White) - DEP21448</v>
      </c>
      <c r="N498" t="str">
        <f>IFERROR(__xludf.DUMMYFUNCTION("""COMPUTED_VALUE"""),"Pam Marcum, (480) 332-5414")</f>
        <v>Pam Marcum, (480) 332-5414</v>
      </c>
      <c r="O498" t="str">
        <f>IFERROR(__xludf.DUMMYFUNCTION("""COMPUTED_VALUE"""),"Gabriela Canas, (904) 891-9743")</f>
        <v>Gabriela Canas, (904) 891-9743</v>
      </c>
      <c r="P498" t="str">
        <f>IFERROR(__xludf.DUMMYFUNCTION("""COMPUTED_VALUE"""),"Pam")</f>
        <v>Pam</v>
      </c>
      <c r="Q498" t="str">
        <f>IFERROR(__xludf.DUMMYFUNCTION("""COMPUTED_VALUE"""),"All items in working order")</f>
        <v>All items in working order</v>
      </c>
      <c r="AE498" s="11"/>
      <c r="AF498" t="s">
        <v>1449</v>
      </c>
      <c r="AG498" s="17" t="s">
        <v>43</v>
      </c>
      <c r="AH498" s="12">
        <v>1515.0</v>
      </c>
      <c r="AI498" s="12" t="s">
        <v>1450</v>
      </c>
      <c r="AJ498" s="19" t="s">
        <v>1451</v>
      </c>
      <c r="AK498" s="20" t="str">
        <f>HYPERLINK("https://docs.google.com/document/d/1RKPchjyB_hbgCE_J8a9xDp9Nf5vICKyLYAqyTEmWwYQ/edit?usp=drivesdk","Pam Marcum - 4/2/2020 11:00 AM")</f>
        <v>Pam Marcum - 4/2/2020 11:00 AM</v>
      </c>
      <c r="AL498" s="12" t="s">
        <v>1452</v>
      </c>
    </row>
    <row r="499">
      <c r="A499" s="10">
        <f>IFERROR(__xludf.DUMMYFUNCTION("""COMPUTED_VALUE"""),43928.3972194213)</f>
        <v>43928.39722</v>
      </c>
      <c r="B499" s="11" t="str">
        <f>IFERROR(__xludf.DUMMYFUNCTION("""COMPUTED_VALUE"""),"Shannon Dunnigan")</f>
        <v>Shannon Dunnigan</v>
      </c>
      <c r="C499" t="str">
        <f>IFERROR(__xludf.DUMMYFUNCTION("""COMPUTED_VALUE"""),"shannon.dunnigan@dep.state.fl.us")</f>
        <v>shannon.dunnigan@dep.state.fl.us</v>
      </c>
      <c r="D499" t="str">
        <f>IFERROR(__xludf.DUMMYFUNCTION("""COMPUTED_VALUE"""),"Research/Nikki")</f>
        <v>Research/Nikki</v>
      </c>
      <c r="E499" t="str">
        <f>IFERROR(__xludf.DUMMYFUNCTION("""COMPUTED_VALUE"""),"Vilano")</f>
        <v>Vilano</v>
      </c>
      <c r="F499" s="13">
        <f>IFERROR(__xludf.DUMMYFUNCTION("""COMPUTED_VALUE"""),0.3958333333321207)</f>
        <v>0.3958333333</v>
      </c>
      <c r="G499" s="14">
        <f>IFERROR(__xludf.DUMMYFUNCTION("""COMPUTED_VALUE"""),43928.0)</f>
        <v>43928</v>
      </c>
      <c r="H499" t="str">
        <f>IFERROR(__xludf.DUMMYFUNCTION("""COMPUTED_VALUE"""),"ICE SWMP sites")</f>
        <v>ICE SWMP sites</v>
      </c>
      <c r="I499" s="15">
        <f>IFERROR(__xludf.DUMMYFUNCTION("""COMPUTED_VALUE"""),0.5625)</f>
        <v>0.5625</v>
      </c>
      <c r="J499" s="16">
        <f>IFERROR(__xludf.DUMMYFUNCTION("""COMPUTED_VALUE"""),43928.59375)</f>
        <v>43928.59375</v>
      </c>
      <c r="K499" t="str">
        <f>IFERROR(__xludf.DUMMYFUNCTION("""COMPUTED_VALUE"""),"20ft Sea Ark FL5351SJ UNF 2015")</f>
        <v>20ft Sea Ark FL5351SJ UNF 2015</v>
      </c>
      <c r="M499" t="str">
        <f>IFERROR(__xludf.DUMMYFUNCTION("""COMPUTED_VALUE"""),"Ford F250 2017 (Moby Dix) - DEP0021578")</f>
        <v>Ford F250 2017 (Moby Dix) - DEP0021578</v>
      </c>
      <c r="N499" t="str">
        <f>IFERROR(__xludf.DUMMYFUNCTION("""COMPUTED_VALUE"""),"Shannon Dunnigan, (803) 727-5734, Silas Tanner, (904) 483-8423")</f>
        <v>Shannon Dunnigan, (803) 727-5734, Silas Tanner, (904) 483-8423</v>
      </c>
      <c r="P499" t="str">
        <f>IFERROR(__xludf.DUMMYFUNCTION("""COMPUTED_VALUE"""),"Shannon")</f>
        <v>Shannon</v>
      </c>
      <c r="Q499" t="str">
        <f>IFERROR(__xludf.DUMMYFUNCTION("""COMPUTED_VALUE"""),"All items in working order")</f>
        <v>All items in working order</v>
      </c>
      <c r="AE499" s="11"/>
      <c r="AF499" t="s">
        <v>218</v>
      </c>
      <c r="AG499" s="17" t="s">
        <v>43</v>
      </c>
      <c r="AH499" s="12">
        <v>1330.0</v>
      </c>
      <c r="AI499" s="12" t="s">
        <v>1453</v>
      </c>
      <c r="AJ499" s="19" t="s">
        <v>1454</v>
      </c>
      <c r="AK499" s="20" t="str">
        <f>HYPERLINK("https://docs.google.com/document/d/1MWTFNf0Lhv2c92QgArvO22rI85RTsw1fU_8zSFOmfMY/edit?usp=drivesdk","Shannon Dunnigan - 4/7/2020 9:30 AM")</f>
        <v>Shannon Dunnigan - 4/7/2020 9:30 AM</v>
      </c>
      <c r="AL499" s="12" t="s">
        <v>1455</v>
      </c>
    </row>
    <row r="500">
      <c r="A500" s="10">
        <f>IFERROR(__xludf.DUMMYFUNCTION("""COMPUTED_VALUE"""),43931.28224122686)</f>
        <v>43931.28224</v>
      </c>
      <c r="B500" s="11" t="str">
        <f>IFERROR(__xludf.DUMMYFUNCTION("""COMPUTED_VALUE"""),"Silas Tanner")</f>
        <v>Silas Tanner</v>
      </c>
      <c r="C500" t="str">
        <f>IFERROR(__xludf.DUMMYFUNCTION("""COMPUTED_VALUE"""),"silas.tanner@floridadep.gov")</f>
        <v>silas.tanner@floridadep.gov</v>
      </c>
      <c r="D500" t="str">
        <f>IFERROR(__xludf.DUMMYFUNCTION("""COMPUTED_VALUE"""),"Research/Nikki")</f>
        <v>Research/Nikki</v>
      </c>
      <c r="E500" t="str">
        <f>IFERROR(__xludf.DUMMYFUNCTION("""COMPUTED_VALUE"""),"Faver Dykes SP")</f>
        <v>Faver Dykes SP</v>
      </c>
      <c r="F500" s="13">
        <f>IFERROR(__xludf.DUMMYFUNCTION("""COMPUTED_VALUE"""),0.34375)</f>
        <v>0.34375</v>
      </c>
      <c r="G500" s="14">
        <f>IFERROR(__xludf.DUMMYFUNCTION("""COMPUTED_VALUE"""),43931.0)</f>
        <v>43931</v>
      </c>
      <c r="H500" t="str">
        <f>IFERROR(__xludf.DUMMYFUNCTION("""COMPUTED_VALUE"""),"Pellicer Creek SWMP platforms")</f>
        <v>Pellicer Creek SWMP platforms</v>
      </c>
      <c r="I500" s="15">
        <f>IFERROR(__xludf.DUMMYFUNCTION("""COMPUTED_VALUE"""),0.5625)</f>
        <v>0.5625</v>
      </c>
      <c r="J500" s="16">
        <f>IFERROR(__xludf.DUMMYFUNCTION("""COMPUTED_VALUE"""),43931.61458333333)</f>
        <v>43931.61458</v>
      </c>
      <c r="K500" t="str">
        <f>IFERROR(__xludf.DUMMYFUNCTION("""COMPUTED_VALUE"""),"20ft Sea Ark FL5351SJ UNF 2015")</f>
        <v>20ft Sea Ark FL5351SJ UNF 2015</v>
      </c>
      <c r="M500" t="str">
        <f>IFERROR(__xludf.DUMMYFUNCTION("""COMPUTED_VALUE"""),"Ford F250 2017 (Moby Dix) - DEP0021578")</f>
        <v>Ford F250 2017 (Moby Dix) - DEP0021578</v>
      </c>
      <c r="N500" t="str">
        <f>IFERROR(__xludf.DUMMYFUNCTION("""COMPUTED_VALUE"""),"Shannon Dunnigan, (803) 727-5734, Silas Tanner, (904) 483-8423")</f>
        <v>Shannon Dunnigan, (803) 727-5734, Silas Tanner, (904) 483-8423</v>
      </c>
      <c r="P500" t="str">
        <f>IFERROR(__xludf.DUMMYFUNCTION("""COMPUTED_VALUE"""),"S. Tanner")</f>
        <v>S. Tanner</v>
      </c>
      <c r="Q500" t="str">
        <f>IFERROR(__xludf.DUMMYFUNCTION("""COMPUTED_VALUE"""),"All items in working order")</f>
        <v>All items in working order</v>
      </c>
      <c r="AE500" s="11"/>
      <c r="AF500" t="s">
        <v>218</v>
      </c>
      <c r="AG500" s="17" t="s">
        <v>43</v>
      </c>
      <c r="AH500" s="12">
        <v>1245.0</v>
      </c>
      <c r="AI500" s="12" t="s">
        <v>1456</v>
      </c>
      <c r="AJ500" s="19" t="s">
        <v>1457</v>
      </c>
      <c r="AK500" s="20" t="str">
        <f>HYPERLINK("https://docs.google.com/document/d/14ChhDbWuhFadEfgUpMMpRE-DlfOhS-DAKG-MgVEaWf4/edit?usp=drivesdk","Silas Tanner - 4/10/2020 8:15 AM")</f>
        <v>Silas Tanner - 4/10/2020 8:15 AM</v>
      </c>
      <c r="AL500" s="12" t="s">
        <v>1458</v>
      </c>
    </row>
    <row r="501">
      <c r="A501" s="10">
        <f>IFERROR(__xludf.DUMMYFUNCTION("""COMPUTED_VALUE"""),43934.376948819445)</f>
        <v>43934.37695</v>
      </c>
      <c r="B501" s="11" t="str">
        <f>IFERROR(__xludf.DUMMYFUNCTION("""COMPUTED_VALUE"""),"Shannon Dunnigan")</f>
        <v>Shannon Dunnigan</v>
      </c>
      <c r="C501" t="str">
        <f>IFERROR(__xludf.DUMMYFUNCTION("""COMPUTED_VALUE"""),"shannon.dunnigan@dep.state.fl.us")</f>
        <v>shannon.dunnigan@dep.state.fl.us</v>
      </c>
      <c r="D501" t="str">
        <f>IFERROR(__xludf.DUMMYFUNCTION("""COMPUTED_VALUE"""),"Research/Nikki")</f>
        <v>Research/Nikki</v>
      </c>
      <c r="E501" t="str">
        <f>IFERROR(__xludf.DUMMYFUNCTION("""COMPUTED_VALUE"""),"Bings")</f>
        <v>Bings</v>
      </c>
      <c r="F501" s="13">
        <f>IFERROR(__xludf.DUMMYFUNCTION("""COMPUTED_VALUE"""),0.375)</f>
        <v>0.375</v>
      </c>
      <c r="G501" s="14">
        <f>IFERROR(__xludf.DUMMYFUNCTION("""COMPUTED_VALUE"""),43934.0)</f>
        <v>43934</v>
      </c>
      <c r="H501" t="str">
        <f>IFERROR(__xludf.DUMMYFUNCTION("""COMPUTED_VALUE"""),"Wash Oaks veg platforms")</f>
        <v>Wash Oaks veg platforms</v>
      </c>
      <c r="I501" s="15">
        <f>IFERROR(__xludf.DUMMYFUNCTION("""COMPUTED_VALUE"""),0.5833333333321207)</f>
        <v>0.5833333333</v>
      </c>
      <c r="J501" s="16">
        <f>IFERROR(__xludf.DUMMYFUNCTION("""COMPUTED_VALUE"""),43934.66666666667)</f>
        <v>43934.66667</v>
      </c>
      <c r="K501" t="str">
        <f>IFERROR(__xludf.DUMMYFUNCTION("""COMPUTED_VALUE"""),"20ft Sea Ark FL5351SJ UNF 2015")</f>
        <v>20ft Sea Ark FL5351SJ UNF 2015</v>
      </c>
      <c r="M501" t="str">
        <f>IFERROR(__xludf.DUMMYFUNCTION("""COMPUTED_VALUE"""),"Ford F250 2017 (Moby Dix) - DEP0021578")</f>
        <v>Ford F250 2017 (Moby Dix) - DEP0021578</v>
      </c>
      <c r="N501" t="str">
        <f>IFERROR(__xludf.DUMMYFUNCTION("""COMPUTED_VALUE"""),"Shannon Dunnigan, (803) 727-5734, Silas Tanner, (904) 483-8423")</f>
        <v>Shannon Dunnigan, (803) 727-5734, Silas Tanner, (904) 483-8423</v>
      </c>
      <c r="P501" t="str">
        <f>IFERROR(__xludf.DUMMYFUNCTION("""COMPUTED_VALUE"""),"Silas")</f>
        <v>Silas</v>
      </c>
      <c r="Q501" t="str">
        <f>IFERROR(__xludf.DUMMYFUNCTION("""COMPUTED_VALUE"""),"All items in working order")</f>
        <v>All items in working order</v>
      </c>
      <c r="AE501" s="11"/>
      <c r="AF501" t="s">
        <v>218</v>
      </c>
      <c r="AG501" s="17" t="s">
        <v>43</v>
      </c>
      <c r="AH501" s="12">
        <v>1340.0</v>
      </c>
      <c r="AI501" s="12" t="s">
        <v>1459</v>
      </c>
      <c r="AJ501" s="19" t="s">
        <v>1460</v>
      </c>
      <c r="AK501" s="20" t="str">
        <f>HYPERLINK("https://docs.google.com/document/d/1ySb_Wf_HDbpc0L6WS7Fvxm7BA3n0qsprVE5boNnOhyE/edit?usp=drivesdk","Shannon Dunnigan - 4/13/2020 9:00 AM")</f>
        <v>Shannon Dunnigan - 4/13/2020 9:00 AM</v>
      </c>
      <c r="AL501" s="12" t="s">
        <v>1461</v>
      </c>
    </row>
    <row r="502">
      <c r="A502" s="10">
        <f>IFERROR(__xludf.DUMMYFUNCTION("""COMPUTED_VALUE"""),43937.39392268518)</f>
        <v>43937.39392</v>
      </c>
      <c r="B502" s="11" t="str">
        <f>IFERROR(__xludf.DUMMYFUNCTION("""COMPUTED_VALUE"""),"Shannon Dunnigan")</f>
        <v>Shannon Dunnigan</v>
      </c>
      <c r="C502" t="str">
        <f>IFERROR(__xludf.DUMMYFUNCTION("""COMPUTED_VALUE"""),"shannon.dunnigan@dep.state.fl.us")</f>
        <v>shannon.dunnigan@dep.state.fl.us</v>
      </c>
      <c r="D502" t="str">
        <f>IFERROR(__xludf.DUMMYFUNCTION("""COMPUTED_VALUE"""),"Research/Nikki")</f>
        <v>Research/Nikki</v>
      </c>
      <c r="E502" t="str">
        <f>IFERROR(__xludf.DUMMYFUNCTION("""COMPUTED_VALUE"""),"Usina")</f>
        <v>Usina</v>
      </c>
      <c r="F502" s="13">
        <f>IFERROR(__xludf.DUMMYFUNCTION("""COMPUTED_VALUE"""),0.3958333333321207)</f>
        <v>0.3958333333</v>
      </c>
      <c r="G502" s="14">
        <f>IFERROR(__xludf.DUMMYFUNCTION("""COMPUTED_VALUE"""),43937.0)</f>
        <v>43937</v>
      </c>
      <c r="H502" t="str">
        <f>IFERROR(__xludf.DUMMYFUNCTION("""COMPUTED_VALUE"""),"Hat Island")</f>
        <v>Hat Island</v>
      </c>
      <c r="I502" s="15">
        <f>IFERROR(__xludf.DUMMYFUNCTION("""COMPUTED_VALUE"""),0.5833333333321207)</f>
        <v>0.5833333333</v>
      </c>
      <c r="J502" s="16">
        <f>IFERROR(__xludf.DUMMYFUNCTION("""COMPUTED_VALUE"""),43937.64583333333)</f>
        <v>43937.64583</v>
      </c>
      <c r="K502" t="str">
        <f>IFERROR(__xludf.DUMMYFUNCTION("""COMPUTED_VALUE"""),"20ft Sea Ark FL5351SJ UNF 2015")</f>
        <v>20ft Sea Ark FL5351SJ UNF 2015</v>
      </c>
      <c r="M502" t="str">
        <f>IFERROR(__xludf.DUMMYFUNCTION("""COMPUTED_VALUE"""),"Ford F250 2017 (Moby Dix) - DEP0021578")</f>
        <v>Ford F250 2017 (Moby Dix) - DEP0021578</v>
      </c>
      <c r="N502" t="str">
        <f>IFERROR(__xludf.DUMMYFUNCTION("""COMPUTED_VALUE"""),"Shannon Dunnigan, (803) 727-5734, Silas Tanner, (904) 483-8423")</f>
        <v>Shannon Dunnigan, (803) 727-5734, Silas Tanner, (904) 483-8423</v>
      </c>
      <c r="P502" t="str">
        <f>IFERROR(__xludf.DUMMYFUNCTION("""COMPUTED_VALUE"""),"Silas")</f>
        <v>Silas</v>
      </c>
      <c r="Q502" t="str">
        <f>IFERROR(__xludf.DUMMYFUNCTION("""COMPUTED_VALUE"""),"All items in working order")</f>
        <v>All items in working order</v>
      </c>
      <c r="AE502" s="11"/>
      <c r="AF502" t="s">
        <v>218</v>
      </c>
      <c r="AG502" s="17" t="s">
        <v>43</v>
      </c>
      <c r="AH502" s="12">
        <v>1310.0</v>
      </c>
      <c r="AI502" s="12" t="s">
        <v>1462</v>
      </c>
      <c r="AJ502" s="19" t="s">
        <v>1463</v>
      </c>
      <c r="AK502" s="20" t="str">
        <f>HYPERLINK("https://docs.google.com/document/d/1BD_3j3XqESf1MagD8d-LlTnX-jUffHUZziRlz10u5WA/edit?usp=drivesdk","Shannon Dunnigan - 4/16/2020 9:30 AM")</f>
        <v>Shannon Dunnigan - 4/16/2020 9:30 AM</v>
      </c>
      <c r="AL502" s="12" t="s">
        <v>1464</v>
      </c>
    </row>
    <row r="503">
      <c r="A503" s="10">
        <f>IFERROR(__xludf.DUMMYFUNCTION("""COMPUTED_VALUE"""),43938.44964288195)</f>
        <v>43938.44964</v>
      </c>
      <c r="B503" s="11" t="str">
        <f>IFERROR(__xludf.DUMMYFUNCTION("""COMPUTED_VALUE"""),"Silas Tanner")</f>
        <v>Silas Tanner</v>
      </c>
      <c r="C503" t="str">
        <f>IFERROR(__xludf.DUMMYFUNCTION("""COMPUTED_VALUE"""),"silas.tanner@dep.state.fl")</f>
        <v>silas.tanner@dep.state.fl</v>
      </c>
      <c r="D503" t="str">
        <f>IFERROR(__xludf.DUMMYFUNCTION("""COMPUTED_VALUE"""),"Research/Nikki")</f>
        <v>Research/Nikki</v>
      </c>
      <c r="E503" t="str">
        <f>IFERROR(__xludf.DUMMYFUNCTION("""COMPUTED_VALUE"""),"Crane")</f>
        <v>Crane</v>
      </c>
      <c r="F503" s="13">
        <f>IFERROR(__xludf.DUMMYFUNCTION("""COMPUTED_VALUE"""),0.4479166666678793)</f>
        <v>0.4479166667</v>
      </c>
      <c r="G503" s="14">
        <f>IFERROR(__xludf.DUMMYFUNCTION("""COMPUTED_VALUE"""),43938.0)</f>
        <v>43938</v>
      </c>
      <c r="H503" t="str">
        <f>IFERROR(__xludf.DUMMYFUNCTION("""COMPUTED_VALUE"""),"Site 22 Platforms")</f>
        <v>Site 22 Platforms</v>
      </c>
      <c r="I503" s="15">
        <f>IFERROR(__xludf.DUMMYFUNCTION("""COMPUTED_VALUE"""),0.65625)</f>
        <v>0.65625</v>
      </c>
      <c r="J503" s="16">
        <f>IFERROR(__xludf.DUMMYFUNCTION("""COMPUTED_VALUE"""),43938.67708333333)</f>
        <v>43938.67708</v>
      </c>
      <c r="K503" t="str">
        <f>IFERROR(__xludf.DUMMYFUNCTION("""COMPUTED_VALUE"""),"20ft Sea Ark FL5351SJ UNF 2015")</f>
        <v>20ft Sea Ark FL5351SJ UNF 2015</v>
      </c>
      <c r="M503" t="str">
        <f>IFERROR(__xludf.DUMMYFUNCTION("""COMPUTED_VALUE"""),"Ford F250 2017 (Moby Dix) - DEP0021578")</f>
        <v>Ford F250 2017 (Moby Dix) - DEP0021578</v>
      </c>
      <c r="N503" t="str">
        <f>IFERROR(__xludf.DUMMYFUNCTION("""COMPUTED_VALUE"""),"Shannon Dunnigan, (803) 727-5734, Silas Tanner, (904) 483-8423")</f>
        <v>Shannon Dunnigan, (803) 727-5734, Silas Tanner, (904) 483-8423</v>
      </c>
      <c r="P503" t="str">
        <f>IFERROR(__xludf.DUMMYFUNCTION("""COMPUTED_VALUE"""),"S. Dunnigan")</f>
        <v>S. Dunnigan</v>
      </c>
      <c r="Q503" t="str">
        <f>IFERROR(__xludf.DUMMYFUNCTION("""COMPUTED_VALUE"""),"All items in working order")</f>
        <v>All items in working order</v>
      </c>
      <c r="AE503" s="11"/>
      <c r="AF503" t="s">
        <v>218</v>
      </c>
      <c r="AG503" s="17" t="s">
        <v>43</v>
      </c>
      <c r="AH503" s="12">
        <v>1415.0</v>
      </c>
      <c r="AI503" s="12" t="s">
        <v>1465</v>
      </c>
      <c r="AJ503" s="19" t="s">
        <v>1466</v>
      </c>
      <c r="AK503" s="20" t="str">
        <f>HYPERLINK("https://docs.google.com/document/d/1bvXVf8WmVpH3pfe3D8ofkoXxKTDl4PJARSkF_Gv3FGY/edit?usp=drivesdk","Silas Tanner - 4/17/2020 10:45 AM")</f>
        <v>Silas Tanner - 4/17/2020 10:45 AM</v>
      </c>
      <c r="AL503" s="12" t="s">
        <v>1467</v>
      </c>
    </row>
    <row r="504">
      <c r="A504" s="10">
        <f>IFERROR(__xludf.DUMMYFUNCTION("""COMPUTED_VALUE"""),43943.34547168981)</f>
        <v>43943.34547</v>
      </c>
      <c r="B504" s="11" t="str">
        <f>IFERROR(__xludf.DUMMYFUNCTION("""COMPUTED_VALUE"""),"Silas Tanner")</f>
        <v>Silas Tanner</v>
      </c>
      <c r="C504" t="str">
        <f>IFERROR(__xludf.DUMMYFUNCTION("""COMPUTED_VALUE"""),"silas.tanner@floridadep.gov")</f>
        <v>silas.tanner@floridadep.gov</v>
      </c>
      <c r="D504" t="str">
        <f>IFERROR(__xludf.DUMMYFUNCTION("""COMPUTED_VALUE"""),"Research/Nikki")</f>
        <v>Research/Nikki</v>
      </c>
      <c r="E504" t="str">
        <f>IFERROR(__xludf.DUMMYFUNCTION("""COMPUTED_VALUE"""),"Vilano Landing")</f>
        <v>Vilano Landing</v>
      </c>
      <c r="F504" s="13">
        <f>IFERROR(__xludf.DUMMYFUNCTION("""COMPUTED_VALUE"""),0.3798611111124046)</f>
        <v>0.3798611111</v>
      </c>
      <c r="G504" s="14">
        <f>IFERROR(__xludf.DUMMYFUNCTION("""COMPUTED_VALUE"""),43943.0)</f>
        <v>43943</v>
      </c>
      <c r="H504" t="str">
        <f>IFERROR(__xludf.DUMMYFUNCTION("""COMPUTED_VALUE"""),"SWMP stations ICW")</f>
        <v>SWMP stations ICW</v>
      </c>
      <c r="I504" s="15">
        <f>IFERROR(__xludf.DUMMYFUNCTION("""COMPUTED_VALUE"""),0.5847222222218988)</f>
        <v>0.5847222222</v>
      </c>
      <c r="J504" s="16">
        <f>IFERROR(__xludf.DUMMYFUNCTION("""COMPUTED_VALUE"""),43943.60416666667)</f>
        <v>43943.60417</v>
      </c>
      <c r="K504" t="str">
        <f>IFERROR(__xludf.DUMMYFUNCTION("""COMPUTED_VALUE"""),"23ft Skiff (Bertha) FL7972LJ DEP07613")</f>
        <v>23ft Skiff (Bertha) FL7972LJ DEP07613</v>
      </c>
      <c r="M504" t="str">
        <f>IFERROR(__xludf.DUMMYFUNCTION("""COMPUTED_VALUE"""),"Ford F250 2017 (Moby Dix) - DEP0021578")</f>
        <v>Ford F250 2017 (Moby Dix) - DEP0021578</v>
      </c>
      <c r="N504" t="str">
        <f>IFERROR(__xludf.DUMMYFUNCTION("""COMPUTED_VALUE"""),"Silas Tanner, (904) 483-8423")</f>
        <v>Silas Tanner, (904) 483-8423</v>
      </c>
      <c r="O504" t="str">
        <f>IFERROR(__xludf.DUMMYFUNCTION("""COMPUTED_VALUE"""),"Alee Knoell, (619) 750-4833")</f>
        <v>Alee Knoell, (619) 750-4833</v>
      </c>
      <c r="P504" t="str">
        <f>IFERROR(__xludf.DUMMYFUNCTION("""COMPUTED_VALUE"""),"S. Tanner")</f>
        <v>S. Tanner</v>
      </c>
      <c r="Q504" t="str">
        <f>IFERROR(__xludf.DUMMYFUNCTION("""COMPUTED_VALUE"""),"All items in working order")</f>
        <v>All items in working order</v>
      </c>
      <c r="AE504" s="11"/>
      <c r="AF504" t="s">
        <v>218</v>
      </c>
      <c r="AG504" s="17" t="s">
        <v>141</v>
      </c>
      <c r="AH504" s="12">
        <v>1418.0</v>
      </c>
      <c r="AI504" s="12" t="s">
        <v>1468</v>
      </c>
      <c r="AJ504" s="19" t="s">
        <v>1469</v>
      </c>
      <c r="AK504" s="20" t="str">
        <f>HYPERLINK("https://docs.google.com/document/d/1Sn_beP3kbP-m30Ouz34BZDqRb6UrdvloQgVA8tVVrJg/edit?usp=drivesdk","Silas Tanner - 4/22/2020 9:07 AM")</f>
        <v>Silas Tanner - 4/22/2020 9:07 AM</v>
      </c>
      <c r="AL504" s="12" t="s">
        <v>1470</v>
      </c>
    </row>
    <row r="505">
      <c r="A505" s="10">
        <f>IFERROR(__xludf.DUMMYFUNCTION("""COMPUTED_VALUE"""),43950.3863384375)</f>
        <v>43950.38634</v>
      </c>
      <c r="B505" s="11" t="str">
        <f>IFERROR(__xludf.DUMMYFUNCTION("""COMPUTED_VALUE"""),"Shannon Dunnigan")</f>
        <v>Shannon Dunnigan</v>
      </c>
      <c r="C505" t="str">
        <f>IFERROR(__xludf.DUMMYFUNCTION("""COMPUTED_VALUE"""),"shannon.dunnigan@dep.state.fl.us")</f>
        <v>shannon.dunnigan@dep.state.fl.us</v>
      </c>
      <c r="D505" t="str">
        <f>IFERROR(__xludf.DUMMYFUNCTION("""COMPUTED_VALUE"""),"Research/Pam")</f>
        <v>Research/Pam</v>
      </c>
      <c r="E505" t="str">
        <f>IFERROR(__xludf.DUMMYFUNCTION("""COMPUTED_VALUE"""),"Greene St")</f>
        <v>Greene St</v>
      </c>
      <c r="F505" s="13">
        <f>IFERROR(__xludf.DUMMYFUNCTION("""COMPUTED_VALUE"""),0.2916666666678793)</f>
        <v>0.2916666667</v>
      </c>
      <c r="G505" s="14">
        <f>IFERROR(__xludf.DUMMYFUNCTION("""COMPUTED_VALUE"""),43950.0)</f>
        <v>43950</v>
      </c>
      <c r="H505" t="str">
        <f>IFERROR(__xludf.DUMMYFUNCTION("""COMPUTED_VALUE"""),"Moses platforms")</f>
        <v>Moses platforms</v>
      </c>
      <c r="I505" s="15">
        <f>IFERROR(__xludf.DUMMYFUNCTION("""COMPUTED_VALUE"""),0.625)</f>
        <v>0.625</v>
      </c>
      <c r="J505" s="16">
        <f>IFERROR(__xludf.DUMMYFUNCTION("""COMPUTED_VALUE"""),43950.6875)</f>
        <v>43950.6875</v>
      </c>
      <c r="K505" t="str">
        <f>IFERROR(__xludf.DUMMYFUNCTION("""COMPUTED_VALUE"""),"20ft Sea Ark FL5351SJ UNF 2015")</f>
        <v>20ft Sea Ark FL5351SJ UNF 2015</v>
      </c>
      <c r="M505" t="str">
        <f>IFERROR(__xludf.DUMMYFUNCTION("""COMPUTED_VALUE"""),"Ford F250 2017 (Moby Dix) - DEP0021578")</f>
        <v>Ford F250 2017 (Moby Dix) - DEP0021578</v>
      </c>
      <c r="N505" t="str">
        <f>IFERROR(__xludf.DUMMYFUNCTION("""COMPUTED_VALUE"""),"Shannon Dunnigan, (803) 727-5734, Silas Tanner, (904) 483-8423")</f>
        <v>Shannon Dunnigan, (803) 727-5734, Silas Tanner, (904) 483-8423</v>
      </c>
      <c r="P505" t="str">
        <f>IFERROR(__xludf.DUMMYFUNCTION("""COMPUTED_VALUE"""),"Silas")</f>
        <v>Silas</v>
      </c>
      <c r="Q505" t="str">
        <f>IFERROR(__xludf.DUMMYFUNCTION("""COMPUTED_VALUE"""),"All items in working order")</f>
        <v>All items in working order</v>
      </c>
      <c r="AE505" s="11"/>
      <c r="AF505" t="s">
        <v>262</v>
      </c>
      <c r="AG505" s="17" t="s">
        <v>141</v>
      </c>
      <c r="AH505" s="12">
        <v>1302.0</v>
      </c>
      <c r="AI505" s="12" t="s">
        <v>1471</v>
      </c>
      <c r="AJ505" s="19" t="s">
        <v>1472</v>
      </c>
      <c r="AK505" s="20" t="str">
        <f>HYPERLINK("https://docs.google.com/document/d/1wWWw2_W3NFYQsTK6GU3NuVWpTJA30Wc6ARtYZq28A-8/edit?usp=drivesdk","Shannon Dunnigan - 4/29/2020 7:00 AM")</f>
        <v>Shannon Dunnigan - 4/29/2020 7:00 AM</v>
      </c>
      <c r="AL505" s="12" t="s">
        <v>1473</v>
      </c>
    </row>
    <row r="506">
      <c r="A506" s="10">
        <f>IFERROR(__xludf.DUMMYFUNCTION("""COMPUTED_VALUE"""),43950.54879920139)</f>
        <v>43950.5488</v>
      </c>
      <c r="B506" s="11" t="str">
        <f>IFERROR(__xludf.DUMMYFUNCTION("""COMPUTED_VALUE"""),"Shannon Dunnigan")</f>
        <v>Shannon Dunnigan</v>
      </c>
      <c r="C506" t="str">
        <f>IFERROR(__xludf.DUMMYFUNCTION("""COMPUTED_VALUE"""),"shannon.dunnigan@dep.state.fl.us")</f>
        <v>shannon.dunnigan@dep.state.fl.us</v>
      </c>
      <c r="D506" t="str">
        <f>IFERROR(__xludf.DUMMYFUNCTION("""COMPUTED_VALUE"""),"Research/Pam")</f>
        <v>Research/Pam</v>
      </c>
      <c r="E506" t="str">
        <f>IFERROR(__xludf.DUMMYFUNCTION("""COMPUTED_VALUE"""),"Greene St")</f>
        <v>Greene St</v>
      </c>
      <c r="F506" s="13">
        <f>IFERROR(__xludf.DUMMYFUNCTION("""COMPUTED_VALUE"""),0.2916666666678793)</f>
        <v>0.2916666667</v>
      </c>
      <c r="G506" s="14">
        <f>IFERROR(__xludf.DUMMYFUNCTION("""COMPUTED_VALUE"""),43950.0)</f>
        <v>43950</v>
      </c>
      <c r="H506" t="str">
        <f>IFERROR(__xludf.DUMMYFUNCTION("""COMPUTED_VALUE"""),"Moses platforms")</f>
        <v>Moses platforms</v>
      </c>
      <c r="I506" s="15">
        <f>IFERROR(__xludf.DUMMYFUNCTION("""COMPUTED_VALUE"""),0.625)</f>
        <v>0.625</v>
      </c>
      <c r="J506" s="16">
        <f>IFERROR(__xludf.DUMMYFUNCTION("""COMPUTED_VALUE"""),43950.6875)</f>
        <v>43950.6875</v>
      </c>
      <c r="K506" t="str">
        <f>IFERROR(__xludf.DUMMYFUNCTION("""COMPUTED_VALUE"""),"20ft Sea Ark FL5351SJ UNF 2015")</f>
        <v>20ft Sea Ark FL5351SJ UNF 2015</v>
      </c>
      <c r="M506" t="str">
        <f>IFERROR(__xludf.DUMMYFUNCTION("""COMPUTED_VALUE"""),"Ford F250 2017 (Moby Dix) - DEP0021578")</f>
        <v>Ford F250 2017 (Moby Dix) - DEP0021578</v>
      </c>
      <c r="N506" t="str">
        <f>IFERROR(__xludf.DUMMYFUNCTION("""COMPUTED_VALUE"""),"Shannon Dunnigan, (803) 727-5734, Silas Tanner, (904) 483-8423")</f>
        <v>Shannon Dunnigan, (803) 727-5734, Silas Tanner, (904) 483-8423</v>
      </c>
      <c r="P506" t="str">
        <f>IFERROR(__xludf.DUMMYFUNCTION("""COMPUTED_VALUE"""),"Silas")</f>
        <v>Silas</v>
      </c>
      <c r="Q506" t="str">
        <f>IFERROR(__xludf.DUMMYFUNCTION("""COMPUTED_VALUE"""),"All items in working order")</f>
        <v>All items in working order</v>
      </c>
      <c r="AE506" s="11"/>
      <c r="AF506" t="s">
        <v>262</v>
      </c>
      <c r="AG506" s="17" t="s">
        <v>141</v>
      </c>
      <c r="AH506" s="12" t="s">
        <v>282</v>
      </c>
      <c r="AI506" s="12" t="s">
        <v>1474</v>
      </c>
      <c r="AJ506" s="19" t="s">
        <v>1475</v>
      </c>
      <c r="AK506" s="20" t="str">
        <f>HYPERLINK("https://docs.google.com/document/d/1Q3RnEnYWyufu63NNQ7-DOQFAqeNUadnCOGapTsd72fs/edit?usp=drivesdk","Shannon Dunnigan - 4/29/2020 7:00 AM")</f>
        <v>Shannon Dunnigan - 4/29/2020 7:00 AM</v>
      </c>
      <c r="AL506" s="12" t="s">
        <v>1476</v>
      </c>
    </row>
    <row r="507">
      <c r="A507" s="10">
        <f>IFERROR(__xludf.DUMMYFUNCTION("""COMPUTED_VALUE"""),43952.33900774305)</f>
        <v>43952.33901</v>
      </c>
      <c r="B507" s="11" t="str">
        <f>IFERROR(__xludf.DUMMYFUNCTION("""COMPUTED_VALUE"""),"Pamela Marcum")</f>
        <v>Pamela Marcum</v>
      </c>
      <c r="C507" t="str">
        <f>IFERROR(__xludf.DUMMYFUNCTION("""COMPUTED_VALUE"""),"pamela.marcum@floridadep.gov")</f>
        <v>pamela.marcum@floridadep.gov</v>
      </c>
      <c r="D507" t="str">
        <f>IFERROR(__xludf.DUMMYFUNCTION("""COMPUTED_VALUE"""),"Research/Nikki")</f>
        <v>Research/Nikki</v>
      </c>
      <c r="E507" t="str">
        <f>IFERROR(__xludf.DUMMYFUNCTION("""COMPUTED_VALUE"""),"Aunt Kates")</f>
        <v>Aunt Kates</v>
      </c>
      <c r="F507" s="13">
        <f>IFERROR(__xludf.DUMMYFUNCTION("""COMPUTED_VALUE"""),0.2916666666678793)</f>
        <v>0.2916666667</v>
      </c>
      <c r="G507" s="14">
        <f>IFERROR(__xludf.DUMMYFUNCTION("""COMPUTED_VALUE"""),43952.0)</f>
        <v>43952</v>
      </c>
      <c r="H507" t="str">
        <f>IFERROR(__xludf.DUMMYFUNCTION("""COMPUTED_VALUE"""),"Spat trees")</f>
        <v>Spat trees</v>
      </c>
      <c r="I507" s="15">
        <f>IFERROR(__xludf.DUMMYFUNCTION("""COMPUTED_VALUE"""),0.6666666666678793)</f>
        <v>0.6666666667</v>
      </c>
      <c r="J507" s="16">
        <f>IFERROR(__xludf.DUMMYFUNCTION("""COMPUTED_VALUE"""),43952.6875)</f>
        <v>43952.6875</v>
      </c>
      <c r="K507" t="str">
        <f>IFERROR(__xludf.DUMMYFUNCTION("""COMPUTED_VALUE"""),"20ft Sea Ark FL5351SJ UNF 2015")</f>
        <v>20ft Sea Ark FL5351SJ UNF 2015</v>
      </c>
      <c r="M507" t="str">
        <f>IFERROR(__xludf.DUMMYFUNCTION("""COMPUTED_VALUE"""),"Ford F150 2015 (White) - DEP21448")</f>
        <v>Ford F150 2015 (White) - DEP21448</v>
      </c>
      <c r="N507" t="str">
        <f>IFERROR(__xludf.DUMMYFUNCTION("""COMPUTED_VALUE"""),"Pam Marcum, (480) 332-5414")</f>
        <v>Pam Marcum, (480) 332-5414</v>
      </c>
      <c r="O507" t="str">
        <f>IFERROR(__xludf.DUMMYFUNCTION("""COMPUTED_VALUE"""),"Alee Knoell, (619) 750-4833, Adrienne Breef-Pilz")</f>
        <v>Alee Knoell, (619) 750-4833, Adrienne Breef-Pilz</v>
      </c>
      <c r="P507" t="str">
        <f>IFERROR(__xludf.DUMMYFUNCTION("""COMPUTED_VALUE"""),"Pam")</f>
        <v>Pam</v>
      </c>
      <c r="Q507" t="str">
        <f>IFERROR(__xludf.DUMMYFUNCTION("""COMPUTED_VALUE"""),"All items in working order")</f>
        <v>All items in working order</v>
      </c>
      <c r="AE507" s="11"/>
      <c r="AF507" t="s">
        <v>218</v>
      </c>
      <c r="AG507" s="17" t="s">
        <v>43</v>
      </c>
      <c r="AH507" s="12">
        <v>1600.0</v>
      </c>
      <c r="AI507" s="12" t="s">
        <v>1477</v>
      </c>
      <c r="AJ507" s="19" t="s">
        <v>1478</v>
      </c>
      <c r="AK507" s="20" t="str">
        <f>HYPERLINK("https://docs.google.com/document/d/1sdZXFy4O1v4OgayNenBQ6cwwXuCx4MWi_3l287LgZlE/edit?usp=drivesdk","Pamela Marcum - 5/1/2020 7:00 AM")</f>
        <v>Pamela Marcum - 5/1/2020 7:00 AM</v>
      </c>
      <c r="AL507" s="12" t="s">
        <v>1479</v>
      </c>
    </row>
    <row r="508">
      <c r="A508" s="10">
        <f>IFERROR(__xludf.DUMMYFUNCTION("""COMPUTED_VALUE"""),43956.31469302083)</f>
        <v>43956.31469</v>
      </c>
      <c r="B508" s="11" t="str">
        <f>IFERROR(__xludf.DUMMYFUNCTION("""COMPUTED_VALUE"""),"Silas Tanner")</f>
        <v>Silas Tanner</v>
      </c>
      <c r="C508" t="str">
        <f>IFERROR(__xludf.DUMMYFUNCTION("""COMPUTED_VALUE"""),"silas.tanner@dep.state.fl.us")</f>
        <v>silas.tanner@dep.state.fl.us</v>
      </c>
      <c r="D508" t="str">
        <f>IFERROR(__xludf.DUMMYFUNCTION("""COMPUTED_VALUE"""),"Research/Nikki")</f>
        <v>Research/Nikki</v>
      </c>
      <c r="E508" t="str">
        <f>IFERROR(__xludf.DUMMYFUNCTION("""COMPUTED_VALUE"""),"Vilano Landing")</f>
        <v>Vilano Landing</v>
      </c>
      <c r="F508" s="13">
        <f>IFERROR(__xludf.DUMMYFUNCTION("""COMPUTED_VALUE"""),0.32638888889050577)</f>
        <v>0.3263888889</v>
      </c>
      <c r="G508" s="14">
        <f>IFERROR(__xludf.DUMMYFUNCTION("""COMPUTED_VALUE"""),43956.0)</f>
        <v>43956</v>
      </c>
      <c r="H508" t="str">
        <f>IFERROR(__xludf.DUMMYFUNCTION("""COMPUTED_VALUE"""),"ICW SWMP sites")</f>
        <v>ICW SWMP sites</v>
      </c>
      <c r="I508" s="15">
        <f>IFERROR(__xludf.DUMMYFUNCTION("""COMPUTED_VALUE"""),0.5833333333321207)</f>
        <v>0.5833333333</v>
      </c>
      <c r="J508" s="16">
        <f>IFERROR(__xludf.DUMMYFUNCTION("""COMPUTED_VALUE"""),43956.60416666667)</f>
        <v>43956.60417</v>
      </c>
      <c r="K508" t="str">
        <f>IFERROR(__xludf.DUMMYFUNCTION("""COMPUTED_VALUE"""),"23ft Skiff (Bertha) FL7972LJ DEP07613")</f>
        <v>23ft Skiff (Bertha) FL7972LJ DEP07613</v>
      </c>
      <c r="M508" t="str">
        <f>IFERROR(__xludf.DUMMYFUNCTION("""COMPUTED_VALUE"""),"Ford F250 2017 (Moby Dix) - DEP0021578")</f>
        <v>Ford F250 2017 (Moby Dix) - DEP0021578</v>
      </c>
      <c r="N508" t="str">
        <f>IFERROR(__xludf.DUMMYFUNCTION("""COMPUTED_VALUE"""),"Silas Tanner, (904) 483-8423")</f>
        <v>Silas Tanner, (904) 483-8423</v>
      </c>
      <c r="O508" t="str">
        <f>IFERROR(__xludf.DUMMYFUNCTION("""COMPUTED_VALUE"""),"Alee Knoell, (619) 750-4833")</f>
        <v>Alee Knoell, (619) 750-4833</v>
      </c>
      <c r="P508" t="str">
        <f>IFERROR(__xludf.DUMMYFUNCTION("""COMPUTED_VALUE"""),"S. Tanner")</f>
        <v>S. Tanner</v>
      </c>
      <c r="Q508" t="str">
        <f>IFERROR(__xludf.DUMMYFUNCTION("""COMPUTED_VALUE"""),"All items in working order")</f>
        <v>All items in working order</v>
      </c>
      <c r="AE508" s="11"/>
      <c r="AF508" t="s">
        <v>218</v>
      </c>
      <c r="AG508" s="17" t="s">
        <v>43</v>
      </c>
      <c r="AH508" s="12">
        <v>1330.0</v>
      </c>
      <c r="AI508" s="12" t="s">
        <v>1480</v>
      </c>
      <c r="AJ508" s="19" t="s">
        <v>1481</v>
      </c>
      <c r="AK508" s="20" t="str">
        <f>HYPERLINK("https://docs.google.com/document/d/1lhvDJUqQ6VbuHFWCSjOTx-d-WCodZhXGqGuhuyYPnIo/edit?usp=drivesdk","Silas Tanner - 5/5/2020 7:50 AM")</f>
        <v>Silas Tanner - 5/5/2020 7:50 AM</v>
      </c>
      <c r="AL508" s="12" t="s">
        <v>1482</v>
      </c>
    </row>
    <row r="509">
      <c r="A509" s="10">
        <f>IFERROR(__xludf.DUMMYFUNCTION("""COMPUTED_VALUE"""),43965.47903462963)</f>
        <v>43965.47903</v>
      </c>
      <c r="B509" s="11" t="str">
        <f>IFERROR(__xludf.DUMMYFUNCTION("""COMPUTED_VALUE"""),"Alexandria Knoell")</f>
        <v>Alexandria Knoell</v>
      </c>
      <c r="C509" t="str">
        <f>IFERROR(__xludf.DUMMYFUNCTION("""COMPUTED_VALUE"""),"alee.knoell@floridadep.gov")</f>
        <v>alee.knoell@floridadep.gov</v>
      </c>
      <c r="D509" t="str">
        <f>IFERROR(__xludf.DUMMYFUNCTION("""COMPUTED_VALUE"""),"Research/Nikki")</f>
        <v>Research/Nikki</v>
      </c>
      <c r="E509" t="str">
        <f>IFERROR(__xludf.DUMMYFUNCTION("""COMPUTED_VALUE"""),"Shore drive")</f>
        <v>Shore drive</v>
      </c>
      <c r="F509" s="13">
        <f>IFERROR(__xludf.DUMMYFUNCTION("""COMPUTED_VALUE"""),0.4791666666678793)</f>
        <v>0.4791666667</v>
      </c>
      <c r="G509" s="14">
        <f>IFERROR(__xludf.DUMMYFUNCTION("""COMPUTED_VALUE"""),43965.0)</f>
        <v>43965</v>
      </c>
      <c r="H509" t="str">
        <f>IFERROR(__xludf.DUMMYFUNCTION("""COMPUTED_VALUE"""),"Site 22")</f>
        <v>Site 22</v>
      </c>
      <c r="I509" s="15">
        <f>IFERROR(__xludf.DUMMYFUNCTION("""COMPUTED_VALUE"""),0.6458333333321207)</f>
        <v>0.6458333333</v>
      </c>
      <c r="J509" s="16">
        <f>IFERROR(__xludf.DUMMYFUNCTION("""COMPUTED_VALUE"""),43965.6875)</f>
        <v>43965.6875</v>
      </c>
      <c r="K509" t="str">
        <f>IFERROR(__xludf.DUMMYFUNCTION("""COMPUTED_VALUE"""),"23ft Skiff (Bertha) FL7972LJ DEP07613")</f>
        <v>23ft Skiff (Bertha) FL7972LJ DEP07613</v>
      </c>
      <c r="M509" t="str">
        <f>IFERROR(__xludf.DUMMYFUNCTION("""COMPUTED_VALUE"""),"Ford F150 2015 (White) - DEP21448")</f>
        <v>Ford F150 2015 (White) - DEP21448</v>
      </c>
      <c r="N509" t="str">
        <f>IFERROR(__xludf.DUMMYFUNCTION("""COMPUTED_VALUE"""),"Pam Marcum, (480) 332-5414")</f>
        <v>Pam Marcum, (480) 332-5414</v>
      </c>
      <c r="O509" t="str">
        <f>IFERROR(__xludf.DUMMYFUNCTION("""COMPUTED_VALUE"""),"Alee Knoell, (619) 750-4833")</f>
        <v>Alee Knoell, (619) 750-4833</v>
      </c>
      <c r="P509" t="str">
        <f>IFERROR(__xludf.DUMMYFUNCTION("""COMPUTED_VALUE"""),"Pam")</f>
        <v>Pam</v>
      </c>
      <c r="Q509" t="str">
        <f>IFERROR(__xludf.DUMMYFUNCTION("""COMPUTED_VALUE"""),"All items in working order")</f>
        <v>All items in working order</v>
      </c>
      <c r="AE509" s="11"/>
      <c r="AF509" t="s">
        <v>218</v>
      </c>
      <c r="AG509" s="17" t="s">
        <v>43</v>
      </c>
      <c r="AH509" s="12">
        <v>1630.0</v>
      </c>
      <c r="AI509" s="12" t="s">
        <v>1483</v>
      </c>
      <c r="AJ509" s="19" t="s">
        <v>1484</v>
      </c>
      <c r="AK509" s="20" t="str">
        <f>HYPERLINK("https://docs.google.com/document/d/18sqgyQ0lpg1V9eMGG7WJ7vmIQ_dgCxVILr4C4__E4IU/edit?usp=drivesdk","Alexandria Knoell - 5/14/2020 11:30 AM")</f>
        <v>Alexandria Knoell - 5/14/2020 11:30 AM</v>
      </c>
      <c r="AL509" s="12" t="s">
        <v>1485</v>
      </c>
    </row>
    <row r="510">
      <c r="A510" s="10">
        <f>IFERROR(__xludf.DUMMYFUNCTION("""COMPUTED_VALUE"""),43966.42435864583)</f>
        <v>43966.42436</v>
      </c>
      <c r="B510" s="11" t="str">
        <f>IFERROR(__xludf.DUMMYFUNCTION("""COMPUTED_VALUE"""),"Pamela Marcum")</f>
        <v>Pamela Marcum</v>
      </c>
      <c r="C510" t="str">
        <f>IFERROR(__xludf.DUMMYFUNCTION("""COMPUTED_VALUE"""),"pamela.marcum@floridadep.gov")</f>
        <v>pamela.marcum@floridadep.gov</v>
      </c>
      <c r="D510" t="str">
        <f>IFERROR(__xludf.DUMMYFUNCTION("""COMPUTED_VALUE"""),"Research/Nikki")</f>
        <v>Research/Nikki</v>
      </c>
      <c r="E510" t="str">
        <f>IFERROR(__xludf.DUMMYFUNCTION("""COMPUTED_VALUE"""),"Shore Drive")</f>
        <v>Shore Drive</v>
      </c>
      <c r="F510" s="13">
        <f>IFERROR(__xludf.DUMMYFUNCTION("""COMPUTED_VALUE"""),0.3958333333321207)</f>
        <v>0.3958333333</v>
      </c>
      <c r="G510" s="14">
        <f>IFERROR(__xludf.DUMMYFUNCTION("""COMPUTED_VALUE"""),43966.0)</f>
        <v>43966</v>
      </c>
      <c r="H510" t="str">
        <f>IFERROR(__xludf.DUMMYFUNCTION("""COMPUTED_VALUE"""),"Gabbys Creek, FM/SA spat trees")</f>
        <v>Gabbys Creek, FM/SA spat trees</v>
      </c>
      <c r="I510" s="15">
        <f>IFERROR(__xludf.DUMMYFUNCTION("""COMPUTED_VALUE"""),0.6666666666678793)</f>
        <v>0.6666666667</v>
      </c>
      <c r="J510" s="16">
        <f>IFERROR(__xludf.DUMMYFUNCTION("""COMPUTED_VALUE"""),43966.70833333333)</f>
        <v>43966.70833</v>
      </c>
      <c r="K510" t="str">
        <f>IFERROR(__xludf.DUMMYFUNCTION("""COMPUTED_VALUE"""),"23ft Skiff (Bertha) FL7972LJ DEP07613")</f>
        <v>23ft Skiff (Bertha) FL7972LJ DEP07613</v>
      </c>
      <c r="M510" t="str">
        <f>IFERROR(__xludf.DUMMYFUNCTION("""COMPUTED_VALUE"""),"Ford F150 2015 (White) - DEP21448")</f>
        <v>Ford F150 2015 (White) - DEP21448</v>
      </c>
      <c r="N510" t="str">
        <f>IFERROR(__xludf.DUMMYFUNCTION("""COMPUTED_VALUE"""),"Pam Marcum, (480) 332-5414")</f>
        <v>Pam Marcum, (480) 332-5414</v>
      </c>
      <c r="O510" t="str">
        <f>IFERROR(__xludf.DUMMYFUNCTION("""COMPUTED_VALUE"""),"Gabby Canas")</f>
        <v>Gabby Canas</v>
      </c>
      <c r="P510" t="str">
        <f>IFERROR(__xludf.DUMMYFUNCTION("""COMPUTED_VALUE"""),"Pam")</f>
        <v>Pam</v>
      </c>
      <c r="Q510" t="str">
        <f>IFERROR(__xludf.DUMMYFUNCTION("""COMPUTED_VALUE"""),"All items in working order")</f>
        <v>All items in working order</v>
      </c>
      <c r="AE510" s="11"/>
      <c r="AF510" t="s">
        <v>218</v>
      </c>
      <c r="AG510" s="17" t="s">
        <v>43</v>
      </c>
      <c r="AH510" s="12">
        <v>1655.0</v>
      </c>
      <c r="AI510" s="12" t="s">
        <v>1486</v>
      </c>
      <c r="AJ510" s="19" t="s">
        <v>1487</v>
      </c>
      <c r="AK510" s="20" t="str">
        <f>HYPERLINK("https://docs.google.com/document/d/1ya1ParIBtADBD_jkTpK00xrw3nvRI4NjwiCkgp2NY8k/edit?usp=drivesdk","Pamela Marcum - 5/15/2020 9:30 AM")</f>
        <v>Pamela Marcum - 5/15/2020 9:30 AM</v>
      </c>
      <c r="AL510" s="12" t="s">
        <v>1488</v>
      </c>
    </row>
    <row r="511">
      <c r="A511" s="10">
        <f>IFERROR(__xludf.DUMMYFUNCTION("""COMPUTED_VALUE"""),43969.31078939815)</f>
        <v>43969.31079</v>
      </c>
      <c r="B511" s="11" t="str">
        <f>IFERROR(__xludf.DUMMYFUNCTION("""COMPUTED_VALUE"""),"Shannon Dunnigan")</f>
        <v>Shannon Dunnigan</v>
      </c>
      <c r="C511" t="str">
        <f>IFERROR(__xludf.DUMMYFUNCTION("""COMPUTED_VALUE"""),"shannon.dunnigan@floridadep.gov")</f>
        <v>shannon.dunnigan@floridadep.gov</v>
      </c>
      <c r="D511" t="str">
        <f>IFERROR(__xludf.DUMMYFUNCTION("""COMPUTED_VALUE"""),"Research/Nikki")</f>
        <v>Research/Nikki</v>
      </c>
      <c r="E511" t="str">
        <f>IFERROR(__xludf.DUMMYFUNCTION("""COMPUTED_VALUE"""),"Guana dam")</f>
        <v>Guana dam</v>
      </c>
      <c r="F511" s="13">
        <f>IFERROR(__xludf.DUMMYFUNCTION("""COMPUTED_VALUE"""),0.3055555555547471)</f>
        <v>0.3055555556</v>
      </c>
      <c r="G511" s="14">
        <f>IFERROR(__xludf.DUMMYFUNCTION("""COMPUTED_VALUE"""),43969.0)</f>
        <v>43969</v>
      </c>
      <c r="H511" t="str">
        <f>IFERROR(__xludf.DUMMYFUNCTION("""COMPUTED_VALUE"""),"Guana WQ River sites")</f>
        <v>Guana WQ River sites</v>
      </c>
      <c r="I511" s="15">
        <f>IFERROR(__xludf.DUMMYFUNCTION("""COMPUTED_VALUE"""),0.375)</f>
        <v>0.375</v>
      </c>
      <c r="J511" s="16">
        <f>IFERROR(__xludf.DUMMYFUNCTION("""COMPUTED_VALUE"""),43969.40625)</f>
        <v>43969.40625</v>
      </c>
      <c r="K511" t="str">
        <f>IFERROR(__xludf.DUMMYFUNCTION("""COMPUTED_VALUE"""),"Jonboat FL5992 RR")</f>
        <v>Jonboat FL5992 RR</v>
      </c>
      <c r="M511" t="str">
        <f>IFERROR(__xludf.DUMMYFUNCTION("""COMPUTED_VALUE"""),"Ford F250 2017 (Moby Dix) - DEP0021578")</f>
        <v>Ford F250 2017 (Moby Dix) - DEP0021578</v>
      </c>
      <c r="N511" t="str">
        <f>IFERROR(__xludf.DUMMYFUNCTION("""COMPUTED_VALUE"""),"Shannon Dunnigan, (803) 727-5734")</f>
        <v>Shannon Dunnigan, (803) 727-5734</v>
      </c>
      <c r="O511" t="str">
        <f>IFERROR(__xludf.DUMMYFUNCTION("""COMPUTED_VALUE"""),"Jess Lee")</f>
        <v>Jess Lee</v>
      </c>
      <c r="P511" t="str">
        <f>IFERROR(__xludf.DUMMYFUNCTION("""COMPUTED_VALUE"""),"Shannon")</f>
        <v>Shannon</v>
      </c>
      <c r="Q511" t="str">
        <f>IFERROR(__xludf.DUMMYFUNCTION("""COMPUTED_VALUE"""),"All items in working order")</f>
        <v>All items in working order</v>
      </c>
      <c r="AE511" s="11"/>
      <c r="AF511" t="s">
        <v>218</v>
      </c>
      <c r="AG511" s="17" t="s">
        <v>43</v>
      </c>
      <c r="AH511" s="12">
        <v>908.0</v>
      </c>
      <c r="AI511" s="12" t="s">
        <v>1489</v>
      </c>
      <c r="AJ511" s="19" t="s">
        <v>1490</v>
      </c>
      <c r="AK511" s="20" t="str">
        <f>HYPERLINK("https://docs.google.com/document/d/1hfXJFXH3E1tUX8F2g62JVGeOxbDa7Lp7WOe8Xek4Lnc/edit?usp=drivesdk","Shannon Dunnigan - 5/18/2020 7:20 AM")</f>
        <v>Shannon Dunnigan - 5/18/2020 7:20 AM</v>
      </c>
      <c r="AL511" s="12" t="s">
        <v>1491</v>
      </c>
    </row>
    <row r="512">
      <c r="A512" s="10">
        <f>IFERROR(__xludf.DUMMYFUNCTION("""COMPUTED_VALUE"""),43970.341321921296)</f>
        <v>43970.34132</v>
      </c>
      <c r="B512" s="11" t="str">
        <f>IFERROR(__xludf.DUMMYFUNCTION("""COMPUTED_VALUE"""),"Shannon Dunnigan")</f>
        <v>Shannon Dunnigan</v>
      </c>
      <c r="C512" t="str">
        <f>IFERROR(__xludf.DUMMYFUNCTION("""COMPUTED_VALUE"""),"shannon.dunnigan@floridadep.gov")</f>
        <v>shannon.dunnigan@floridadep.gov</v>
      </c>
      <c r="D512" t="str">
        <f>IFERROR(__xludf.DUMMYFUNCTION("""COMPUTED_VALUE"""),"Research/Nikki")</f>
        <v>Research/Nikki</v>
      </c>
      <c r="E512" t="str">
        <f>IFERROR(__xludf.DUMMYFUNCTION("""COMPUTED_VALUE"""),"Vilano")</f>
        <v>Vilano</v>
      </c>
      <c r="F512" s="13">
        <f>IFERROR(__xludf.DUMMYFUNCTION("""COMPUTED_VALUE"""),0.34375)</f>
        <v>0.34375</v>
      </c>
      <c r="G512" s="14">
        <f>IFERROR(__xludf.DUMMYFUNCTION("""COMPUTED_VALUE"""),43970.0)</f>
        <v>43970</v>
      </c>
      <c r="H512" t="str">
        <f>IFERROR(__xludf.DUMMYFUNCTION("""COMPUTED_VALUE"""),"SWMP sites")</f>
        <v>SWMP sites</v>
      </c>
      <c r="I512" s="15">
        <f>IFERROR(__xludf.DUMMYFUNCTION("""COMPUTED_VALUE"""),0.5416666666678793)</f>
        <v>0.5416666667</v>
      </c>
      <c r="J512" s="16">
        <f>IFERROR(__xludf.DUMMYFUNCTION("""COMPUTED_VALUE"""),43970.58333333333)</f>
        <v>43970.58333</v>
      </c>
      <c r="K512" t="str">
        <f>IFERROR(__xludf.DUMMYFUNCTION("""COMPUTED_VALUE"""),"F 20ft Sea Ark (Easy 200) FL8534PY DEP21451")</f>
        <v>F 20ft Sea Ark (Easy 200) FL8534PY DEP21451</v>
      </c>
      <c r="M512" t="str">
        <f>IFERROR(__xludf.DUMMYFUNCTION("""COMPUTED_VALUE"""),"Ford F250 2017 (Moby Dix) - DEP0021578")</f>
        <v>Ford F250 2017 (Moby Dix) - DEP0021578</v>
      </c>
      <c r="N512" t="str">
        <f>IFERROR(__xludf.DUMMYFUNCTION("""COMPUTED_VALUE"""),"Shannon Dunnigan, (803) 727-5734, Silas Tanner, (904) 483-8423")</f>
        <v>Shannon Dunnigan, (803) 727-5734, Silas Tanner, (904) 483-8423</v>
      </c>
      <c r="P512" t="str">
        <f>IFERROR(__xludf.DUMMYFUNCTION("""COMPUTED_VALUE"""),"Silas")</f>
        <v>Silas</v>
      </c>
      <c r="Q512" t="str">
        <f>IFERROR(__xludf.DUMMYFUNCTION("""COMPUTED_VALUE"""),"All items in working order")</f>
        <v>All items in working order</v>
      </c>
      <c r="AE512" s="11"/>
      <c r="AF512" t="s">
        <v>218</v>
      </c>
      <c r="AG512" s="17" t="s">
        <v>43</v>
      </c>
      <c r="AH512" s="12">
        <v>1149.0</v>
      </c>
      <c r="AI512" s="12" t="s">
        <v>1492</v>
      </c>
      <c r="AJ512" s="19" t="s">
        <v>1493</v>
      </c>
      <c r="AK512" s="20" t="str">
        <f>HYPERLINK("https://docs.google.com/document/d/1s9l85XooOHcl3JjhuW9mrAkWSXGvDtchsQtTw8Orqo4/edit?usp=drivesdk","Shannon Dunnigan - 5/19/2020 8:15 AM")</f>
        <v>Shannon Dunnigan - 5/19/2020 8:15 AM</v>
      </c>
      <c r="AL512" s="12" t="s">
        <v>1494</v>
      </c>
    </row>
    <row r="513">
      <c r="A513" s="10">
        <f>IFERROR(__xludf.DUMMYFUNCTION("""COMPUTED_VALUE"""),43970.41955553241)</f>
        <v>43970.41956</v>
      </c>
      <c r="B513" s="11" t="str">
        <f>IFERROR(__xludf.DUMMYFUNCTION("""COMPUTED_VALUE"""),"Pamela Marcum")</f>
        <v>Pamela Marcum</v>
      </c>
      <c r="C513" t="str">
        <f>IFERROR(__xludf.DUMMYFUNCTION("""COMPUTED_VALUE"""),"Pamela.Marcum@dep.state.fl.us")</f>
        <v>Pamela.Marcum@dep.state.fl.us</v>
      </c>
      <c r="D513" t="str">
        <f>IFERROR(__xludf.DUMMYFUNCTION("""COMPUTED_VALUE"""),"Research/Nikki")</f>
        <v>Research/Nikki</v>
      </c>
      <c r="E513" t="str">
        <f>IFERROR(__xludf.DUMMYFUNCTION("""COMPUTED_VALUE"""),"Aunt Kate's")</f>
        <v>Aunt Kate's</v>
      </c>
      <c r="F513" s="13">
        <f>IFERROR(__xludf.DUMMYFUNCTION("""COMPUTED_VALUE"""),0.4583333333321207)</f>
        <v>0.4583333333</v>
      </c>
      <c r="G513" s="14">
        <f>IFERROR(__xludf.DUMMYFUNCTION("""COMPUTED_VALUE"""),43970.0)</f>
        <v>43970</v>
      </c>
      <c r="H513" t="str">
        <f>IFERROR(__xludf.DUMMYFUNCTION("""COMPUTED_VALUE"""),"Pine Island platforms")</f>
        <v>Pine Island platforms</v>
      </c>
      <c r="I513" s="15">
        <f>IFERROR(__xludf.DUMMYFUNCTION("""COMPUTED_VALUE"""),0.7083333333321207)</f>
        <v>0.7083333333</v>
      </c>
      <c r="J513" s="16">
        <f>IFERROR(__xludf.DUMMYFUNCTION("""COMPUTED_VALUE"""),43970.72916666667)</f>
        <v>43970.72917</v>
      </c>
      <c r="K513" t="str">
        <f>IFERROR(__xludf.DUMMYFUNCTION("""COMPUTED_VALUE"""),"23ft Skiff (Bertha) FL7972LJ DEP07613")</f>
        <v>23ft Skiff (Bertha) FL7972LJ DEP07613</v>
      </c>
      <c r="M513" t="str">
        <f>IFERROR(__xludf.DUMMYFUNCTION("""COMPUTED_VALUE"""),"Ford F150 2015 (White) - DEP21448")</f>
        <v>Ford F150 2015 (White) - DEP21448</v>
      </c>
      <c r="N513" t="str">
        <f>IFERROR(__xludf.DUMMYFUNCTION("""COMPUTED_VALUE"""),"Pam Marcum, (480) 332-5414")</f>
        <v>Pam Marcum, (480) 332-5414</v>
      </c>
      <c r="O513" t="str">
        <f>IFERROR(__xludf.DUMMYFUNCTION("""COMPUTED_VALUE"""),"Alee Knoell, (619) 750-4833")</f>
        <v>Alee Knoell, (619) 750-4833</v>
      </c>
      <c r="P513" t="str">
        <f>IFERROR(__xludf.DUMMYFUNCTION("""COMPUTED_VALUE"""),"Pam")</f>
        <v>Pam</v>
      </c>
      <c r="Q513" t="str">
        <f>IFERROR(__xludf.DUMMYFUNCTION("""COMPUTED_VALUE"""),"All items in working order")</f>
        <v>All items in working order</v>
      </c>
      <c r="AE513" s="11"/>
      <c r="AF513" t="s">
        <v>218</v>
      </c>
      <c r="AG513" s="17" t="s">
        <v>43</v>
      </c>
      <c r="AH513" s="12">
        <v>1655.0</v>
      </c>
      <c r="AI513" s="12" t="s">
        <v>1495</v>
      </c>
      <c r="AJ513" s="19" t="s">
        <v>1496</v>
      </c>
      <c r="AK513" s="20" t="str">
        <f>HYPERLINK("https://docs.google.com/document/d/1ZrYUuVw7eqkXKsFKh5X-XrXKTleWrzXt9HOCbjZ0qpA/edit?usp=drivesdk","Pamela Marcum - 5/19/2020 11:00 AM")</f>
        <v>Pamela Marcum - 5/19/2020 11:00 AM</v>
      </c>
      <c r="AL513" s="12" t="s">
        <v>1497</v>
      </c>
    </row>
    <row r="514">
      <c r="A514" s="10">
        <f>IFERROR(__xludf.DUMMYFUNCTION("""COMPUTED_VALUE"""),43971.35261034722)</f>
        <v>43971.35261</v>
      </c>
      <c r="B514" s="11" t="str">
        <f>IFERROR(__xludf.DUMMYFUNCTION("""COMPUTED_VALUE"""),"Silas Tanner")</f>
        <v>Silas Tanner</v>
      </c>
      <c r="C514" t="str">
        <f>IFERROR(__xludf.DUMMYFUNCTION("""COMPUTED_VALUE"""),"Silas.tanner@floridadep.gov")</f>
        <v>Silas.tanner@floridadep.gov</v>
      </c>
      <c r="D514" t="str">
        <f>IFERROR(__xludf.DUMMYFUNCTION("""COMPUTED_VALUE"""),"Research/Nikki")</f>
        <v>Research/Nikki</v>
      </c>
      <c r="E514" t="str">
        <f>IFERROR(__xludf.DUMMYFUNCTION("""COMPUTED_VALUE"""),"GTM boat ramp - river")</f>
        <v>GTM boat ramp - river</v>
      </c>
      <c r="F514" s="13">
        <f>IFERROR(__xludf.DUMMYFUNCTION("""COMPUTED_VALUE"""),0.36111111110949423)</f>
        <v>0.3611111111</v>
      </c>
      <c r="G514" s="14">
        <f>IFERROR(__xludf.DUMMYFUNCTION("""COMPUTED_VALUE"""),43971.0)</f>
        <v>43971</v>
      </c>
      <c r="H514" t="str">
        <f>IFERROR(__xludf.DUMMYFUNCTION("""COMPUTED_VALUE"""),"Guana River")</f>
        <v>Guana River</v>
      </c>
      <c r="I514" s="15">
        <f>IFERROR(__xludf.DUMMYFUNCTION("""COMPUTED_VALUE"""),0.4270833333321207)</f>
        <v>0.4270833333</v>
      </c>
      <c r="J514" s="16">
        <f>IFERROR(__xludf.DUMMYFUNCTION("""COMPUTED_VALUE"""),43971.4375)</f>
        <v>43971.4375</v>
      </c>
      <c r="K514" t="str">
        <f>IFERROR(__xludf.DUMMYFUNCTION("""COMPUTED_VALUE"""),"Jon Boat FL0484NP DEP06819")</f>
        <v>Jon Boat FL0484NP DEP06819</v>
      </c>
      <c r="M514" t="str">
        <f>IFERROR(__xludf.DUMMYFUNCTION("""COMPUTED_VALUE"""),"Ford F250 2017 (Moby Dix) - DEP0021578")</f>
        <v>Ford F250 2017 (Moby Dix) - DEP0021578</v>
      </c>
      <c r="N514" t="str">
        <f>IFERROR(__xludf.DUMMYFUNCTION("""COMPUTED_VALUE"""),"Silas Tanner, (904) 483-8423")</f>
        <v>Silas Tanner, (904) 483-8423</v>
      </c>
      <c r="O514" t="str">
        <f>IFERROR(__xludf.DUMMYFUNCTION("""COMPUTED_VALUE"""),"Jessica Lee")</f>
        <v>Jessica Lee</v>
      </c>
      <c r="P514" t="str">
        <f>IFERROR(__xludf.DUMMYFUNCTION("""COMPUTED_VALUE"""),"S. Tanner")</f>
        <v>S. Tanner</v>
      </c>
      <c r="Q514" t="str">
        <f>IFERROR(__xludf.DUMMYFUNCTION("""COMPUTED_VALUE"""),"All items in working order")</f>
        <v>All items in working order</v>
      </c>
      <c r="AE514" s="11"/>
      <c r="AF514" t="s">
        <v>218</v>
      </c>
      <c r="AG514" s="17" t="s">
        <v>43</v>
      </c>
      <c r="AH514" s="12">
        <v>945.0</v>
      </c>
      <c r="AI514" s="12" t="s">
        <v>1498</v>
      </c>
      <c r="AJ514" s="19" t="s">
        <v>1499</v>
      </c>
      <c r="AK514" s="20" t="str">
        <f>HYPERLINK("https://docs.google.com/document/d/1sioxX_7kAwKiYd29kdqEacmGxR4147m8O-gc6jdOMEk/edit?usp=drivesdk","Silas Tanner - 5/20/2020 8:40 AM")</f>
        <v>Silas Tanner - 5/20/2020 8:40 AM</v>
      </c>
      <c r="AL514" s="12" t="s">
        <v>1500</v>
      </c>
    </row>
    <row r="515">
      <c r="A515" s="10">
        <f>IFERROR(__xludf.DUMMYFUNCTION("""COMPUTED_VALUE"""),43979.303783958334)</f>
        <v>43979.30378</v>
      </c>
      <c r="B515" s="11" t="str">
        <f>IFERROR(__xludf.DUMMYFUNCTION("""COMPUTED_VALUE"""),"Pamela Marcum")</f>
        <v>Pamela Marcum</v>
      </c>
      <c r="C515" t="str">
        <f>IFERROR(__xludf.DUMMYFUNCTION("""COMPUTED_VALUE"""),"pamela.marcum@floridadep.gov")</f>
        <v>pamela.marcum@floridadep.gov</v>
      </c>
      <c r="D515" t="str">
        <f>IFERROR(__xludf.DUMMYFUNCTION("""COMPUTED_VALUE"""),"Research/Nikki")</f>
        <v>Research/Nikki</v>
      </c>
      <c r="E515" t="str">
        <f>IFERROR(__xludf.DUMMYFUNCTION("""COMPUTED_VALUE"""),"Aunt Kate's")</f>
        <v>Aunt Kate's</v>
      </c>
      <c r="F515" s="13">
        <f>IFERROR(__xludf.DUMMYFUNCTION("""COMPUTED_VALUE"""),0.3020833333321207)</f>
        <v>0.3020833333</v>
      </c>
      <c r="G515" s="14">
        <f>IFERROR(__xludf.DUMMYFUNCTION("""COMPUTED_VALUE"""),43979.0)</f>
        <v>43979</v>
      </c>
      <c r="H515" t="str">
        <f>IFERROR(__xludf.DUMMYFUNCTION("""COMPUTED_VALUE"""),"Hat Island")</f>
        <v>Hat Island</v>
      </c>
      <c r="I515" s="15">
        <f>IFERROR(__xludf.DUMMYFUNCTION("""COMPUTED_VALUE"""),0.5833333333321207)</f>
        <v>0.5833333333</v>
      </c>
      <c r="J515" s="16">
        <f>IFERROR(__xludf.DUMMYFUNCTION("""COMPUTED_VALUE"""),43979.60416666667)</f>
        <v>43979.60417</v>
      </c>
      <c r="K515" t="str">
        <f>IFERROR(__xludf.DUMMYFUNCTION("""COMPUTED_VALUE"""),"23ft Skiff (Bertha) FL7972LJ DEP07613")</f>
        <v>23ft Skiff (Bertha) FL7972LJ DEP07613</v>
      </c>
      <c r="M515" t="str">
        <f>IFERROR(__xludf.DUMMYFUNCTION("""COMPUTED_VALUE"""),"Ford F150 2015 (White) - DEP21448")</f>
        <v>Ford F150 2015 (White) - DEP21448</v>
      </c>
      <c r="N515" t="str">
        <f>IFERROR(__xludf.DUMMYFUNCTION("""COMPUTED_VALUE"""),"Pam Marcum, (480) 332-5414")</f>
        <v>Pam Marcum, (480) 332-5414</v>
      </c>
      <c r="O515" t="str">
        <f>IFERROR(__xludf.DUMMYFUNCTION("""COMPUTED_VALUE"""),"Alee Knoell, (619) 750-4833")</f>
        <v>Alee Knoell, (619) 750-4833</v>
      </c>
      <c r="P515" t="str">
        <f>IFERROR(__xludf.DUMMYFUNCTION("""COMPUTED_VALUE"""),"Pam")</f>
        <v>Pam</v>
      </c>
      <c r="Q515" t="str">
        <f>IFERROR(__xludf.DUMMYFUNCTION("""COMPUTED_VALUE"""),"All items in working order")</f>
        <v>All items in working order</v>
      </c>
      <c r="AE515" s="11"/>
      <c r="AF515" t="s">
        <v>218</v>
      </c>
      <c r="AG515" s="17" t="s">
        <v>43</v>
      </c>
      <c r="AH515" s="12">
        <v>1224.0</v>
      </c>
      <c r="AI515" s="12" t="s">
        <v>1501</v>
      </c>
      <c r="AJ515" s="19" t="s">
        <v>1502</v>
      </c>
      <c r="AK515" s="20" t="str">
        <f>HYPERLINK("https://docs.google.com/document/d/1FXSJezVUTVrGBPpx3QrS2ASXwEakTDADX67cWCoa9q0/edit?usp=drivesdk","Pamela Marcum - 5/28/2020 7:15 AM")</f>
        <v>Pamela Marcum - 5/28/2020 7:15 AM</v>
      </c>
      <c r="AL515" s="12" t="s">
        <v>1503</v>
      </c>
    </row>
    <row r="516">
      <c r="A516" s="10">
        <f>IFERROR(__xludf.DUMMYFUNCTION("""COMPUTED_VALUE"""),43983.28341422454)</f>
        <v>43983.28341</v>
      </c>
      <c r="B516" s="11" t="str">
        <f>IFERROR(__xludf.DUMMYFUNCTION("""COMPUTED_VALUE"""),"Pam Marcum")</f>
        <v>Pam Marcum</v>
      </c>
      <c r="C516" t="str">
        <f>IFERROR(__xludf.DUMMYFUNCTION("""COMPUTED_VALUE"""),"Pamela.Marcum@FloridaDEP.gov")</f>
        <v>Pamela.Marcum@FloridaDEP.gov</v>
      </c>
      <c r="D516" t="str">
        <f>IFERROR(__xludf.DUMMYFUNCTION("""COMPUTED_VALUE"""),"Research/Nikki")</f>
        <v>Research/Nikki</v>
      </c>
      <c r="E516" t="str">
        <f>IFERROR(__xludf.DUMMYFUNCTION("""COMPUTED_VALUE"""),"Vilano")</f>
        <v>Vilano</v>
      </c>
      <c r="F516" s="13">
        <f>IFERROR(__xludf.DUMMYFUNCTION("""COMPUTED_VALUE"""),0.3125)</f>
        <v>0.3125</v>
      </c>
      <c r="G516" s="14">
        <f>IFERROR(__xludf.DUMMYFUNCTION("""COMPUTED_VALUE"""),43983.0)</f>
        <v>43983</v>
      </c>
      <c r="H516" t="str">
        <f>IFERROR(__xludf.DUMMYFUNCTION("""COMPUTED_VALUE"""),"Spat Trees")</f>
        <v>Spat Trees</v>
      </c>
      <c r="I516" s="15">
        <f>IFERROR(__xludf.DUMMYFUNCTION("""COMPUTED_VALUE"""),0.5625)</f>
        <v>0.5625</v>
      </c>
      <c r="J516" s="16">
        <f>IFERROR(__xludf.DUMMYFUNCTION("""COMPUTED_VALUE"""),43983.58333333333)</f>
        <v>43983.58333</v>
      </c>
      <c r="K516" t="str">
        <f>IFERROR(__xludf.DUMMYFUNCTION("""COMPUTED_VALUE"""),"20ft Sea Ark FL5351SJ UNF 2015")</f>
        <v>20ft Sea Ark FL5351SJ UNF 2015</v>
      </c>
      <c r="M516" t="str">
        <f>IFERROR(__xludf.DUMMYFUNCTION("""COMPUTED_VALUE"""),"Ford F150 2015 (White) - DEP21448")</f>
        <v>Ford F150 2015 (White) - DEP21448</v>
      </c>
      <c r="N516" t="str">
        <f>IFERROR(__xludf.DUMMYFUNCTION("""COMPUTED_VALUE"""),"Pam Marcum, (480) 332-5414")</f>
        <v>Pam Marcum, (480) 332-5414</v>
      </c>
      <c r="O516" t="str">
        <f>IFERROR(__xludf.DUMMYFUNCTION("""COMPUTED_VALUE"""),"Alee Knoell, (619) 750-4833")</f>
        <v>Alee Knoell, (619) 750-4833</v>
      </c>
      <c r="P516" t="str">
        <f>IFERROR(__xludf.DUMMYFUNCTION("""COMPUTED_VALUE"""),"Pam")</f>
        <v>Pam</v>
      </c>
      <c r="Q516" t="str">
        <f>IFERROR(__xludf.DUMMYFUNCTION("""COMPUTED_VALUE"""),"All items in working order")</f>
        <v>All items in working order</v>
      </c>
      <c r="AE516" s="11"/>
      <c r="AF516" t="s">
        <v>218</v>
      </c>
      <c r="AG516" s="17" t="s">
        <v>43</v>
      </c>
      <c r="AH516" s="12">
        <v>1644.0</v>
      </c>
      <c r="AI516" s="12" t="s">
        <v>1504</v>
      </c>
      <c r="AJ516" s="19" t="s">
        <v>1505</v>
      </c>
      <c r="AK516" s="20" t="str">
        <f>HYPERLINK("https://docs.google.com/document/d/164-ZNfriHZGOF3Ng0KgkJ2IITAy5FFA293vbwC-uTPc/edit?usp=drivesdk","Pam Marcum - 6/1/2020 7:30 AM")</f>
        <v>Pam Marcum - 6/1/2020 7:30 AM</v>
      </c>
      <c r="AL516" s="12" t="s">
        <v>1506</v>
      </c>
    </row>
    <row r="517">
      <c r="A517" s="10">
        <f>IFERROR(__xludf.DUMMYFUNCTION("""COMPUTED_VALUE"""),43985.33618493055)</f>
        <v>43985.33618</v>
      </c>
      <c r="B517" s="11" t="str">
        <f>IFERROR(__xludf.DUMMYFUNCTION("""COMPUTED_VALUE"""),"Silas Tanner")</f>
        <v>Silas Tanner</v>
      </c>
      <c r="C517" t="str">
        <f>IFERROR(__xludf.DUMMYFUNCTION("""COMPUTED_VALUE"""),"silas.tanner@floridadep.gov")</f>
        <v>silas.tanner@floridadep.gov</v>
      </c>
      <c r="D517" t="str">
        <f>IFERROR(__xludf.DUMMYFUNCTION("""COMPUTED_VALUE"""),"Research/Nikki")</f>
        <v>Research/Nikki</v>
      </c>
      <c r="E517" t="str">
        <f>IFERROR(__xludf.DUMMYFUNCTION("""COMPUTED_VALUE"""),"Vilano Landing")</f>
        <v>Vilano Landing</v>
      </c>
      <c r="F517" s="13">
        <f>IFERROR(__xludf.DUMMYFUNCTION("""COMPUTED_VALUE"""),0.29861111110949423)</f>
        <v>0.2986111111</v>
      </c>
      <c r="G517" s="14">
        <f>IFERROR(__xludf.DUMMYFUNCTION("""COMPUTED_VALUE"""),43984.0)</f>
        <v>43984</v>
      </c>
      <c r="H517" t="str">
        <f>IFERROR(__xludf.DUMMYFUNCTION("""COMPUTED_VALUE"""),"ICW SWMP sites")</f>
        <v>ICW SWMP sites</v>
      </c>
      <c r="I517" s="15">
        <f>IFERROR(__xludf.DUMMYFUNCTION("""COMPUTED_VALUE"""),0.53125)</f>
        <v>0.53125</v>
      </c>
      <c r="J517" s="16">
        <f>IFERROR(__xludf.DUMMYFUNCTION("""COMPUTED_VALUE"""),43984.54166666667)</f>
        <v>43984.54167</v>
      </c>
      <c r="K517" t="str">
        <f>IFERROR(__xludf.DUMMYFUNCTION("""COMPUTED_VALUE"""),"23ft Skiff (Bertha) FL7972LJ DEP07613")</f>
        <v>23ft Skiff (Bertha) FL7972LJ DEP07613</v>
      </c>
      <c r="M517" t="str">
        <f>IFERROR(__xludf.DUMMYFUNCTION("""COMPUTED_VALUE"""),"Ford F250 2017 (Moby Dix) - DEP0021578")</f>
        <v>Ford F250 2017 (Moby Dix) - DEP0021578</v>
      </c>
      <c r="N517" t="str">
        <f>IFERROR(__xludf.DUMMYFUNCTION("""COMPUTED_VALUE"""),"Silas Tanner, (904) 483-8423")</f>
        <v>Silas Tanner, (904) 483-8423</v>
      </c>
      <c r="O517" t="str">
        <f>IFERROR(__xludf.DUMMYFUNCTION("""COMPUTED_VALUE"""),"Alee Knoell, (619) 750-4833")</f>
        <v>Alee Knoell, (619) 750-4833</v>
      </c>
      <c r="P517" t="str">
        <f>IFERROR(__xludf.DUMMYFUNCTION("""COMPUTED_VALUE"""),"Tanner")</f>
        <v>Tanner</v>
      </c>
      <c r="Q517" t="str">
        <f>IFERROR(__xludf.DUMMYFUNCTION("""COMPUTED_VALUE"""),"All items in working order")</f>
        <v>All items in working order</v>
      </c>
      <c r="AE517" s="11"/>
      <c r="AF517" t="s">
        <v>218</v>
      </c>
      <c r="AG517" s="17" t="s">
        <v>43</v>
      </c>
      <c r="AH517" s="12">
        <v>1251.0</v>
      </c>
      <c r="AI517" s="12" t="s">
        <v>1507</v>
      </c>
      <c r="AJ517" s="19" t="s">
        <v>1508</v>
      </c>
      <c r="AK517" s="20" t="str">
        <f>HYPERLINK("https://docs.google.com/document/d/1FKui5boxPY6pfdmYNthCze8TyBroadTSUwD9x_BkpMc/edit?usp=drivesdk","Silas Tanner - 6/2/2020 7:10 AM")</f>
        <v>Silas Tanner - 6/2/2020 7:10 AM</v>
      </c>
      <c r="AL517" s="12" t="s">
        <v>1509</v>
      </c>
    </row>
    <row r="518">
      <c r="A518" s="10">
        <f>IFERROR(__xludf.DUMMYFUNCTION("""COMPUTED_VALUE"""),43985.34858719908)</f>
        <v>43985.34859</v>
      </c>
      <c r="B518" s="11" t="str">
        <f>IFERROR(__xludf.DUMMYFUNCTION("""COMPUTED_VALUE"""),"Shannon Dunnigan")</f>
        <v>Shannon Dunnigan</v>
      </c>
      <c r="C518" t="str">
        <f>IFERROR(__xludf.DUMMYFUNCTION("""COMPUTED_VALUE"""),"shannon.dunnigan@floridadep.gov")</f>
        <v>shannon.dunnigan@floridadep.gov</v>
      </c>
      <c r="D518" t="str">
        <f>IFERROR(__xludf.DUMMYFUNCTION("""COMPUTED_VALUE"""),"Research/Nikki")</f>
        <v>Research/Nikki</v>
      </c>
      <c r="E518" t="str">
        <f>IFERROR(__xludf.DUMMYFUNCTION("""COMPUTED_VALUE"""),"Guana")</f>
        <v>Guana</v>
      </c>
      <c r="F518" s="13">
        <f>IFERROR(__xludf.DUMMYFUNCTION("""COMPUTED_VALUE"""),0.34722222222262644)</f>
        <v>0.3472222222</v>
      </c>
      <c r="G518" s="14">
        <f>IFERROR(__xludf.DUMMYFUNCTION("""COMPUTED_VALUE"""),43985.0)</f>
        <v>43985</v>
      </c>
      <c r="H518" t="str">
        <f>IFERROR(__xludf.DUMMYFUNCTION("""COMPUTED_VALUE"""),"Guana river ")</f>
        <v>Guana river </v>
      </c>
      <c r="I518" s="15">
        <f>IFERROR(__xludf.DUMMYFUNCTION("""COMPUTED_VALUE"""),0.4375)</f>
        <v>0.4375</v>
      </c>
      <c r="J518" s="16">
        <f>IFERROR(__xludf.DUMMYFUNCTION("""COMPUTED_VALUE"""),43985.45833333333)</f>
        <v>43985.45833</v>
      </c>
      <c r="K518" t="str">
        <f>IFERROR(__xludf.DUMMYFUNCTION("""COMPUTED_VALUE"""),"Jonboat FL5992RR")</f>
        <v>Jonboat FL5992RR</v>
      </c>
      <c r="M518" t="str">
        <f>IFERROR(__xludf.DUMMYFUNCTION("""COMPUTED_VALUE"""),"Ford F250 2017 (Moby Dix) - DEP0021578")</f>
        <v>Ford F250 2017 (Moby Dix) - DEP0021578</v>
      </c>
      <c r="N518" t="str">
        <f>IFERROR(__xludf.DUMMYFUNCTION("""COMPUTED_VALUE"""),"Shannon Dunnigan, (803) 727-5734")</f>
        <v>Shannon Dunnigan, (803) 727-5734</v>
      </c>
      <c r="O518" t="str">
        <f>IFERROR(__xludf.DUMMYFUNCTION("""COMPUTED_VALUE"""),"Jessica Lee")</f>
        <v>Jessica Lee</v>
      </c>
      <c r="P518" t="str">
        <f>IFERROR(__xludf.DUMMYFUNCTION("""COMPUTED_VALUE"""),"Shannon")</f>
        <v>Shannon</v>
      </c>
      <c r="Q518" t="str">
        <f>IFERROR(__xludf.DUMMYFUNCTION("""COMPUTED_VALUE"""),"All items in working order")</f>
        <v>All items in working order</v>
      </c>
      <c r="AE518" s="11"/>
      <c r="AF518" t="s">
        <v>218</v>
      </c>
      <c r="AG518" s="17" t="s">
        <v>43</v>
      </c>
      <c r="AH518" s="12">
        <v>945.0</v>
      </c>
      <c r="AI518" s="12" t="s">
        <v>1510</v>
      </c>
      <c r="AJ518" s="19" t="s">
        <v>1511</v>
      </c>
      <c r="AK518" s="20" t="str">
        <f>HYPERLINK("https://docs.google.com/document/d/1YX75KOVPU6rdPBgbPB-1WHfNjmb2BsEEb3dUR5-WNS8/edit?usp=drivesdk","Shannon Dunnigan - 6/3/2020 8:20 AM")</f>
        <v>Shannon Dunnigan - 6/3/2020 8:20 AM</v>
      </c>
      <c r="AL518" s="12" t="s">
        <v>1512</v>
      </c>
    </row>
    <row r="519">
      <c r="A519" s="10">
        <f>IFERROR(__xludf.DUMMYFUNCTION("""COMPUTED_VALUE"""),43985.3767700463)</f>
        <v>43985.37677</v>
      </c>
      <c r="B519" s="11" t="str">
        <f>IFERROR(__xludf.DUMMYFUNCTION("""COMPUTED_VALUE"""),"Pamela Marcum")</f>
        <v>Pamela Marcum</v>
      </c>
      <c r="C519" t="str">
        <f>IFERROR(__xludf.DUMMYFUNCTION("""COMPUTED_VALUE"""),"Pamela.Marcum@FloridaDEP.gov")</f>
        <v>Pamela.Marcum@FloridaDEP.gov</v>
      </c>
      <c r="D519" t="str">
        <f>IFERROR(__xludf.DUMMYFUNCTION("""COMPUTED_VALUE"""),"Research/Nikki")</f>
        <v>Research/Nikki</v>
      </c>
      <c r="E519" t="str">
        <f>IFERROR(__xludf.DUMMYFUNCTION("""COMPUTED_VALUE"""),"Shore Dr/Crane Park")</f>
        <v>Shore Dr/Crane Park</v>
      </c>
      <c r="F519" s="13">
        <f>IFERROR(__xludf.DUMMYFUNCTION("""COMPUTED_VALUE"""),0.4166666666678793)</f>
        <v>0.4166666667</v>
      </c>
      <c r="G519" s="14">
        <f>IFERROR(__xludf.DUMMYFUNCTION("""COMPUTED_VALUE"""),43985.0)</f>
        <v>43985</v>
      </c>
      <c r="H519" t="str">
        <f>IFERROR(__xludf.DUMMYFUNCTION("""COMPUTED_VALUE"""),"Site 22 &amp; Gabby's Creek")</f>
        <v>Site 22 &amp; Gabby's Creek</v>
      </c>
      <c r="I519" s="15">
        <f>IFERROR(__xludf.DUMMYFUNCTION("""COMPUTED_VALUE"""),0.7083333333321207)</f>
        <v>0.7083333333</v>
      </c>
      <c r="J519" s="16">
        <f>IFERROR(__xludf.DUMMYFUNCTION("""COMPUTED_VALUE"""),43985.72916666667)</f>
        <v>43985.72917</v>
      </c>
      <c r="K519" t="str">
        <f>IFERROR(__xludf.DUMMYFUNCTION("""COMPUTED_VALUE"""),"20ft Sea Ark FL5351SJ UNF 2015")</f>
        <v>20ft Sea Ark FL5351SJ UNF 2015</v>
      </c>
      <c r="M519" t="str">
        <f>IFERROR(__xludf.DUMMYFUNCTION("""COMPUTED_VALUE"""),"Ford F150 2015 (White) - DEP21448")</f>
        <v>Ford F150 2015 (White) - DEP21448</v>
      </c>
      <c r="N519" t="str">
        <f>IFERROR(__xludf.DUMMYFUNCTION("""COMPUTED_VALUE"""),"Pam Marcum, (480) 332-5414")</f>
        <v>Pam Marcum, (480) 332-5414</v>
      </c>
      <c r="O519" t="str">
        <f>IFERROR(__xludf.DUMMYFUNCTION("""COMPUTED_VALUE"""),"Alee Knoell, (619) 750-4833")</f>
        <v>Alee Knoell, (619) 750-4833</v>
      </c>
      <c r="P519" t="str">
        <f>IFERROR(__xludf.DUMMYFUNCTION("""COMPUTED_VALUE"""),"Pam")</f>
        <v>Pam</v>
      </c>
      <c r="Q519" t="str">
        <f>IFERROR(__xludf.DUMMYFUNCTION("""COMPUTED_VALUE"""),"All items in working order")</f>
        <v>All items in working order</v>
      </c>
      <c r="AE519" s="11"/>
      <c r="AF519" t="s">
        <v>218</v>
      </c>
      <c r="AG519" s="17" t="s">
        <v>43</v>
      </c>
      <c r="AH519" s="12">
        <v>1758.0</v>
      </c>
      <c r="AI519" s="12" t="s">
        <v>1513</v>
      </c>
      <c r="AJ519" s="19" t="s">
        <v>1514</v>
      </c>
      <c r="AK519" s="20" t="str">
        <f>HYPERLINK("https://docs.google.com/document/d/1Fuxke1GPjmZmDti8kKZfOZoBG-lB5O6fQPlKVYK6pdI/edit?usp=drivesdk","Pamela Marcum - 6/3/2020 10:00 AM")</f>
        <v>Pamela Marcum - 6/3/2020 10:00 AM</v>
      </c>
      <c r="AL519" s="12" t="s">
        <v>1515</v>
      </c>
    </row>
    <row r="520">
      <c r="A520" s="10">
        <f>IFERROR(__xludf.DUMMYFUNCTION("""COMPUTED_VALUE"""),43994.369997800924)</f>
        <v>43994.37</v>
      </c>
      <c r="B520" s="11" t="str">
        <f>IFERROR(__xludf.DUMMYFUNCTION("""COMPUTED_VALUE"""),"Gabriela Canas")</f>
        <v>Gabriela Canas</v>
      </c>
      <c r="C520" t="str">
        <f>IFERROR(__xludf.DUMMYFUNCTION("""COMPUTED_VALUE"""),"n00836133@unf.edu")</f>
        <v>n00836133@unf.edu</v>
      </c>
      <c r="D520" t="str">
        <f>IFERROR(__xludf.DUMMYFUNCTION("""COMPUTED_VALUE"""),"Research/Nikki")</f>
        <v>Research/Nikki</v>
      </c>
      <c r="E520" t="str">
        <f>IFERROR(__xludf.DUMMYFUNCTION("""COMPUTED_VALUE"""),"Douglas crane")</f>
        <v>Douglas crane</v>
      </c>
      <c r="F520" s="13">
        <f>IFERROR(__xludf.DUMMYFUNCTION("""COMPUTED_VALUE"""),0.3541666666678793)</f>
        <v>0.3541666667</v>
      </c>
      <c r="G520" s="14">
        <f>IFERROR(__xludf.DUMMYFUNCTION("""COMPUTED_VALUE"""),43994.0)</f>
        <v>43994</v>
      </c>
      <c r="H520" t="str">
        <f>IFERROR(__xludf.DUMMYFUNCTION("""COMPUTED_VALUE"""),"Wet feet middle site")</f>
        <v>Wet feet middle site</v>
      </c>
      <c r="I520" s="15">
        <f>IFERROR(__xludf.DUMMYFUNCTION("""COMPUTED_VALUE"""),0.6041666666678793)</f>
        <v>0.6041666667</v>
      </c>
      <c r="J520" s="16">
        <f>IFERROR(__xludf.DUMMYFUNCTION("""COMPUTED_VALUE"""),43994.16666666667)</f>
        <v>43994.16667</v>
      </c>
      <c r="K520" t="str">
        <f>IFERROR(__xludf.DUMMYFUNCTION("""COMPUTED_VALUE"""),"20ft Sea Ark FL5351SJ UNF 2015")</f>
        <v>20ft Sea Ark FL5351SJ UNF 2015</v>
      </c>
      <c r="M520" t="str">
        <f>IFERROR(__xludf.DUMMYFUNCTION("""COMPUTED_VALUE"""),"Ford F150 2015 (White) - DEP21448")</f>
        <v>Ford F150 2015 (White) - DEP21448</v>
      </c>
      <c r="N520" t="str">
        <f>IFERROR(__xludf.DUMMYFUNCTION("""COMPUTED_VALUE"""),"Pam Marcum, (480) 332-5414")</f>
        <v>Pam Marcum, (480) 332-5414</v>
      </c>
      <c r="O520" t="str">
        <f>IFERROR(__xludf.DUMMYFUNCTION("""COMPUTED_VALUE"""),"Gabriela Canas, (904) 891-9743")</f>
        <v>Gabriela Canas, (904) 891-9743</v>
      </c>
      <c r="P520" t="str">
        <f>IFERROR(__xludf.DUMMYFUNCTION("""COMPUTED_VALUE"""),"Pam")</f>
        <v>Pam</v>
      </c>
      <c r="Q520" t="str">
        <f>IFERROR(__xludf.DUMMYFUNCTION("""COMPUTED_VALUE"""),"All items in working order")</f>
        <v>All items in working order</v>
      </c>
      <c r="AE520" s="11"/>
      <c r="AF520" t="s">
        <v>218</v>
      </c>
      <c r="AG520" s="17" t="s">
        <v>43</v>
      </c>
      <c r="AH520" s="12">
        <v>1645.0</v>
      </c>
      <c r="AI520" s="12" t="s">
        <v>1516</v>
      </c>
      <c r="AJ520" s="19" t="s">
        <v>1517</v>
      </c>
      <c r="AK520" s="20" t="str">
        <f>HYPERLINK("https://docs.google.com/document/d/1xSdsO7dggDnMOeFIiLazDilZ_Y5BHrvlys2M7MHoxh8/edit?usp=drivesdk","Gabriela Canas - 6/12/2020 8:30 AM")</f>
        <v>Gabriela Canas - 6/12/2020 8:30 AM</v>
      </c>
      <c r="AL520" s="12" t="s">
        <v>1518</v>
      </c>
    </row>
    <row r="521">
      <c r="A521" s="10">
        <f>IFERROR(__xludf.DUMMYFUNCTION("""COMPUTED_VALUE"""),43995.280985717596)</f>
        <v>43995.28099</v>
      </c>
      <c r="B521" s="11" t="str">
        <f>IFERROR(__xludf.DUMMYFUNCTION("""COMPUTED_VALUE"""),"Gabriela Canas")</f>
        <v>Gabriela Canas</v>
      </c>
      <c r="C521" t="str">
        <f>IFERROR(__xludf.DUMMYFUNCTION("""COMPUTED_VALUE"""),"n00836133@unf.edu")</f>
        <v>n00836133@unf.edu</v>
      </c>
      <c r="D521" t="str">
        <f>IFERROR(__xludf.DUMMYFUNCTION("""COMPUTED_VALUE"""),"Research/Nikki")</f>
        <v>Research/Nikki</v>
      </c>
      <c r="E521" t="str">
        <f>IFERROR(__xludf.DUMMYFUNCTION("""COMPUTED_VALUE"""),"Douglas crane")</f>
        <v>Douglas crane</v>
      </c>
      <c r="F521" s="13">
        <f>IFERROR(__xludf.DUMMYFUNCTION("""COMPUTED_VALUE"""),0.3541666666678793)</f>
        <v>0.3541666667</v>
      </c>
      <c r="G521" s="14">
        <f>IFERROR(__xludf.DUMMYFUNCTION("""COMPUTED_VALUE"""),43994.0)</f>
        <v>43994</v>
      </c>
      <c r="H521" t="str">
        <f>IFERROR(__xludf.DUMMYFUNCTION("""COMPUTED_VALUE"""),"Wet feet middle site")</f>
        <v>Wet feet middle site</v>
      </c>
      <c r="I521" s="15">
        <f>IFERROR(__xludf.DUMMYFUNCTION("""COMPUTED_VALUE"""),0.6041666666678793)</f>
        <v>0.6041666667</v>
      </c>
      <c r="J521" s="16">
        <f>IFERROR(__xludf.DUMMYFUNCTION("""COMPUTED_VALUE"""),43994.16666666667)</f>
        <v>43994.16667</v>
      </c>
      <c r="K521" t="str">
        <f>IFERROR(__xludf.DUMMYFUNCTION("""COMPUTED_VALUE"""),"20ft Sea Ark FL5351SJ UNF 2015")</f>
        <v>20ft Sea Ark FL5351SJ UNF 2015</v>
      </c>
      <c r="M521" t="str">
        <f>IFERROR(__xludf.DUMMYFUNCTION("""COMPUTED_VALUE"""),"Ford F150 2015 (White) - DEP21448")</f>
        <v>Ford F150 2015 (White) - DEP21448</v>
      </c>
      <c r="N521" t="str">
        <f>IFERROR(__xludf.DUMMYFUNCTION("""COMPUTED_VALUE"""),"Pam Marcum, (480) 332-5414")</f>
        <v>Pam Marcum, (480) 332-5414</v>
      </c>
      <c r="O521" t="str">
        <f>IFERROR(__xludf.DUMMYFUNCTION("""COMPUTED_VALUE"""),"Gabriela Canas, (904) 891-9743")</f>
        <v>Gabriela Canas, (904) 891-9743</v>
      </c>
      <c r="P521" t="str">
        <f>IFERROR(__xludf.DUMMYFUNCTION("""COMPUTED_VALUE"""),"Pam")</f>
        <v>Pam</v>
      </c>
      <c r="Q521" t="str">
        <f>IFERROR(__xludf.DUMMYFUNCTION("""COMPUTED_VALUE"""),"All items in working order")</f>
        <v>All items in working order</v>
      </c>
      <c r="AE521" s="11"/>
      <c r="AF521" t="s">
        <v>218</v>
      </c>
      <c r="AG521" s="17" t="s">
        <v>43</v>
      </c>
      <c r="AH521" s="12" t="s">
        <v>56</v>
      </c>
      <c r="AI521" s="12" t="s">
        <v>1519</v>
      </c>
      <c r="AJ521" s="19" t="s">
        <v>1520</v>
      </c>
      <c r="AK521" s="20" t="str">
        <f>HYPERLINK("https://docs.google.com/document/d/1mPnOS7jC8kvI2BlgVe8wKc6eNG8V-sYOC5x1OCtyzH4/edit?usp=drivesdk","Gabriela Canas - 6/12/2020 8:30 AM")</f>
        <v>Gabriela Canas - 6/12/2020 8:30 AM</v>
      </c>
      <c r="AL521" s="12" t="s">
        <v>1521</v>
      </c>
    </row>
    <row r="522">
      <c r="A522" s="10">
        <f>IFERROR(__xludf.DUMMYFUNCTION("""COMPUTED_VALUE"""),43998.489916122686)</f>
        <v>43998.48992</v>
      </c>
      <c r="B522" s="11" t="str">
        <f>IFERROR(__xludf.DUMMYFUNCTION("""COMPUTED_VALUE"""),"Pam Marcum")</f>
        <v>Pam Marcum</v>
      </c>
      <c r="C522" t="str">
        <f>IFERROR(__xludf.DUMMYFUNCTION("""COMPUTED_VALUE"""),"pamela.marcum@floridadep.gov")</f>
        <v>pamela.marcum@floridadep.gov</v>
      </c>
      <c r="D522" t="str">
        <f>IFERROR(__xludf.DUMMYFUNCTION("""COMPUTED_VALUE"""),"Research/Nikki")</f>
        <v>Research/Nikki</v>
      </c>
      <c r="E522" t="str">
        <f>IFERROR(__xludf.DUMMYFUNCTION("""COMPUTED_VALUE"""),"Faver-Dykes")</f>
        <v>Faver-Dykes</v>
      </c>
      <c r="F522" s="13">
        <f>IFERROR(__xludf.DUMMYFUNCTION("""COMPUTED_VALUE"""),0.4791666666678793)</f>
        <v>0.4791666667</v>
      </c>
      <c r="G522" s="14">
        <f>IFERROR(__xludf.DUMMYFUNCTION("""COMPUTED_VALUE"""),43998.0)</f>
        <v>43998</v>
      </c>
      <c r="H522" t="str">
        <f>IFERROR(__xludf.DUMMYFUNCTION("""COMPUTED_VALUE"""),"Pellicer transects: mouth, mid, fresh")</f>
        <v>Pellicer transects: mouth, mid, fresh</v>
      </c>
      <c r="I522" s="15">
        <f>IFERROR(__xludf.DUMMYFUNCTION("""COMPUTED_VALUE"""),0.5833333333321207)</f>
        <v>0.5833333333</v>
      </c>
      <c r="J522" s="16">
        <f>IFERROR(__xludf.DUMMYFUNCTION("""COMPUTED_VALUE"""),43998.625)</f>
        <v>43998.625</v>
      </c>
      <c r="K522" t="str">
        <f>IFERROR(__xludf.DUMMYFUNCTION("""COMPUTED_VALUE"""),"20ft Sea Ark FL5351SJ UNF 2015")</f>
        <v>20ft Sea Ark FL5351SJ UNF 2015</v>
      </c>
      <c r="M522" t="str">
        <f>IFERROR(__xludf.DUMMYFUNCTION("""COMPUTED_VALUE"""),"Ford F150 2015 (White) - DEP21448")</f>
        <v>Ford F150 2015 (White) - DEP21448</v>
      </c>
      <c r="N522" t="str">
        <f>IFERROR(__xludf.DUMMYFUNCTION("""COMPUTED_VALUE"""),"Pam Marcum, (480) 332-5414")</f>
        <v>Pam Marcum, (480) 332-5414</v>
      </c>
      <c r="O522" t="str">
        <f>IFERROR(__xludf.DUMMYFUNCTION("""COMPUTED_VALUE"""),"Alee Knoell, (619) 750-4833")</f>
        <v>Alee Knoell, (619) 750-4833</v>
      </c>
      <c r="P522" t="str">
        <f>IFERROR(__xludf.DUMMYFUNCTION("""COMPUTED_VALUE"""),"Pam")</f>
        <v>Pam</v>
      </c>
      <c r="Q522" t="str">
        <f>IFERROR(__xludf.DUMMYFUNCTION("""COMPUTED_VALUE"""),"All items in working order")</f>
        <v>All items in working order</v>
      </c>
      <c r="AE522" s="11"/>
      <c r="AF522" t="s">
        <v>218</v>
      </c>
      <c r="AG522" s="17" t="s">
        <v>43</v>
      </c>
      <c r="AH522" s="12">
        <v>1400.0</v>
      </c>
      <c r="AI522" s="12" t="s">
        <v>1522</v>
      </c>
      <c r="AJ522" s="19" t="s">
        <v>1523</v>
      </c>
      <c r="AK522" s="20" t="str">
        <f>HYPERLINK("https://docs.google.com/document/d/1dTyYrnhwQjAX3sMStPl1AF6LrKuibSwBLYE9k-OH3q8/edit?usp=drivesdk","Pam Marcum - 6/16/2020 11:30 AM")</f>
        <v>Pam Marcum - 6/16/2020 11:30 AM</v>
      </c>
      <c r="AL522" s="12" t="s">
        <v>1524</v>
      </c>
    </row>
    <row r="523">
      <c r="A523" s="10">
        <f>IFERROR(__xludf.DUMMYFUNCTION("""COMPUTED_VALUE"""),43999.298031770835)</f>
        <v>43999.29803</v>
      </c>
      <c r="B523" s="11" t="str">
        <f>IFERROR(__xludf.DUMMYFUNCTION("""COMPUTED_VALUE"""),"Silas Tanner")</f>
        <v>Silas Tanner</v>
      </c>
      <c r="C523" t="str">
        <f>IFERROR(__xludf.DUMMYFUNCTION("""COMPUTED_VALUE"""),"silas.tanner@floridadep.gov")</f>
        <v>silas.tanner@floridadep.gov</v>
      </c>
      <c r="D523" t="str">
        <f>IFERROR(__xludf.DUMMYFUNCTION("""COMPUTED_VALUE"""),"Research/Nikki")</f>
        <v>Research/Nikki</v>
      </c>
      <c r="E523" t="str">
        <f>IFERROR(__xludf.DUMMYFUNCTION("""COMPUTED_VALUE"""),"Vilano Landing")</f>
        <v>Vilano Landing</v>
      </c>
      <c r="F523" s="13">
        <f>IFERROR(__xludf.DUMMYFUNCTION("""COMPUTED_VALUE"""),0.3229166666678793)</f>
        <v>0.3229166667</v>
      </c>
      <c r="G523" s="14">
        <f>IFERROR(__xludf.DUMMYFUNCTION("""COMPUTED_VALUE"""),43999.0)</f>
        <v>43999</v>
      </c>
      <c r="H523" t="str">
        <f>IFERROR(__xludf.DUMMYFUNCTION("""COMPUTED_VALUE"""),"ICW SWMP sites")</f>
        <v>ICW SWMP sites</v>
      </c>
      <c r="I523" s="15">
        <f>IFERROR(__xludf.DUMMYFUNCTION("""COMPUTED_VALUE"""),0.6041666666678793)</f>
        <v>0.6041666667</v>
      </c>
      <c r="J523" s="16">
        <f>IFERROR(__xludf.DUMMYFUNCTION("""COMPUTED_VALUE"""),43999.70486111111)</f>
        <v>43999.70486</v>
      </c>
      <c r="K523" t="str">
        <f>IFERROR(__xludf.DUMMYFUNCTION("""COMPUTED_VALUE"""),"F 20ft Sea Ark (Easy 200) FL8534PY DEP21451")</f>
        <v>F 20ft Sea Ark (Easy 200) FL8534PY DEP21451</v>
      </c>
      <c r="M523" t="str">
        <f>IFERROR(__xludf.DUMMYFUNCTION("""COMPUTED_VALUE"""),"Ford F250 2017 (Moby Dix) - DEP0021578")</f>
        <v>Ford F250 2017 (Moby Dix) - DEP0021578</v>
      </c>
      <c r="N523" t="str">
        <f>IFERROR(__xludf.DUMMYFUNCTION("""COMPUTED_VALUE"""),"Shannon Dunnigan, (803) 727-5734, Silas Tanner, (904) 483-8423")</f>
        <v>Shannon Dunnigan, (803) 727-5734, Silas Tanner, (904) 483-8423</v>
      </c>
      <c r="P523" t="str">
        <f>IFERROR(__xludf.DUMMYFUNCTION("""COMPUTED_VALUE"""),"S. Tanner")</f>
        <v>S. Tanner</v>
      </c>
      <c r="Q523" t="str">
        <f>IFERROR(__xludf.DUMMYFUNCTION("""COMPUTED_VALUE"""),"All items in working order")</f>
        <v>All items in working order</v>
      </c>
      <c r="AE523" s="11"/>
      <c r="AF523" t="s">
        <v>218</v>
      </c>
      <c r="AG523" s="17" t="s">
        <v>43</v>
      </c>
      <c r="AH523" s="12">
        <v>1225.0</v>
      </c>
      <c r="AI523" s="12" t="s">
        <v>1525</v>
      </c>
      <c r="AJ523" s="19" t="s">
        <v>1526</v>
      </c>
      <c r="AK523" s="20" t="str">
        <f>HYPERLINK("https://docs.google.com/document/d/1Dt-ZmkYh9sJc_5nz2kHJYETzZcNnYCNSEdUHBi5zbLk/edit?usp=drivesdk","Silas Tanner - 6/17/2020 7:45 AM")</f>
        <v>Silas Tanner - 6/17/2020 7:45 AM</v>
      </c>
      <c r="AL523" s="12" t="s">
        <v>1527</v>
      </c>
    </row>
    <row r="524">
      <c r="A524" s="10">
        <f>IFERROR(__xludf.DUMMYFUNCTION("""COMPUTED_VALUE"""),43999.302523831015)</f>
        <v>43999.30252</v>
      </c>
      <c r="B524" s="11" t="str">
        <f>IFERROR(__xludf.DUMMYFUNCTION("""COMPUTED_VALUE"""),"Jessica Lee")</f>
        <v>Jessica Lee</v>
      </c>
      <c r="C524" t="str">
        <f>IFERROR(__xludf.DUMMYFUNCTION("""COMPUTED_VALUE"""),"jessica.lee@floridadep.com")</f>
        <v>jessica.lee@floridadep.com</v>
      </c>
      <c r="D524" t="str">
        <f>IFERROR(__xludf.DUMMYFUNCTION("""COMPUTED_VALUE"""),"Research/Shannon")</f>
        <v>Research/Shannon</v>
      </c>
      <c r="E524" t="str">
        <f>IFERROR(__xludf.DUMMYFUNCTION("""COMPUTED_VALUE"""),"Guana")</f>
        <v>Guana</v>
      </c>
      <c r="F524" s="13">
        <f>IFERROR(__xludf.DUMMYFUNCTION("""COMPUTED_VALUE"""),0.3020833333321207)</f>
        <v>0.3020833333</v>
      </c>
      <c r="G524" s="14">
        <f>IFERROR(__xludf.DUMMYFUNCTION("""COMPUTED_VALUE"""),43999.0)</f>
        <v>43999</v>
      </c>
      <c r="H524" t="str">
        <f>IFERROR(__xludf.DUMMYFUNCTION("""COMPUTED_VALUE"""),"Guana River")</f>
        <v>Guana River</v>
      </c>
      <c r="I524" s="15">
        <f>IFERROR(__xludf.DUMMYFUNCTION("""COMPUTED_VALUE"""),0.375)</f>
        <v>0.375</v>
      </c>
      <c r="J524" s="16">
        <f>IFERROR(__xludf.DUMMYFUNCTION("""COMPUTED_VALUE"""),43999.38541666667)</f>
        <v>43999.38542</v>
      </c>
      <c r="K524" t="str">
        <f>IFERROR(__xludf.DUMMYFUNCTION("""COMPUTED_VALUE"""),"Jon Boat FL0484NP DEP06819")</f>
        <v>Jon Boat FL0484NP DEP06819</v>
      </c>
      <c r="M524" t="str">
        <f>IFERROR(__xludf.DUMMYFUNCTION("""COMPUTED_VALUE"""),"Topper")</f>
        <v>Topper</v>
      </c>
      <c r="N524" t="str">
        <f>IFERROR(__xludf.DUMMYFUNCTION("""COMPUTED_VALUE"""),"Nikki Dix, (352) 219-4079")</f>
        <v>Nikki Dix, (352) 219-4079</v>
      </c>
      <c r="P524" t="str">
        <f>IFERROR(__xludf.DUMMYFUNCTION("""COMPUTED_VALUE"""),"Nikki")</f>
        <v>Nikki</v>
      </c>
      <c r="Q524" t="str">
        <f>IFERROR(__xludf.DUMMYFUNCTION("""COMPUTED_VALUE"""),"All items in working order")</f>
        <v>All items in working order</v>
      </c>
      <c r="AE524" s="11"/>
      <c r="AF524" t="s">
        <v>269</v>
      </c>
      <c r="AG524" s="17" t="s">
        <v>643</v>
      </c>
      <c r="AH524" s="12">
        <v>840.0</v>
      </c>
      <c r="AI524" s="12" t="s">
        <v>1528</v>
      </c>
      <c r="AJ524" s="19" t="s">
        <v>1529</v>
      </c>
      <c r="AK524" s="20" t="str">
        <f>HYPERLINK("https://docs.google.com/document/d/1309XjGptEng1kObv6mfBGIue6lck8JxZZAAQB143m_Y/edit?usp=drivesdk","Jessica Lee - 6/17/2020 7:15 AM")</f>
        <v>Jessica Lee - 6/17/2020 7:15 AM</v>
      </c>
      <c r="AL524" s="12" t="s">
        <v>1530</v>
      </c>
    </row>
    <row r="525">
      <c r="A525" s="10">
        <f>IFERROR(__xludf.DUMMYFUNCTION("""COMPUTED_VALUE"""),43999.43311388889)</f>
        <v>43999.43311</v>
      </c>
      <c r="B525" s="11" t="str">
        <f>IFERROR(__xludf.DUMMYFUNCTION("""COMPUTED_VALUE"""),"Pam Marcum")</f>
        <v>Pam Marcum</v>
      </c>
      <c r="C525" t="str">
        <f>IFERROR(__xludf.DUMMYFUNCTION("""COMPUTED_VALUE"""),"pamela.marcum@floridadep.gov")</f>
        <v>pamela.marcum@floridadep.gov</v>
      </c>
      <c r="D525" t="str">
        <f>IFERROR(__xludf.DUMMYFUNCTION("""COMPUTED_VALUE"""),"Research/Nikki")</f>
        <v>Research/Nikki</v>
      </c>
      <c r="E525" t="str">
        <f>IFERROR(__xludf.DUMMYFUNCTION("""COMPUTED_VALUE"""),"Faver-dykes")</f>
        <v>Faver-dykes</v>
      </c>
      <c r="F525" s="13">
        <f>IFERROR(__xludf.DUMMYFUNCTION("""COMPUTED_VALUE"""),0.4270833333321207)</f>
        <v>0.4270833333</v>
      </c>
      <c r="G525" s="14">
        <f>IFERROR(__xludf.DUMMYFUNCTION("""COMPUTED_VALUE"""),43999.0)</f>
        <v>43999</v>
      </c>
      <c r="H525" t="str">
        <f>IFERROR(__xludf.DUMMYFUNCTION("""COMPUTED_VALUE"""),"Upper PC transect")</f>
        <v>Upper PC transect</v>
      </c>
      <c r="I525" s="15">
        <f>IFERROR(__xludf.DUMMYFUNCTION("""COMPUTED_VALUE"""),0.5416666666678793)</f>
        <v>0.5416666667</v>
      </c>
      <c r="J525" s="16">
        <f>IFERROR(__xludf.DUMMYFUNCTION("""COMPUTED_VALUE"""),43999.54166666667)</f>
        <v>43999.54167</v>
      </c>
      <c r="K525" t="str">
        <f>IFERROR(__xludf.DUMMYFUNCTION("""COMPUTED_VALUE"""),"20ft Sea Ark FL5351SJ UNF 2015")</f>
        <v>20ft Sea Ark FL5351SJ UNF 2015</v>
      </c>
      <c r="M525" t="str">
        <f>IFERROR(__xludf.DUMMYFUNCTION("""COMPUTED_VALUE"""),"Ford F150 2015 (White) - DEP21448")</f>
        <v>Ford F150 2015 (White) - DEP21448</v>
      </c>
      <c r="N525" t="str">
        <f>IFERROR(__xludf.DUMMYFUNCTION("""COMPUTED_VALUE"""),"Pam Marcum, (480) 332-5414")</f>
        <v>Pam Marcum, (480) 332-5414</v>
      </c>
      <c r="O525" t="str">
        <f>IFERROR(__xludf.DUMMYFUNCTION("""COMPUTED_VALUE"""),"Erick Rivuelta")</f>
        <v>Erick Rivuelta</v>
      </c>
      <c r="P525" t="str">
        <f>IFERROR(__xludf.DUMMYFUNCTION("""COMPUTED_VALUE"""),"Pam")</f>
        <v>Pam</v>
      </c>
      <c r="Q525" t="str">
        <f>IFERROR(__xludf.DUMMYFUNCTION("""COMPUTED_VALUE"""),"All items in working order")</f>
        <v>All items in working order</v>
      </c>
      <c r="AE525" s="11"/>
      <c r="AF525" t="s">
        <v>218</v>
      </c>
      <c r="AG525" s="17" t="s">
        <v>43</v>
      </c>
      <c r="AH525" s="12">
        <v>1420.0</v>
      </c>
      <c r="AI525" s="12" t="s">
        <v>1531</v>
      </c>
      <c r="AJ525" s="19" t="s">
        <v>1532</v>
      </c>
      <c r="AK525" s="20" t="str">
        <f>HYPERLINK("https://docs.google.com/document/d/1OnbxaTXeSky7m3PTiGynbpPIuXLU4Lrrsd-orTI5bB4/edit?usp=drivesdk","Pam Marcum - 6/17/2020 10:15 AM")</f>
        <v>Pam Marcum - 6/17/2020 10:15 AM</v>
      </c>
      <c r="AL525" s="12" t="s">
        <v>1533</v>
      </c>
    </row>
    <row r="526">
      <c r="A526" s="10">
        <f>IFERROR(__xludf.DUMMYFUNCTION("""COMPUTED_VALUE"""),43999.636287326386)</f>
        <v>43999.63629</v>
      </c>
      <c r="B526" s="11" t="str">
        <f>IFERROR(__xludf.DUMMYFUNCTION("""COMPUTED_VALUE"""),"Pam Marcum")</f>
        <v>Pam Marcum</v>
      </c>
      <c r="C526" t="str">
        <f>IFERROR(__xludf.DUMMYFUNCTION("""COMPUTED_VALUE"""),"pamela.marcum@floridadep.gov")</f>
        <v>pamela.marcum@floridadep.gov</v>
      </c>
      <c r="D526" t="str">
        <f>IFERROR(__xludf.DUMMYFUNCTION("""COMPUTED_VALUE"""),"Research/Nikki")</f>
        <v>Research/Nikki</v>
      </c>
      <c r="E526" t="str">
        <f>IFERROR(__xludf.DUMMYFUNCTION("""COMPUTED_VALUE"""),"Faver dykes")</f>
        <v>Faver dykes</v>
      </c>
      <c r="F526" s="13">
        <f>IFERROR(__xludf.DUMMYFUNCTION("""COMPUTED_VALUE"""),0.6354166666678793)</f>
        <v>0.6354166667</v>
      </c>
      <c r="G526" s="14">
        <f>IFERROR(__xludf.DUMMYFUNCTION("""COMPUTED_VALUE"""),43999.0)</f>
        <v>43999</v>
      </c>
      <c r="H526" t="str">
        <f>IFERROR(__xludf.DUMMYFUNCTION("""COMPUTED_VALUE"""),"Pc middle transect")</f>
        <v>Pc middle transect</v>
      </c>
      <c r="I526" s="15">
        <f>IFERROR(__xludf.DUMMYFUNCTION("""COMPUTED_VALUE"""),0.7916666666678793)</f>
        <v>0.7916666667</v>
      </c>
      <c r="J526" s="16">
        <f>IFERROR(__xludf.DUMMYFUNCTION("""COMPUTED_VALUE"""),43999.83333333333)</f>
        <v>43999.83333</v>
      </c>
      <c r="K526" t="str">
        <f>IFERROR(__xludf.DUMMYFUNCTION("""COMPUTED_VALUE"""),"20ft Sea Ark FL5351SJ UNF 2015")</f>
        <v>20ft Sea Ark FL5351SJ UNF 2015</v>
      </c>
      <c r="M526" t="str">
        <f>IFERROR(__xludf.DUMMYFUNCTION("""COMPUTED_VALUE"""),"Ford F150 2015 (White) - DEP21448")</f>
        <v>Ford F150 2015 (White) - DEP21448</v>
      </c>
      <c r="N526" t="str">
        <f>IFERROR(__xludf.DUMMYFUNCTION("""COMPUTED_VALUE"""),"Pam Marcum, (480) 332-5414")</f>
        <v>Pam Marcum, (480) 332-5414</v>
      </c>
      <c r="O526" t="str">
        <f>IFERROR(__xludf.DUMMYFUNCTION("""COMPUTED_VALUE"""),"Alee Knoell, (619) 750-4833")</f>
        <v>Alee Knoell, (619) 750-4833</v>
      </c>
      <c r="P526" t="str">
        <f>IFERROR(__xludf.DUMMYFUNCTION("""COMPUTED_VALUE"""),"Pam")</f>
        <v>Pam</v>
      </c>
      <c r="Q526" t="str">
        <f>IFERROR(__xludf.DUMMYFUNCTION("""COMPUTED_VALUE"""),"All items in working order")</f>
        <v>All items in working order</v>
      </c>
      <c r="AE526" s="11"/>
      <c r="AF526" t="s">
        <v>218</v>
      </c>
      <c r="AG526" s="17" t="s">
        <v>43</v>
      </c>
      <c r="AH526" s="12">
        <v>1750.0</v>
      </c>
      <c r="AI526" s="12" t="s">
        <v>1534</v>
      </c>
      <c r="AJ526" s="19" t="s">
        <v>1535</v>
      </c>
      <c r="AK526" s="20" t="str">
        <f>HYPERLINK("https://docs.google.com/document/d/1Cjb2-AzU_NBOyur8SA9JrJCvulKVrrmuAbi3ag8a9ck/edit?usp=drivesdk","Pam Marcum - 6/17/2020 3:15 PM")</f>
        <v>Pam Marcum - 6/17/2020 3:15 PM</v>
      </c>
      <c r="AL526" s="12" t="s">
        <v>1536</v>
      </c>
    </row>
    <row r="527">
      <c r="A527" s="10">
        <f>IFERROR(__xludf.DUMMYFUNCTION("""COMPUTED_VALUE"""),43999.87118260416)</f>
        <v>43999.87118</v>
      </c>
      <c r="B527" s="11" t="str">
        <f>IFERROR(__xludf.DUMMYFUNCTION("""COMPUTED_VALUE"""),"Jessica Lee")</f>
        <v>Jessica Lee</v>
      </c>
      <c r="C527" t="str">
        <f>IFERROR(__xludf.DUMMYFUNCTION("""COMPUTED_VALUE"""),"jessica.lee@floridadep.com")</f>
        <v>jessica.lee@floridadep.com</v>
      </c>
      <c r="D527" t="str">
        <f>IFERROR(__xludf.DUMMYFUNCTION("""COMPUTED_VALUE"""),"Research/Shannon")</f>
        <v>Research/Shannon</v>
      </c>
      <c r="E527" t="str">
        <f>IFERROR(__xludf.DUMMYFUNCTION("""COMPUTED_VALUE"""),"Guana")</f>
        <v>Guana</v>
      </c>
      <c r="F527" s="13">
        <f>IFERROR(__xludf.DUMMYFUNCTION("""COMPUTED_VALUE"""),0.3020833333321207)</f>
        <v>0.3020833333</v>
      </c>
      <c r="G527" s="14">
        <f>IFERROR(__xludf.DUMMYFUNCTION("""COMPUTED_VALUE"""),43999.0)</f>
        <v>43999</v>
      </c>
      <c r="H527" t="str">
        <f>IFERROR(__xludf.DUMMYFUNCTION("""COMPUTED_VALUE"""),"Guana River")</f>
        <v>Guana River</v>
      </c>
      <c r="I527" s="15">
        <f>IFERROR(__xludf.DUMMYFUNCTION("""COMPUTED_VALUE"""),0.375)</f>
        <v>0.375</v>
      </c>
      <c r="J527" s="16">
        <f>IFERROR(__xludf.DUMMYFUNCTION("""COMPUTED_VALUE"""),43999.38541666667)</f>
        <v>43999.38542</v>
      </c>
      <c r="K527" t="str">
        <f>IFERROR(__xludf.DUMMYFUNCTION("""COMPUTED_VALUE"""),"Jon Boat FL0484NP DEP06819")</f>
        <v>Jon Boat FL0484NP DEP06819</v>
      </c>
      <c r="M527" t="str">
        <f>IFERROR(__xludf.DUMMYFUNCTION("""COMPUTED_VALUE"""),"Topper")</f>
        <v>Topper</v>
      </c>
      <c r="N527" t="str">
        <f>IFERROR(__xludf.DUMMYFUNCTION("""COMPUTED_VALUE"""),"Nikki Dix, (352) 219-4079")</f>
        <v>Nikki Dix, (352) 219-4079</v>
      </c>
      <c r="P527" t="str">
        <f>IFERROR(__xludf.DUMMYFUNCTION("""COMPUTED_VALUE"""),"Nikki")</f>
        <v>Nikki</v>
      </c>
      <c r="Q527" t="str">
        <f>IFERROR(__xludf.DUMMYFUNCTION("""COMPUTED_VALUE"""),"All items in working order")</f>
        <v>All items in working order</v>
      </c>
      <c r="AE527" s="11"/>
      <c r="AF527" t="s">
        <v>269</v>
      </c>
      <c r="AG527" s="17" t="s">
        <v>511</v>
      </c>
      <c r="AH527" s="12">
        <v>920.0</v>
      </c>
      <c r="AI527" s="12" t="s">
        <v>1537</v>
      </c>
      <c r="AJ527" s="19" t="s">
        <v>1538</v>
      </c>
      <c r="AK527" s="20" t="str">
        <f>HYPERLINK("https://docs.google.com/document/d/1OFTOfRzbVOT0chIp2JvpOjp3qyB-dRFsV1fMGvZ2YOc/edit?usp=drivesdk","Jessica Lee - 6/17/2020 7:15 AM")</f>
        <v>Jessica Lee - 6/17/2020 7:15 AM</v>
      </c>
      <c r="AL527" s="12" t="s">
        <v>1539</v>
      </c>
    </row>
    <row r="528">
      <c r="A528" s="10">
        <f>IFERROR(__xludf.DUMMYFUNCTION("""COMPUTED_VALUE"""),44000.40358172454)</f>
        <v>44000.40358</v>
      </c>
      <c r="B528" s="11" t="str">
        <f>IFERROR(__xludf.DUMMYFUNCTION("""COMPUTED_VALUE"""),"Pam Marcum")</f>
        <v>Pam Marcum</v>
      </c>
      <c r="C528" t="str">
        <f>IFERROR(__xludf.DUMMYFUNCTION("""COMPUTED_VALUE"""),"pamela.Marcum@floridadep.gov")</f>
        <v>pamela.Marcum@floridadep.gov</v>
      </c>
      <c r="D528" t="str">
        <f>IFERROR(__xludf.DUMMYFUNCTION("""COMPUTED_VALUE"""),"Research/Nikki")</f>
        <v>Research/Nikki</v>
      </c>
      <c r="E528" t="str">
        <f>IFERROR(__xludf.DUMMYFUNCTION("""COMPUTED_VALUE"""),"Faver-Dykes")</f>
        <v>Faver-Dykes</v>
      </c>
      <c r="F528" s="13">
        <f>IFERROR(__xludf.DUMMYFUNCTION("""COMPUTED_VALUE"""),0.40277777777737356)</f>
        <v>0.4027777778</v>
      </c>
      <c r="G528" s="14">
        <f>IFERROR(__xludf.DUMMYFUNCTION("""COMPUTED_VALUE"""),44000.0)</f>
        <v>44000</v>
      </c>
      <c r="H528" t="str">
        <f>IFERROR(__xludf.DUMMYFUNCTION("""COMPUTED_VALUE"""),"Pellicer Creek ")</f>
        <v>Pellicer Creek </v>
      </c>
      <c r="I528" s="15">
        <f>IFERROR(__xludf.DUMMYFUNCTION("""COMPUTED_VALUE"""),0.7083333333321207)</f>
        <v>0.7083333333</v>
      </c>
      <c r="J528" s="16">
        <f>IFERROR(__xludf.DUMMYFUNCTION("""COMPUTED_VALUE"""),44000.75)</f>
        <v>44000.75</v>
      </c>
      <c r="K528" t="str">
        <f>IFERROR(__xludf.DUMMYFUNCTION("""COMPUTED_VALUE"""),"20ft Sea Ark FL5351SJ UNF 2015")</f>
        <v>20ft Sea Ark FL5351SJ UNF 2015</v>
      </c>
      <c r="M528" t="str">
        <f>IFERROR(__xludf.DUMMYFUNCTION("""COMPUTED_VALUE"""),"Ford F150 2015 (White) - DEP21448")</f>
        <v>Ford F150 2015 (White) - DEP21448</v>
      </c>
      <c r="N528" t="str">
        <f>IFERROR(__xludf.DUMMYFUNCTION("""COMPUTED_VALUE"""),"Pam Marcum, (480) 332-5414")</f>
        <v>Pam Marcum, (480) 332-5414</v>
      </c>
      <c r="O528" t="str">
        <f>IFERROR(__xludf.DUMMYFUNCTION("""COMPUTED_VALUE"""),"Alee Knoell, (619) 750-4833")</f>
        <v>Alee Knoell, (619) 750-4833</v>
      </c>
      <c r="P528" t="str">
        <f>IFERROR(__xludf.DUMMYFUNCTION("""COMPUTED_VALUE"""),"Pam")</f>
        <v>Pam</v>
      </c>
      <c r="Q528" t="str">
        <f>IFERROR(__xludf.DUMMYFUNCTION("""COMPUTED_VALUE"""),"All items in working order")</f>
        <v>All items in working order</v>
      </c>
      <c r="AE528" s="11"/>
      <c r="AF528" t="s">
        <v>218</v>
      </c>
      <c r="AG528" s="17" t="s">
        <v>43</v>
      </c>
      <c r="AH528" s="12">
        <v>1708.0</v>
      </c>
      <c r="AI528" s="12" t="s">
        <v>1540</v>
      </c>
      <c r="AJ528" s="19" t="s">
        <v>1541</v>
      </c>
      <c r="AK528" s="20" t="str">
        <f>HYPERLINK("https://docs.google.com/document/d/1iz2Vel11zSDZsiIc26uFzdHrE5PzaLzl9KuvA_T_xSg/edit?usp=drivesdk","Pam Marcum - 6/18/2020 9:40 AM")</f>
        <v>Pam Marcum - 6/18/2020 9:40 AM</v>
      </c>
      <c r="AL528" s="12" t="s">
        <v>1542</v>
      </c>
    </row>
    <row r="529">
      <c r="A529" s="10">
        <f>IFERROR(__xludf.DUMMYFUNCTION("""COMPUTED_VALUE"""),44007.33195319445)</f>
        <v>44007.33195</v>
      </c>
      <c r="B529" s="11" t="str">
        <f>IFERROR(__xludf.DUMMYFUNCTION("""COMPUTED_VALUE"""),"Pam Marcum")</f>
        <v>Pam Marcum</v>
      </c>
      <c r="C529" t="str">
        <f>IFERROR(__xludf.DUMMYFUNCTION("""COMPUTED_VALUE"""),"pamela.marcum@floridadep.gov")</f>
        <v>pamela.marcum@floridadep.gov</v>
      </c>
      <c r="D529" t="str">
        <f>IFERROR(__xludf.DUMMYFUNCTION("""COMPUTED_VALUE"""),"Research/Nikki")</f>
        <v>Research/Nikki</v>
      </c>
      <c r="E529" t="str">
        <f>IFERROR(__xludf.DUMMYFUNCTION("""COMPUTED_VALUE"""),"Bing's")</f>
        <v>Bing's</v>
      </c>
      <c r="F529" s="13">
        <f>IFERROR(__xludf.DUMMYFUNCTION("""COMPUTED_VALUE"""),0.3333333333321207)</f>
        <v>0.3333333333</v>
      </c>
      <c r="G529" s="14">
        <f>IFERROR(__xludf.DUMMYFUNCTION("""COMPUTED_VALUE"""),44007.0)</f>
        <v>44007</v>
      </c>
      <c r="H529" t="str">
        <f>IFERROR(__xludf.DUMMYFUNCTION("""COMPUTED_VALUE"""),"Wash oaks platforms")</f>
        <v>Wash oaks platforms</v>
      </c>
      <c r="I529" s="15">
        <f>IFERROR(__xludf.DUMMYFUNCTION("""COMPUTED_VALUE"""),0.5416666666678793)</f>
        <v>0.5416666667</v>
      </c>
      <c r="J529" s="16">
        <f>IFERROR(__xludf.DUMMYFUNCTION("""COMPUTED_VALUE"""),44007.58333333333)</f>
        <v>44007.58333</v>
      </c>
      <c r="K529" t="str">
        <f>IFERROR(__xludf.DUMMYFUNCTION("""COMPUTED_VALUE"""),"20ft Sea Ark FL5351SJ UNF 2015")</f>
        <v>20ft Sea Ark FL5351SJ UNF 2015</v>
      </c>
      <c r="M529" t="str">
        <f>IFERROR(__xludf.DUMMYFUNCTION("""COMPUTED_VALUE"""),"Ford F150 2015 (White) - DEP21448")</f>
        <v>Ford F150 2015 (White) - DEP21448</v>
      </c>
      <c r="N529" t="str">
        <f>IFERROR(__xludf.DUMMYFUNCTION("""COMPUTED_VALUE"""),"Pam Marcum, (480) 332-5414")</f>
        <v>Pam Marcum, (480) 332-5414</v>
      </c>
      <c r="O529" t="str">
        <f>IFERROR(__xludf.DUMMYFUNCTION("""COMPUTED_VALUE"""),"Remo Mondazzi")</f>
        <v>Remo Mondazzi</v>
      </c>
      <c r="P529" t="str">
        <f>IFERROR(__xludf.DUMMYFUNCTION("""COMPUTED_VALUE"""),"Pam")</f>
        <v>Pam</v>
      </c>
      <c r="Q529" t="str">
        <f>IFERROR(__xludf.DUMMYFUNCTION("""COMPUTED_VALUE"""),"All items in working order")</f>
        <v>All items in working order</v>
      </c>
      <c r="AE529" s="11"/>
      <c r="AF529" t="s">
        <v>218</v>
      </c>
      <c r="AG529" s="17" t="s">
        <v>43</v>
      </c>
      <c r="AH529" s="12">
        <v>1202.0</v>
      </c>
      <c r="AI529" s="12" t="s">
        <v>1543</v>
      </c>
      <c r="AJ529" s="19" t="s">
        <v>1544</v>
      </c>
      <c r="AK529" s="20" t="str">
        <f>HYPERLINK("https://docs.google.com/document/d/178BSnhvFwmawHY74F6CtrmORuUcjGy0ztrYJWIOp00s/edit?usp=drivesdk","Pam Marcum - 6/25/2020 8:00 AM")</f>
        <v>Pam Marcum - 6/25/2020 8:00 AM</v>
      </c>
      <c r="AL529" s="12" t="s">
        <v>1545</v>
      </c>
    </row>
    <row r="530">
      <c r="A530" s="10">
        <f>IFERROR(__xludf.DUMMYFUNCTION("""COMPUTED_VALUE"""),44012.372097106476)</f>
        <v>44012.3721</v>
      </c>
      <c r="B530" s="11" t="str">
        <f>IFERROR(__xludf.DUMMYFUNCTION("""COMPUTED_VALUE"""),"Pam Marcum")</f>
        <v>Pam Marcum</v>
      </c>
      <c r="C530" t="str">
        <f>IFERROR(__xludf.DUMMYFUNCTION("""COMPUTED_VALUE"""),"pamela.marcum@floridadep.gov")</f>
        <v>pamela.marcum@floridadep.gov</v>
      </c>
      <c r="D530" t="str">
        <f>IFERROR(__xludf.DUMMYFUNCTION("""COMPUTED_VALUE"""),"Research/Nikki")</f>
        <v>Research/Nikki</v>
      </c>
      <c r="E530" t="str">
        <f>IFERROR(__xludf.DUMMYFUNCTION("""COMPUTED_VALUE"""),"Aunt kates")</f>
        <v>Aunt kates</v>
      </c>
      <c r="F530" s="13">
        <f>IFERROR(__xludf.DUMMYFUNCTION("""COMPUTED_VALUE"""),0.375)</f>
        <v>0.375</v>
      </c>
      <c r="G530" s="14">
        <f>IFERROR(__xludf.DUMMYFUNCTION("""COMPUTED_VALUE"""),44012.0)</f>
        <v>44012</v>
      </c>
      <c r="H530" t="str">
        <f>IFERROR(__xludf.DUMMYFUNCTION("""COMPUTED_VALUE"""),"Pine island, hat island")</f>
        <v>Pine island, hat island</v>
      </c>
      <c r="I530" s="15">
        <f>IFERROR(__xludf.DUMMYFUNCTION("""COMPUTED_VALUE"""),0.5)</f>
        <v>0.5</v>
      </c>
      <c r="J530" s="16">
        <f>IFERROR(__xludf.DUMMYFUNCTION("""COMPUTED_VALUE"""),44012.52083333333)</f>
        <v>44012.52083</v>
      </c>
      <c r="K530" t="str">
        <f>IFERROR(__xludf.DUMMYFUNCTION("""COMPUTED_VALUE"""),"20ft Sea Ark FL5351SJ UNF 2015")</f>
        <v>20ft Sea Ark FL5351SJ UNF 2015</v>
      </c>
      <c r="M530" t="str">
        <f>IFERROR(__xludf.DUMMYFUNCTION("""COMPUTED_VALUE"""),"Ford F150 2015 (White) - DEP21448")</f>
        <v>Ford F150 2015 (White) - DEP21448</v>
      </c>
      <c r="N530" t="str">
        <f>IFERROR(__xludf.DUMMYFUNCTION("""COMPUTED_VALUE"""),"Pam Marcum, (480) 332-5414")</f>
        <v>Pam Marcum, (480) 332-5414</v>
      </c>
      <c r="O530" t="str">
        <f>IFERROR(__xludf.DUMMYFUNCTION("""COMPUTED_VALUE"""),"Alee Knoell, (619) 750-4833")</f>
        <v>Alee Knoell, (619) 750-4833</v>
      </c>
      <c r="P530" t="str">
        <f>IFERROR(__xludf.DUMMYFUNCTION("""COMPUTED_VALUE"""),"Pam")</f>
        <v>Pam</v>
      </c>
      <c r="Q530" t="str">
        <f>IFERROR(__xludf.DUMMYFUNCTION("""COMPUTED_VALUE"""),"All items in working order")</f>
        <v>All items in working order</v>
      </c>
      <c r="AE530" s="11"/>
      <c r="AF530" t="s">
        <v>218</v>
      </c>
      <c r="AG530" s="17" t="s">
        <v>43</v>
      </c>
      <c r="AH530" s="12">
        <v>1310.0</v>
      </c>
      <c r="AI530" s="12" t="s">
        <v>1546</v>
      </c>
      <c r="AJ530" s="19" t="s">
        <v>1547</v>
      </c>
      <c r="AK530" s="20" t="str">
        <f>HYPERLINK("https://docs.google.com/document/d/1wBMLTcTzN9Zqq0u-IaOJHhOFQmOphW-iC0VzVbo5WnI/edit?usp=drivesdk","Pam Marcum - 6/30/2020 9:00 AM")</f>
        <v>Pam Marcum - 6/30/2020 9:00 AM</v>
      </c>
      <c r="AL530" s="12" t="s">
        <v>1548</v>
      </c>
    </row>
    <row r="531">
      <c r="A531" s="10">
        <f>IFERROR(__xludf.DUMMYFUNCTION("""COMPUTED_VALUE"""),44013.38215923611)</f>
        <v>44013.38216</v>
      </c>
      <c r="B531" s="11" t="str">
        <f>IFERROR(__xludf.DUMMYFUNCTION("""COMPUTED_VALUE"""),"Pam Marcum")</f>
        <v>Pam Marcum</v>
      </c>
      <c r="C531" t="str">
        <f>IFERROR(__xludf.DUMMYFUNCTION("""COMPUTED_VALUE"""),"pamela.marcum@floridadep.gov")</f>
        <v>pamela.marcum@floridadep.gov</v>
      </c>
      <c r="D531" t="str">
        <f>IFERROR(__xludf.DUMMYFUNCTION("""COMPUTED_VALUE"""),"Research/Nikki")</f>
        <v>Research/Nikki</v>
      </c>
      <c r="E531" t="str">
        <f>IFERROR(__xludf.DUMMYFUNCTION("""COMPUTED_VALUE"""),"Aunt kates")</f>
        <v>Aunt kates</v>
      </c>
      <c r="F531" s="13">
        <f>IFERROR(__xludf.DUMMYFUNCTION("""COMPUTED_VALUE"""),0.3854166666678793)</f>
        <v>0.3854166667</v>
      </c>
      <c r="G531" s="14">
        <f>IFERROR(__xludf.DUMMYFUNCTION("""COMPUTED_VALUE"""),44013.0)</f>
        <v>44013</v>
      </c>
      <c r="H531" t="str">
        <f>IFERROR(__xludf.DUMMYFUNCTION("""COMPUTED_VALUE"""),"Spat run Sr-SA-FM-TR-GR")</f>
        <v>Spat run Sr-SA-FM-TR-GR</v>
      </c>
      <c r="I531" s="15">
        <f>IFERROR(__xludf.DUMMYFUNCTION("""COMPUTED_VALUE"""),0.6666666666678793)</f>
        <v>0.6666666667</v>
      </c>
      <c r="J531" s="16">
        <f>IFERROR(__xludf.DUMMYFUNCTION("""COMPUTED_VALUE"""),44013.6875)</f>
        <v>44013.6875</v>
      </c>
      <c r="K531" t="str">
        <f>IFERROR(__xludf.DUMMYFUNCTION("""COMPUTED_VALUE"""),"20ft Sea Ark FL5351SJ UNF 2015")</f>
        <v>20ft Sea Ark FL5351SJ UNF 2015</v>
      </c>
      <c r="M531" t="str">
        <f>IFERROR(__xludf.DUMMYFUNCTION("""COMPUTED_VALUE"""),"Ford F150 2015 (White) - DEP21448")</f>
        <v>Ford F150 2015 (White) - DEP21448</v>
      </c>
      <c r="N531" t="str">
        <f>IFERROR(__xludf.DUMMYFUNCTION("""COMPUTED_VALUE"""),"Pam Marcum, (480) 332-5414")</f>
        <v>Pam Marcum, (480) 332-5414</v>
      </c>
      <c r="O531" t="str">
        <f>IFERROR(__xludf.DUMMYFUNCTION("""COMPUTED_VALUE"""),"Alee Knoell, (619) 750-4833")</f>
        <v>Alee Knoell, (619) 750-4833</v>
      </c>
      <c r="P531" t="str">
        <f>IFERROR(__xludf.DUMMYFUNCTION("""COMPUTED_VALUE"""),"Pam")</f>
        <v>Pam</v>
      </c>
      <c r="Q531" t="str">
        <f>IFERROR(__xludf.DUMMYFUNCTION("""COMPUTED_VALUE"""),"All items in working order")</f>
        <v>All items in working order</v>
      </c>
      <c r="AE531" s="11"/>
      <c r="AF531" t="s">
        <v>218</v>
      </c>
      <c r="AG531" s="17" t="s">
        <v>43</v>
      </c>
      <c r="AH531" s="12">
        <v>1530.0</v>
      </c>
      <c r="AI531" s="12" t="s">
        <v>1549</v>
      </c>
      <c r="AJ531" s="19" t="s">
        <v>1550</v>
      </c>
      <c r="AK531" s="20" t="str">
        <f>HYPERLINK("https://docs.google.com/document/d/1sorxRew_pzwegTFEaF7rvDo2cZ-5GSHY1uilWuQtjWQ/edit?usp=drivesdk","Pam Marcum - 7/1/2020 9:15 AM")</f>
        <v>Pam Marcum - 7/1/2020 9:15 AM</v>
      </c>
      <c r="AL531" s="12" t="s">
        <v>1551</v>
      </c>
    </row>
    <row r="532">
      <c r="A532" s="10">
        <f>IFERROR(__xludf.DUMMYFUNCTION("""COMPUTED_VALUE"""),44014.327094039356)</f>
        <v>44014.32709</v>
      </c>
      <c r="B532" s="11" t="str">
        <f>IFERROR(__xludf.DUMMYFUNCTION("""COMPUTED_VALUE"""),"Pam Marcum")</f>
        <v>Pam Marcum</v>
      </c>
      <c r="C532" t="str">
        <f>IFERROR(__xludf.DUMMYFUNCTION("""COMPUTED_VALUE"""),"pamela.marcum@floridadep.gov")</f>
        <v>pamela.marcum@floridadep.gov</v>
      </c>
      <c r="D532" t="str">
        <f>IFERROR(__xludf.DUMMYFUNCTION("""COMPUTED_VALUE"""),"Research/Nikki")</f>
        <v>Research/Nikki</v>
      </c>
      <c r="E532" t="str">
        <f>IFERROR(__xludf.DUMMYFUNCTION("""COMPUTED_VALUE"""),"Bings")</f>
        <v>Bings</v>
      </c>
      <c r="F532" s="13">
        <f>IFERROR(__xludf.DUMMYFUNCTION("""COMPUTED_VALUE"""),0.3125)</f>
        <v>0.3125</v>
      </c>
      <c r="G532" s="14">
        <f>IFERROR(__xludf.DUMMYFUNCTION("""COMPUTED_VALUE"""),44014.0)</f>
        <v>44014</v>
      </c>
      <c r="H532" t="str">
        <f>IFERROR(__xludf.DUMMYFUNCTION("""COMPUTED_VALUE"""),"Washington oaks platform")</f>
        <v>Washington oaks platform</v>
      </c>
      <c r="I532" s="15">
        <f>IFERROR(__xludf.DUMMYFUNCTION("""COMPUTED_VALUE"""),0.5)</f>
        <v>0.5</v>
      </c>
      <c r="J532" s="16">
        <f>IFERROR(__xludf.DUMMYFUNCTION("""COMPUTED_VALUE"""),44014.58333333333)</f>
        <v>44014.58333</v>
      </c>
      <c r="K532" t="str">
        <f>IFERROR(__xludf.DUMMYFUNCTION("""COMPUTED_VALUE"""),"20ft Sea Ark FL5351SJ UNF 2015")</f>
        <v>20ft Sea Ark FL5351SJ UNF 2015</v>
      </c>
      <c r="M532" t="str">
        <f>IFERROR(__xludf.DUMMYFUNCTION("""COMPUTED_VALUE"""),"Ford F150 2015 (White) - DEP21448")</f>
        <v>Ford F150 2015 (White) - DEP21448</v>
      </c>
      <c r="N532" t="str">
        <f>IFERROR(__xludf.DUMMYFUNCTION("""COMPUTED_VALUE"""),"Pam Marcum, (480) 332-5414")</f>
        <v>Pam Marcum, (480) 332-5414</v>
      </c>
      <c r="O532" t="str">
        <f>IFERROR(__xludf.DUMMYFUNCTION("""COMPUTED_VALUE"""),"Alee Knoell, (619) 750-4833")</f>
        <v>Alee Knoell, (619) 750-4833</v>
      </c>
      <c r="P532" t="str">
        <f>IFERROR(__xludf.DUMMYFUNCTION("""COMPUTED_VALUE"""),"Pam")</f>
        <v>Pam</v>
      </c>
      <c r="Q532" t="str">
        <f>IFERROR(__xludf.DUMMYFUNCTION("""COMPUTED_VALUE"""),"All items in working order")</f>
        <v>All items in working order</v>
      </c>
      <c r="AE532" s="11"/>
      <c r="AF532" t="s">
        <v>218</v>
      </c>
      <c r="AG532" s="17" t="s">
        <v>43</v>
      </c>
      <c r="AH532" s="12">
        <v>1001.0</v>
      </c>
      <c r="AI532" s="12" t="s">
        <v>1552</v>
      </c>
      <c r="AJ532" s="19" t="s">
        <v>1553</v>
      </c>
      <c r="AK532" s="20" t="str">
        <f>HYPERLINK("https://docs.google.com/document/d/1_E6_g5iposFy2WcBX--JAtTlDMw8mQI9CnaZjAGUTc4/edit?usp=drivesdk","Pam Marcum - 7/2/2020 7:30 AM")</f>
        <v>Pam Marcum - 7/2/2020 7:30 AM</v>
      </c>
      <c r="AL532" s="12" t="s">
        <v>1554</v>
      </c>
    </row>
    <row r="533">
      <c r="A533" s="10">
        <f>IFERROR(__xludf.DUMMYFUNCTION("""COMPUTED_VALUE"""),44019.354679131946)</f>
        <v>44019.35468</v>
      </c>
      <c r="B533" s="11" t="str">
        <f>IFERROR(__xludf.DUMMYFUNCTION("""COMPUTED_VALUE"""),"Silas Tanner")</f>
        <v>Silas Tanner</v>
      </c>
      <c r="C533" t="str">
        <f>IFERROR(__xludf.DUMMYFUNCTION("""COMPUTED_VALUE"""),"silas.tanner@floridadep.gov")</f>
        <v>silas.tanner@floridadep.gov</v>
      </c>
      <c r="D533" t="str">
        <f>IFERROR(__xludf.DUMMYFUNCTION("""COMPUTED_VALUE"""),"Research/Nikki")</f>
        <v>Research/Nikki</v>
      </c>
      <c r="E533" t="str">
        <f>IFERROR(__xludf.DUMMYFUNCTION("""COMPUTED_VALUE"""),"Vilano Landing")</f>
        <v>Vilano Landing</v>
      </c>
      <c r="F533" s="13">
        <f>IFERROR(__xludf.DUMMYFUNCTION("""COMPUTED_VALUE"""),0.3958333333321207)</f>
        <v>0.3958333333</v>
      </c>
      <c r="G533" s="14">
        <f>IFERROR(__xludf.DUMMYFUNCTION("""COMPUTED_VALUE"""),44019.0)</f>
        <v>44019</v>
      </c>
      <c r="H533" t="str">
        <f>IFERROR(__xludf.DUMMYFUNCTION("""COMPUTED_VALUE"""),"ICW SWMP Sites")</f>
        <v>ICW SWMP Sites</v>
      </c>
      <c r="I533" s="15">
        <f>IFERROR(__xludf.DUMMYFUNCTION("""COMPUTED_VALUE"""),0.6041666666678793)</f>
        <v>0.6041666667</v>
      </c>
      <c r="J533" s="16">
        <f>IFERROR(__xludf.DUMMYFUNCTION("""COMPUTED_VALUE"""),44019.625)</f>
        <v>44019.625</v>
      </c>
      <c r="K533" t="str">
        <f>IFERROR(__xludf.DUMMYFUNCTION("""COMPUTED_VALUE"""),"20ft Sea Ark FL5351SJ UNF 2015")</f>
        <v>20ft Sea Ark FL5351SJ UNF 2015</v>
      </c>
      <c r="M533" t="str">
        <f>IFERROR(__xludf.DUMMYFUNCTION("""COMPUTED_VALUE"""),"Ford F250 2017 (Moby Dix) - DEP0021578")</f>
        <v>Ford F250 2017 (Moby Dix) - DEP0021578</v>
      </c>
      <c r="N533" t="str">
        <f>IFERROR(__xludf.DUMMYFUNCTION("""COMPUTED_VALUE"""),"Silas Tanner, (904) 483-8423")</f>
        <v>Silas Tanner, (904) 483-8423</v>
      </c>
      <c r="O533" t="str">
        <f>IFERROR(__xludf.DUMMYFUNCTION("""COMPUTED_VALUE"""),"Alee Knoell, (619) 750-4833")</f>
        <v>Alee Knoell, (619) 750-4833</v>
      </c>
      <c r="P533" t="str">
        <f>IFERROR(__xludf.DUMMYFUNCTION("""COMPUTED_VALUE"""),"Tanner")</f>
        <v>Tanner</v>
      </c>
      <c r="Q533" t="str">
        <f>IFERROR(__xludf.DUMMYFUNCTION("""COMPUTED_VALUE"""),"All items in working order")</f>
        <v>All items in working order</v>
      </c>
      <c r="AE533" s="11"/>
      <c r="AF533" t="s">
        <v>218</v>
      </c>
      <c r="AG533" s="17" t="s">
        <v>43</v>
      </c>
      <c r="AH533" s="12">
        <v>1600.0</v>
      </c>
      <c r="AI533" s="12" t="s">
        <v>1555</v>
      </c>
      <c r="AJ533" s="19" t="s">
        <v>1556</v>
      </c>
      <c r="AK533" s="20" t="str">
        <f>HYPERLINK("https://docs.google.com/document/d/1LKiFdPF2xoMtV-oMNwqBiUn6ICyiGtn1tnknYxYQ9Ls/edit?usp=drivesdk","Silas Tanner - 7/7/2020 9:30 AM")</f>
        <v>Silas Tanner - 7/7/2020 9:30 AM</v>
      </c>
      <c r="AL533" s="12" t="s">
        <v>1557</v>
      </c>
    </row>
    <row r="534">
      <c r="A534" s="10">
        <f>IFERROR(__xludf.DUMMYFUNCTION("""COMPUTED_VALUE"""),44026.33644688658)</f>
        <v>44026.33645</v>
      </c>
      <c r="B534" s="11" t="str">
        <f>IFERROR(__xludf.DUMMYFUNCTION("""COMPUTED_VALUE"""),"Pam Marcum")</f>
        <v>Pam Marcum</v>
      </c>
      <c r="C534" t="str">
        <f>IFERROR(__xludf.DUMMYFUNCTION("""COMPUTED_VALUE"""),"pamela.marcum@floridadep.gov")</f>
        <v>pamela.marcum@floridadep.gov</v>
      </c>
      <c r="D534" t="str">
        <f>IFERROR(__xludf.DUMMYFUNCTION("""COMPUTED_VALUE"""),"Research/Nikki")</f>
        <v>Research/Nikki</v>
      </c>
      <c r="E534" t="str">
        <f>IFERROR(__xludf.DUMMYFUNCTION("""COMPUTED_VALUE"""),"Butler")</f>
        <v>Butler</v>
      </c>
      <c r="F534" s="13">
        <f>IFERROR(__xludf.DUMMYFUNCTION("""COMPUTED_VALUE"""),0.3125)</f>
        <v>0.3125</v>
      </c>
      <c r="G534" s="14">
        <f>IFERROR(__xludf.DUMMYFUNCTION("""COMPUTED_VALUE"""),44026.0)</f>
        <v>44026</v>
      </c>
      <c r="H534" t="str">
        <f>IFERROR(__xludf.DUMMYFUNCTION("""COMPUTED_VALUE"""),"Moses Creek")</f>
        <v>Moses Creek</v>
      </c>
      <c r="I534" s="15">
        <f>IFERROR(__xludf.DUMMYFUNCTION("""COMPUTED_VALUE"""),0.5833333333321207)</f>
        <v>0.5833333333</v>
      </c>
      <c r="J534" s="16">
        <f>IFERROR(__xludf.DUMMYFUNCTION("""COMPUTED_VALUE"""),44026.625)</f>
        <v>44026.625</v>
      </c>
      <c r="K534" t="str">
        <f>IFERROR(__xludf.DUMMYFUNCTION("""COMPUTED_VALUE"""),"20ft Sea Ark FL5351SJ UNF 2015")</f>
        <v>20ft Sea Ark FL5351SJ UNF 2015</v>
      </c>
      <c r="M534" t="str">
        <f>IFERROR(__xludf.DUMMYFUNCTION("""COMPUTED_VALUE"""),"Ford F150 2015 (White) - DEP21448")</f>
        <v>Ford F150 2015 (White) - DEP21448</v>
      </c>
      <c r="N534" t="str">
        <f>IFERROR(__xludf.DUMMYFUNCTION("""COMPUTED_VALUE"""),"Pam Marcum, (480) 332-5414")</f>
        <v>Pam Marcum, (480) 332-5414</v>
      </c>
      <c r="O534" t="str">
        <f>IFERROR(__xludf.DUMMYFUNCTION("""COMPUTED_VALUE"""),"Alee Knoell, (619) 750-4833")</f>
        <v>Alee Knoell, (619) 750-4833</v>
      </c>
      <c r="P534" t="str">
        <f>IFERROR(__xludf.DUMMYFUNCTION("""COMPUTED_VALUE"""),"Pam")</f>
        <v>Pam</v>
      </c>
      <c r="Q534" t="str">
        <f>IFERROR(__xludf.DUMMYFUNCTION("""COMPUTED_VALUE"""),"All items in working order")</f>
        <v>All items in working order</v>
      </c>
      <c r="AE534" s="11"/>
      <c r="AF534" t="s">
        <v>218</v>
      </c>
      <c r="AG534" s="17" t="s">
        <v>43</v>
      </c>
      <c r="AH534" s="12">
        <v>1312.0</v>
      </c>
      <c r="AI534" s="12" t="s">
        <v>1558</v>
      </c>
      <c r="AJ534" s="19" t="s">
        <v>1559</v>
      </c>
      <c r="AK534" s="20" t="str">
        <f>HYPERLINK("https://docs.google.com/document/d/1m1C7qH-RvtISodVTzFnc0zCfaESvlpdUWqL7qXa2jAI/edit?usp=drivesdk","Pam Marcum - 7/14/2020 7:30 AM")</f>
        <v>Pam Marcum - 7/14/2020 7:30 AM</v>
      </c>
      <c r="AL534" s="12" t="s">
        <v>1560</v>
      </c>
    </row>
    <row r="535">
      <c r="A535" s="10">
        <f>IFERROR(__xludf.DUMMYFUNCTION("""COMPUTED_VALUE"""),44027.26801913195)</f>
        <v>44027.26802</v>
      </c>
      <c r="B535" s="11" t="str">
        <f>IFERROR(__xludf.DUMMYFUNCTION("""COMPUTED_VALUE"""),"Jessica Lee")</f>
        <v>Jessica Lee</v>
      </c>
      <c r="C535" t="str">
        <f>IFERROR(__xludf.DUMMYFUNCTION("""COMPUTED_VALUE"""),"jessica.lee@floridadep.gov")</f>
        <v>jessica.lee@floridadep.gov</v>
      </c>
      <c r="D535" t="str">
        <f>IFERROR(__xludf.DUMMYFUNCTION("""COMPUTED_VALUE"""),"Research/Nikki")</f>
        <v>Research/Nikki</v>
      </c>
      <c r="E535" t="str">
        <f>IFERROR(__xludf.DUMMYFUNCTION("""COMPUTED_VALUE"""),"Guana River")</f>
        <v>Guana River</v>
      </c>
      <c r="F535" s="13">
        <f>IFERROR(__xludf.DUMMYFUNCTION("""COMPUTED_VALUE"""),0.2708333333321207)</f>
        <v>0.2708333333</v>
      </c>
      <c r="G535" s="14">
        <f>IFERROR(__xludf.DUMMYFUNCTION("""COMPUTED_VALUE"""),44027.0)</f>
        <v>44027</v>
      </c>
      <c r="H535" t="str">
        <f>IFERROR(__xludf.DUMMYFUNCTION("""COMPUTED_VALUE"""),"Guana River")</f>
        <v>Guana River</v>
      </c>
      <c r="I535" s="15">
        <f>IFERROR(__xludf.DUMMYFUNCTION("""COMPUTED_VALUE"""),0.3333333333321207)</f>
        <v>0.3333333333</v>
      </c>
      <c r="J535" s="16">
        <f>IFERROR(__xludf.DUMMYFUNCTION("""COMPUTED_VALUE"""),44027.34375)</f>
        <v>44027.34375</v>
      </c>
      <c r="K535" t="str">
        <f>IFERROR(__xludf.DUMMYFUNCTION("""COMPUTED_VALUE"""),"John boat FL5992rr")</f>
        <v>John boat FL5992rr</v>
      </c>
      <c r="M535" t="str">
        <f>IFERROR(__xludf.DUMMYFUNCTION("""COMPUTED_VALUE"""),"Ford F250 2017 (Moby Dix) - DEP0021578")</f>
        <v>Ford F250 2017 (Moby Dix) - DEP0021578</v>
      </c>
      <c r="N535" t="str">
        <f>IFERROR(__xludf.DUMMYFUNCTION("""COMPUTED_VALUE"""),"Shannon Dunnigan, (803) 727-5734")</f>
        <v>Shannon Dunnigan, (803) 727-5734</v>
      </c>
      <c r="P535" t="str">
        <f>IFERROR(__xludf.DUMMYFUNCTION("""COMPUTED_VALUE"""),"Jess")</f>
        <v>Jess</v>
      </c>
      <c r="Q535" t="str">
        <f>IFERROR(__xludf.DUMMYFUNCTION("""COMPUTED_VALUE"""),"All items in working order")</f>
        <v>All items in working order</v>
      </c>
      <c r="AE535" s="11"/>
      <c r="AF535" t="s">
        <v>218</v>
      </c>
      <c r="AG535" s="17" t="s">
        <v>43</v>
      </c>
      <c r="AH535" s="12">
        <v>808.0</v>
      </c>
      <c r="AI535" s="12" t="s">
        <v>1561</v>
      </c>
      <c r="AJ535" s="19" t="s">
        <v>1562</v>
      </c>
      <c r="AK535" s="20" t="str">
        <f>HYPERLINK("https://docs.google.com/document/d/1X9wfvTORjybGnVdhkI654jew_V9OeuF-Dtd6PT2PZgc/edit?usp=drivesdk","Jessica Lee - 7/15/2020 6:30 AM")</f>
        <v>Jessica Lee - 7/15/2020 6:30 AM</v>
      </c>
      <c r="AL535" s="12" t="s">
        <v>1563</v>
      </c>
    </row>
    <row r="536">
      <c r="A536" s="10">
        <f>IFERROR(__xludf.DUMMYFUNCTION("""COMPUTED_VALUE"""),44027.277418819445)</f>
        <v>44027.27742</v>
      </c>
      <c r="B536" s="11" t="str">
        <f>IFERROR(__xludf.DUMMYFUNCTION("""COMPUTED_VALUE"""),"Pam Marcum")</f>
        <v>Pam Marcum</v>
      </c>
      <c r="C536" t="str">
        <f>IFERROR(__xludf.DUMMYFUNCTION("""COMPUTED_VALUE"""),"pamela.marcum@floridadep.gov")</f>
        <v>pamela.marcum@floridadep.gov</v>
      </c>
      <c r="D536" t="str">
        <f>IFERROR(__xludf.DUMMYFUNCTION("""COMPUTED_VALUE"""),"Research/Nikki")</f>
        <v>Research/Nikki</v>
      </c>
      <c r="E536" t="str">
        <f>IFERROR(__xludf.DUMMYFUNCTION("""COMPUTED_VALUE"""),"Butler")</f>
        <v>Butler</v>
      </c>
      <c r="F536" s="13">
        <f>IFERROR(__xludf.DUMMYFUNCTION("""COMPUTED_VALUE"""),0.2708333333321207)</f>
        <v>0.2708333333</v>
      </c>
      <c r="G536" s="14">
        <f>IFERROR(__xludf.DUMMYFUNCTION("""COMPUTED_VALUE"""),44027.0)</f>
        <v>44027</v>
      </c>
      <c r="H536" t="str">
        <f>IFERROR(__xludf.DUMMYFUNCTION("""COMPUTED_VALUE"""),"Moses creek")</f>
        <v>Moses creek</v>
      </c>
      <c r="I536" s="15">
        <f>IFERROR(__xludf.DUMMYFUNCTION("""COMPUTED_VALUE"""),0.5833333333321207)</f>
        <v>0.5833333333</v>
      </c>
      <c r="J536" s="16">
        <f>IFERROR(__xludf.DUMMYFUNCTION("""COMPUTED_VALUE"""),44027.625)</f>
        <v>44027.625</v>
      </c>
      <c r="K536" t="str">
        <f>IFERROR(__xludf.DUMMYFUNCTION("""COMPUTED_VALUE"""),"20ft Sea Ark FL5351SJ UNF 2015")</f>
        <v>20ft Sea Ark FL5351SJ UNF 2015</v>
      </c>
      <c r="M536" t="str">
        <f>IFERROR(__xludf.DUMMYFUNCTION("""COMPUTED_VALUE"""),"Ford F150 2015 (White) - DEP21448")</f>
        <v>Ford F150 2015 (White) - DEP21448</v>
      </c>
      <c r="N536" t="str">
        <f>IFERROR(__xludf.DUMMYFUNCTION("""COMPUTED_VALUE"""),"Pam Marcum, (480) 332-5414")</f>
        <v>Pam Marcum, (480) 332-5414</v>
      </c>
      <c r="O536" t="str">
        <f>IFERROR(__xludf.DUMMYFUNCTION("""COMPUTED_VALUE"""),"Alee Knoell, (619) 750-4833")</f>
        <v>Alee Knoell, (619) 750-4833</v>
      </c>
      <c r="P536" t="str">
        <f>IFERROR(__xludf.DUMMYFUNCTION("""COMPUTED_VALUE"""),"Pam")</f>
        <v>Pam</v>
      </c>
      <c r="Q536" t="str">
        <f>IFERROR(__xludf.DUMMYFUNCTION("""COMPUTED_VALUE"""),"All items in working order")</f>
        <v>All items in working order</v>
      </c>
      <c r="AE536" s="11"/>
      <c r="AF536" t="s">
        <v>218</v>
      </c>
      <c r="AG536" s="17" t="s">
        <v>43</v>
      </c>
      <c r="AH536" s="12">
        <v>1045.0</v>
      </c>
      <c r="AI536" s="12" t="s">
        <v>1564</v>
      </c>
      <c r="AJ536" s="19" t="s">
        <v>1565</v>
      </c>
      <c r="AK536" s="20" t="str">
        <f>HYPERLINK("https://docs.google.com/document/d/1fXMWL0MZGV41kK88Fec-z8NpdovkfB2-VJnskCTii8Y/edit?usp=drivesdk","Pam Marcum - 7/15/2020 6:30 AM")</f>
        <v>Pam Marcum - 7/15/2020 6:30 AM</v>
      </c>
      <c r="AL536" s="12" t="s">
        <v>1566</v>
      </c>
    </row>
    <row r="537">
      <c r="A537" s="10">
        <f>IFERROR(__xludf.DUMMYFUNCTION("""COMPUTED_VALUE"""),44027.77807590278)</f>
        <v>44027.77808</v>
      </c>
      <c r="B537" s="11" t="str">
        <f>IFERROR(__xludf.DUMMYFUNCTION("""COMPUTED_VALUE"""),"Jessica Lee")</f>
        <v>Jessica Lee</v>
      </c>
      <c r="C537" t="str">
        <f>IFERROR(__xludf.DUMMYFUNCTION("""COMPUTED_VALUE"""),"jessica.lee@floridadep.gov")</f>
        <v>jessica.lee@floridadep.gov</v>
      </c>
      <c r="D537" t="str">
        <f>IFERROR(__xludf.DUMMYFUNCTION("""COMPUTED_VALUE"""),"Research/Nikki")</f>
        <v>Research/Nikki</v>
      </c>
      <c r="E537" t="str">
        <f>IFERROR(__xludf.DUMMYFUNCTION("""COMPUTED_VALUE"""),"Guana River")</f>
        <v>Guana River</v>
      </c>
      <c r="F537" s="13">
        <f>IFERROR(__xludf.DUMMYFUNCTION("""COMPUTED_VALUE"""),0.2708333333321207)</f>
        <v>0.2708333333</v>
      </c>
      <c r="G537" s="14">
        <f>IFERROR(__xludf.DUMMYFUNCTION("""COMPUTED_VALUE"""),44027.0)</f>
        <v>44027</v>
      </c>
      <c r="H537" t="str">
        <f>IFERROR(__xludf.DUMMYFUNCTION("""COMPUTED_VALUE"""),"Guana River")</f>
        <v>Guana River</v>
      </c>
      <c r="I537" s="15">
        <f>IFERROR(__xludf.DUMMYFUNCTION("""COMPUTED_VALUE"""),0.3333333333321207)</f>
        <v>0.3333333333</v>
      </c>
      <c r="J537" s="16">
        <f>IFERROR(__xludf.DUMMYFUNCTION("""COMPUTED_VALUE"""),44027.34375)</f>
        <v>44027.34375</v>
      </c>
      <c r="K537" t="str">
        <f>IFERROR(__xludf.DUMMYFUNCTION("""COMPUTED_VALUE"""),"John boat FL5992rr")</f>
        <v>John boat FL5992rr</v>
      </c>
      <c r="M537" t="str">
        <f>IFERROR(__xludf.DUMMYFUNCTION("""COMPUTED_VALUE"""),"Ford F250 2017 (Moby Dix) - DEP0021578")</f>
        <v>Ford F250 2017 (Moby Dix) - DEP0021578</v>
      </c>
      <c r="N537" t="str">
        <f>IFERROR(__xludf.DUMMYFUNCTION("""COMPUTED_VALUE"""),"Shannon Dunnigan, (803) 727-5734")</f>
        <v>Shannon Dunnigan, (803) 727-5734</v>
      </c>
      <c r="P537" t="str">
        <f>IFERROR(__xludf.DUMMYFUNCTION("""COMPUTED_VALUE"""),"Jess")</f>
        <v>Jess</v>
      </c>
      <c r="Q537" t="str">
        <f>IFERROR(__xludf.DUMMYFUNCTION("""COMPUTED_VALUE"""),"All items in working order")</f>
        <v>All items in working order</v>
      </c>
      <c r="AE537" s="11"/>
      <c r="AF537" t="s">
        <v>218</v>
      </c>
      <c r="AG537" s="17" t="s">
        <v>43</v>
      </c>
      <c r="AH537" s="12">
        <v>840.0</v>
      </c>
      <c r="AI537" s="12" t="s">
        <v>1567</v>
      </c>
      <c r="AJ537" s="19" t="s">
        <v>1568</v>
      </c>
      <c r="AK537" s="20" t="str">
        <f>HYPERLINK("https://docs.google.com/document/d/1RJLYcS9IsMyhVVNWNhAD2e09aoyEC06a4739oiXVskI/edit?usp=drivesdk","Jessica Lee - 7/15/2020 6:30 AM")</f>
        <v>Jessica Lee - 7/15/2020 6:30 AM</v>
      </c>
      <c r="AL537" s="12" t="s">
        <v>1569</v>
      </c>
    </row>
    <row r="538">
      <c r="A538" s="10">
        <f>IFERROR(__xludf.DUMMYFUNCTION("""COMPUTED_VALUE"""),44033.39924243056)</f>
        <v>44033.39924</v>
      </c>
      <c r="B538" s="11" t="str">
        <f>IFERROR(__xludf.DUMMYFUNCTION("""COMPUTED_VALUE"""),"Silas Tanner")</f>
        <v>Silas Tanner</v>
      </c>
      <c r="C538" t="str">
        <f>IFERROR(__xludf.DUMMYFUNCTION("""COMPUTED_VALUE"""),"silas.tanner@dep.state.fl.us")</f>
        <v>silas.tanner@dep.state.fl.us</v>
      </c>
      <c r="D538" t="str">
        <f>IFERROR(__xludf.DUMMYFUNCTION("""COMPUTED_VALUE"""),"Research/Pam")</f>
        <v>Research/Pam</v>
      </c>
      <c r="E538" t="str">
        <f>IFERROR(__xludf.DUMMYFUNCTION("""COMPUTED_VALUE"""),"Vilano Landing")</f>
        <v>Vilano Landing</v>
      </c>
      <c r="F538" s="13">
        <f>IFERROR(__xludf.DUMMYFUNCTION("""COMPUTED_VALUE"""),0.4131944444452529)</f>
        <v>0.4131944444</v>
      </c>
      <c r="G538" s="14">
        <f>IFERROR(__xludf.DUMMYFUNCTION("""COMPUTED_VALUE"""),44033.0)</f>
        <v>44033</v>
      </c>
      <c r="H538" t="str">
        <f>IFERROR(__xludf.DUMMYFUNCTION("""COMPUTED_VALUE"""),"ICW SWMP sites")</f>
        <v>ICW SWMP sites</v>
      </c>
      <c r="I538" s="15">
        <f>IFERROR(__xludf.DUMMYFUNCTION("""COMPUTED_VALUE"""),0.5833333333321207)</f>
        <v>0.5833333333</v>
      </c>
      <c r="J538" s="16">
        <f>IFERROR(__xludf.DUMMYFUNCTION("""COMPUTED_VALUE"""),44033.6875)</f>
        <v>44033.6875</v>
      </c>
      <c r="K538" t="str">
        <f>IFERROR(__xludf.DUMMYFUNCTION("""COMPUTED_VALUE"""),"23ft Skiff (Bertha) FL7972LJ DEP07613")</f>
        <v>23ft Skiff (Bertha) FL7972LJ DEP07613</v>
      </c>
      <c r="M538" t="str">
        <f>IFERROR(__xludf.DUMMYFUNCTION("""COMPUTED_VALUE"""),"Ford F250 2017 (Moby Dix) - DEP0021578")</f>
        <v>Ford F250 2017 (Moby Dix) - DEP0021578</v>
      </c>
      <c r="N538" t="str">
        <f>IFERROR(__xludf.DUMMYFUNCTION("""COMPUTED_VALUE"""),"Shannon Dunnigan, (803) 727-5734, Silas Tanner, (904) 483-8423")</f>
        <v>Shannon Dunnigan, (803) 727-5734, Silas Tanner, (904) 483-8423</v>
      </c>
      <c r="P538" t="str">
        <f>IFERROR(__xludf.DUMMYFUNCTION("""COMPUTED_VALUE"""),"Silas Tanner")</f>
        <v>Silas Tanner</v>
      </c>
      <c r="Q538" t="str">
        <f>IFERROR(__xludf.DUMMYFUNCTION("""COMPUTED_VALUE"""),"All items in working order")</f>
        <v>All items in working order</v>
      </c>
      <c r="AE538" s="11"/>
      <c r="AF538" t="s">
        <v>262</v>
      </c>
      <c r="AG538" s="17" t="s">
        <v>141</v>
      </c>
      <c r="AH538" s="12">
        <v>1412.0</v>
      </c>
      <c r="AI538" s="12" t="s">
        <v>1570</v>
      </c>
      <c r="AJ538" s="19" t="s">
        <v>1571</v>
      </c>
      <c r="AK538" s="20" t="str">
        <f>HYPERLINK("https://docs.google.com/document/d/1nN7xLUceiqkgIR5qXSYfcLXQYVdvjss9mABDETalDM0/edit?usp=drivesdk","Silas Tanner - 7/21/2020 9:55 AM")</f>
        <v>Silas Tanner - 7/21/2020 9:55 AM</v>
      </c>
      <c r="AL538" s="12" t="s">
        <v>1572</v>
      </c>
    </row>
    <row r="539">
      <c r="A539" s="10">
        <f>IFERROR(__xludf.DUMMYFUNCTION("""COMPUTED_VALUE"""),44034.5334864699)</f>
        <v>44034.53349</v>
      </c>
      <c r="B539" s="11" t="str">
        <f>IFERROR(__xludf.DUMMYFUNCTION("""COMPUTED_VALUE"""),"Pamela Marcum")</f>
        <v>Pamela Marcum</v>
      </c>
      <c r="C539" t="str">
        <f>IFERROR(__xludf.DUMMYFUNCTION("""COMPUTED_VALUE"""),"pamela.marcum@floridadep.gov")</f>
        <v>pamela.marcum@floridadep.gov</v>
      </c>
      <c r="D539" t="str">
        <f>IFERROR(__xludf.DUMMYFUNCTION("""COMPUTED_VALUE"""),"Research/Silas")</f>
        <v>Research/Silas</v>
      </c>
      <c r="E539" t="str">
        <f>IFERROR(__xludf.DUMMYFUNCTION("""COMPUTED_VALUE"""),"Usina")</f>
        <v>Usina</v>
      </c>
      <c r="F539" s="13">
        <f>IFERROR(__xludf.DUMMYFUNCTION("""COMPUTED_VALUE"""),0.5208333333321207)</f>
        <v>0.5208333333</v>
      </c>
      <c r="G539" s="14">
        <f>IFERROR(__xludf.DUMMYFUNCTION("""COMPUTED_VALUE"""),44034.0)</f>
        <v>44034</v>
      </c>
      <c r="H539" t="str">
        <f>IFERROR(__xludf.DUMMYFUNCTION("""COMPUTED_VALUE"""),"Hat island")</f>
        <v>Hat island</v>
      </c>
      <c r="I539" s="15">
        <f>IFERROR(__xludf.DUMMYFUNCTION("""COMPUTED_VALUE"""),0.5416666666678793)</f>
        <v>0.5416666667</v>
      </c>
      <c r="J539" s="16">
        <f>IFERROR(__xludf.DUMMYFUNCTION("""COMPUTED_VALUE"""),44034.5625)</f>
        <v>44034.5625</v>
      </c>
      <c r="K539" t="str">
        <f>IFERROR(__xludf.DUMMYFUNCTION("""COMPUTED_VALUE"""),"20ft Sea Ark FL5351SJ UNF 2015")</f>
        <v>20ft Sea Ark FL5351SJ UNF 2015</v>
      </c>
      <c r="M539" t="str">
        <f>IFERROR(__xludf.DUMMYFUNCTION("""COMPUTED_VALUE"""),"Ford F150 2015 (White) - DEP21448")</f>
        <v>Ford F150 2015 (White) - DEP21448</v>
      </c>
      <c r="N539" t="str">
        <f>IFERROR(__xludf.DUMMYFUNCTION("""COMPUTED_VALUE"""),"Pam Marcum, (480) 332-5414")</f>
        <v>Pam Marcum, (480) 332-5414</v>
      </c>
      <c r="O539" t="str">
        <f>IFERROR(__xludf.DUMMYFUNCTION("""COMPUTED_VALUE"""),"Alee Knoell, (619) 750-4833")</f>
        <v>Alee Knoell, (619) 750-4833</v>
      </c>
      <c r="P539" t="str">
        <f>IFERROR(__xludf.DUMMYFUNCTION("""COMPUTED_VALUE"""),"Pam")</f>
        <v>Pam</v>
      </c>
      <c r="Q539" t="str">
        <f>IFERROR(__xludf.DUMMYFUNCTION("""COMPUTED_VALUE"""),"All items in working order")</f>
        <v>All items in working order</v>
      </c>
      <c r="AE539" s="11"/>
      <c r="AF539" t="s">
        <v>1449</v>
      </c>
      <c r="AG539" s="17" t="s">
        <v>1573</v>
      </c>
      <c r="AH539" s="12">
        <v>1216.0</v>
      </c>
      <c r="AI539" s="12" t="s">
        <v>1574</v>
      </c>
      <c r="AJ539" s="19" t="s">
        <v>1575</v>
      </c>
      <c r="AK539" s="20" t="str">
        <f>HYPERLINK("https://docs.google.com/document/d/14oulgEg-yJPFmQSY4bD3bdsJ4sA8mYaLqVL8UtUMh5E/edit?usp=drivesdk","Pamela Marcum - 7/22/2020 12:30 PM")</f>
        <v>Pamela Marcum - 7/22/2020 12:30 PM</v>
      </c>
      <c r="AL539" s="12" t="s">
        <v>1576</v>
      </c>
    </row>
    <row r="540">
      <c r="A540" s="10">
        <f>IFERROR(__xludf.DUMMYFUNCTION("""COMPUTED_VALUE"""),44039.45566111111)</f>
        <v>44039.45566</v>
      </c>
      <c r="B540" s="11" t="str">
        <f>IFERROR(__xludf.DUMMYFUNCTION("""COMPUTED_VALUE"""),"Test")</f>
        <v>Test</v>
      </c>
      <c r="C540" t="str">
        <f>IFERROR(__xludf.DUMMYFUNCTION("""COMPUTED_VALUE"""),"pamela.marcum@floridadep.gov")</f>
        <v>pamela.marcum@floridadep.gov</v>
      </c>
      <c r="D540" t="str">
        <f>IFERROR(__xludf.DUMMYFUNCTION("""COMPUTED_VALUE"""),"Pam Marcum")</f>
        <v>Pam Marcum</v>
      </c>
      <c r="E540" t="str">
        <f>IFERROR(__xludf.DUMMYFUNCTION("""COMPUTED_VALUE"""),"Test")</f>
        <v>Test</v>
      </c>
      <c r="F540" s="13">
        <f>IFERROR(__xludf.DUMMYFUNCTION("""COMPUTED_VALUE"""),0.041666666667879326)</f>
        <v>0.04166666667</v>
      </c>
      <c r="G540" s="14">
        <f>IFERROR(__xludf.DUMMYFUNCTION("""COMPUTED_VALUE"""),44039.0)</f>
        <v>44039</v>
      </c>
      <c r="H540" t="str">
        <f>IFERROR(__xludf.DUMMYFUNCTION("""COMPUTED_VALUE"""),"Test")</f>
        <v>Test</v>
      </c>
      <c r="I540" s="15">
        <f>IFERROR(__xludf.DUMMYFUNCTION("""COMPUTED_VALUE"""),0.041666666667879326)</f>
        <v>0.04166666667</v>
      </c>
      <c r="J540" s="16">
        <f>IFERROR(__xludf.DUMMYFUNCTION("""COMPUTED_VALUE"""),44039.04166666667)</f>
        <v>44039.04167</v>
      </c>
      <c r="K540" t="str">
        <f>IFERROR(__xludf.DUMMYFUNCTION("""COMPUTED_VALUE"""),"Test")</f>
        <v>Test</v>
      </c>
      <c r="M540" t="str">
        <f>IFERROR(__xludf.DUMMYFUNCTION("""COMPUTED_VALUE"""),"Test")</f>
        <v>Test</v>
      </c>
      <c r="N540" t="str">
        <f>IFERROR(__xludf.DUMMYFUNCTION("""COMPUTED_VALUE"""),"Test")</f>
        <v>Test</v>
      </c>
      <c r="O540" t="str">
        <f>IFERROR(__xludf.DUMMYFUNCTION("""COMPUTED_VALUE"""),"Test")</f>
        <v>Test</v>
      </c>
      <c r="P540" t="str">
        <f>IFERROR(__xludf.DUMMYFUNCTION("""COMPUTED_VALUE"""),"Test")</f>
        <v>Test</v>
      </c>
      <c r="Q540" t="str">
        <f>IFERROR(__xludf.DUMMYFUNCTION("""COMPUTED_VALUE"""),"All items in working order")</f>
        <v>All items in working order</v>
      </c>
      <c r="AE540" s="11"/>
      <c r="AF540" t="s">
        <v>13</v>
      </c>
      <c r="AG540" s="18"/>
      <c r="AI540" s="12" t="s">
        <v>1577</v>
      </c>
      <c r="AJ540" s="19" t="s">
        <v>1578</v>
      </c>
      <c r="AK540" s="20" t="str">
        <f>HYPERLINK("https://docs.google.com/document/d/1byzPSWRScHvsiX5XKkYHTFEcYBwG1NT4fDZv-yHyYEk/edit?usp=drivesdk","Test - 7/27/2020 1:00 AM")</f>
        <v>Test - 7/27/2020 1:00 AM</v>
      </c>
      <c r="AL540" s="12" t="s">
        <v>1579</v>
      </c>
    </row>
    <row r="541">
      <c r="A541" s="10">
        <f>IFERROR(__xludf.DUMMYFUNCTION("""COMPUTED_VALUE"""),44040.40957599537)</f>
        <v>44040.40958</v>
      </c>
      <c r="B541" s="11" t="str">
        <f>IFERROR(__xludf.DUMMYFUNCTION("""COMPUTED_VALUE"""),"Alexandria Knoell")</f>
        <v>Alexandria Knoell</v>
      </c>
      <c r="C541" t="str">
        <f>IFERROR(__xludf.DUMMYFUNCTION("""COMPUTED_VALUE"""),"alee.knoell@floridadep.gov")</f>
        <v>alee.knoell@floridadep.gov</v>
      </c>
      <c r="D541" t="str">
        <f>IFERROR(__xludf.DUMMYFUNCTION("""COMPUTED_VALUE"""),"Shannon Dunnigan")</f>
        <v>Shannon Dunnigan</v>
      </c>
      <c r="E541" t="str">
        <f>IFERROR(__xludf.DUMMYFUNCTION("""COMPUTED_VALUE"""),"Butler")</f>
        <v>Butler</v>
      </c>
      <c r="F541" s="13">
        <f>IFERROR(__xludf.DUMMYFUNCTION("""COMPUTED_VALUE"""),0.3125)</f>
        <v>0.3125</v>
      </c>
      <c r="G541" s="14">
        <f>IFERROR(__xludf.DUMMYFUNCTION("""COMPUTED_VALUE"""),44040.0)</f>
        <v>44040</v>
      </c>
      <c r="H541" t="str">
        <f>IFERROR(__xludf.DUMMYFUNCTION("""COMPUTED_VALUE"""),"Moses platforms ")</f>
        <v>Moses platforms </v>
      </c>
      <c r="I541" s="15">
        <f>IFERROR(__xludf.DUMMYFUNCTION("""COMPUTED_VALUE"""),0.5833333333321207)</f>
        <v>0.5833333333</v>
      </c>
      <c r="J541" s="16">
        <f>IFERROR(__xludf.DUMMYFUNCTION("""COMPUTED_VALUE"""),44010.625)</f>
        <v>44010.625</v>
      </c>
      <c r="K541" t="str">
        <f>IFERROR(__xludf.DUMMYFUNCTION("""COMPUTED_VALUE"""),"20ft Sea Ark FL5351SJ UNF 2015")</f>
        <v>20ft Sea Ark FL5351SJ UNF 2015</v>
      </c>
      <c r="M541" t="str">
        <f>IFERROR(__xludf.DUMMYFUNCTION("""COMPUTED_VALUE"""),"Ford F150 2015 (White) - DEP21448")</f>
        <v>Ford F150 2015 (White) - DEP21448</v>
      </c>
      <c r="N541" t="str">
        <f>IFERROR(__xludf.DUMMYFUNCTION("""COMPUTED_VALUE"""),"Pam Marcum, (480) 332-5414")</f>
        <v>Pam Marcum, (480) 332-5414</v>
      </c>
      <c r="O541" t="str">
        <f>IFERROR(__xludf.DUMMYFUNCTION("""COMPUTED_VALUE"""),"Alee Knoell, (619) 750-4833")</f>
        <v>Alee Knoell, (619) 750-4833</v>
      </c>
      <c r="P541" t="str">
        <f>IFERROR(__xludf.DUMMYFUNCTION("""COMPUTED_VALUE"""),"Pam")</f>
        <v>Pam</v>
      </c>
      <c r="Q541" t="str">
        <f>IFERROR(__xludf.DUMMYFUNCTION("""COMPUTED_VALUE"""),"All items in working order")</f>
        <v>All items in working order</v>
      </c>
      <c r="AE541" s="11"/>
      <c r="AF541" t="s">
        <v>269</v>
      </c>
      <c r="AG541" s="17" t="s">
        <v>511</v>
      </c>
      <c r="AH541" s="12">
        <v>1405.0</v>
      </c>
      <c r="AI541" s="12" t="s">
        <v>1580</v>
      </c>
      <c r="AJ541" s="19" t="s">
        <v>1581</v>
      </c>
      <c r="AK541" s="20" t="str">
        <f>HYPERLINK("https://docs.google.com/document/d/141L8UhKJis0YSYB7-3YSCuAa6cFHq5iBXy0kgXy5xOI/edit?usp=drivesdk","Alexandria Knoell - 7/28/2020 7:30 AM")</f>
        <v>Alexandria Knoell - 7/28/2020 7:30 AM</v>
      </c>
      <c r="AL541" s="12" t="s">
        <v>1582</v>
      </c>
    </row>
    <row r="542">
      <c r="A542" s="10">
        <f>IFERROR(__xludf.DUMMYFUNCTION("""COMPUTED_VALUE"""),44040.906757916666)</f>
        <v>44040.90676</v>
      </c>
      <c r="B542" s="11" t="str">
        <f>IFERROR(__xludf.DUMMYFUNCTION("""COMPUTED_VALUE"""),"Alexandria Knoell")</f>
        <v>Alexandria Knoell</v>
      </c>
      <c r="C542" t="str">
        <f>IFERROR(__xludf.DUMMYFUNCTION("""COMPUTED_VALUE"""),"alee.knoell@floridadep.gov")</f>
        <v>alee.knoell@floridadep.gov</v>
      </c>
      <c r="D542" t="str">
        <f>IFERROR(__xludf.DUMMYFUNCTION("""COMPUTED_VALUE"""),"Shannon Dunnigan")</f>
        <v>Shannon Dunnigan</v>
      </c>
      <c r="E542" t="str">
        <f>IFERROR(__xludf.DUMMYFUNCTION("""COMPUTED_VALUE"""),"Butler")</f>
        <v>Butler</v>
      </c>
      <c r="F542" s="13">
        <f>IFERROR(__xludf.DUMMYFUNCTION("""COMPUTED_VALUE"""),0.3125)</f>
        <v>0.3125</v>
      </c>
      <c r="G542" s="14">
        <f>IFERROR(__xludf.DUMMYFUNCTION("""COMPUTED_VALUE"""),44040.0)</f>
        <v>44040</v>
      </c>
      <c r="H542" t="str">
        <f>IFERROR(__xludf.DUMMYFUNCTION("""COMPUTED_VALUE"""),"Moses platforms ")</f>
        <v>Moses platforms </v>
      </c>
      <c r="I542" s="15">
        <f>IFERROR(__xludf.DUMMYFUNCTION("""COMPUTED_VALUE"""),0.5833333333321207)</f>
        <v>0.5833333333</v>
      </c>
      <c r="J542" s="16">
        <f>IFERROR(__xludf.DUMMYFUNCTION("""COMPUTED_VALUE"""),44010.625)</f>
        <v>44010.625</v>
      </c>
      <c r="K542" t="str">
        <f>IFERROR(__xludf.DUMMYFUNCTION("""COMPUTED_VALUE"""),"20ft Sea Ark FL5351SJ UNF 2015")</f>
        <v>20ft Sea Ark FL5351SJ UNF 2015</v>
      </c>
      <c r="M542" t="str">
        <f>IFERROR(__xludf.DUMMYFUNCTION("""COMPUTED_VALUE"""),"Ford F150 2015 (White) - DEP21448")</f>
        <v>Ford F150 2015 (White) - DEP21448</v>
      </c>
      <c r="N542" t="str">
        <f>IFERROR(__xludf.DUMMYFUNCTION("""COMPUTED_VALUE"""),"Pam Marcum, (480) 332-5414")</f>
        <v>Pam Marcum, (480) 332-5414</v>
      </c>
      <c r="O542" t="str">
        <f>IFERROR(__xludf.DUMMYFUNCTION("""COMPUTED_VALUE"""),"Alee Knoell, (619) 750-4833")</f>
        <v>Alee Knoell, (619) 750-4833</v>
      </c>
      <c r="P542" t="str">
        <f>IFERROR(__xludf.DUMMYFUNCTION("""COMPUTED_VALUE"""),"Pam")</f>
        <v>Pam</v>
      </c>
      <c r="Q542" t="str">
        <f>IFERROR(__xludf.DUMMYFUNCTION("""COMPUTED_VALUE"""),"All items in working order")</f>
        <v>All items in working order</v>
      </c>
      <c r="AE542" s="11"/>
      <c r="AF542" t="s">
        <v>269</v>
      </c>
      <c r="AG542" s="18"/>
      <c r="AI542" s="12" t="s">
        <v>1583</v>
      </c>
      <c r="AJ542" s="19" t="s">
        <v>1584</v>
      </c>
      <c r="AK542" s="20" t="str">
        <f>HYPERLINK("https://docs.google.com/document/d/1aYmJ0p8fesI4eujF2xZto-P721vPgu_tdrmmxkLjpus/edit?usp=drivesdk","Alexandria Knoell - 7/28/2020 7:30 AM")</f>
        <v>Alexandria Knoell - 7/28/2020 7:30 AM</v>
      </c>
      <c r="AL542" s="12" t="s">
        <v>1585</v>
      </c>
    </row>
    <row r="543">
      <c r="A543" s="10">
        <f>IFERROR(__xludf.DUMMYFUNCTION("""COMPUTED_VALUE"""),44041.53618199074)</f>
        <v>44041.53618</v>
      </c>
      <c r="B543" s="11" t="str">
        <f>IFERROR(__xludf.DUMMYFUNCTION("""COMPUTED_VALUE"""),"Gabriela Canas")</f>
        <v>Gabriela Canas</v>
      </c>
      <c r="C543" t="str">
        <f>IFERROR(__xludf.DUMMYFUNCTION("""COMPUTED_VALUE"""),"n00836133@unf.edu")</f>
        <v>n00836133@unf.edu</v>
      </c>
      <c r="D543" t="str">
        <f>IFERROR(__xludf.DUMMYFUNCTION("""COMPUTED_VALUE"""),"Shannon Dunnigan")</f>
        <v>Shannon Dunnigan</v>
      </c>
      <c r="E543" t="str">
        <f>IFERROR(__xludf.DUMMYFUNCTION("""COMPUTED_VALUE"""),"Douglas crane")</f>
        <v>Douglas crane</v>
      </c>
      <c r="F543" s="13">
        <f>IFERROR(__xludf.DUMMYFUNCTION("""COMPUTED_VALUE"""),0.5416666666678793)</f>
        <v>0.5416666667</v>
      </c>
      <c r="G543" s="14"/>
      <c r="H543" t="str">
        <f>IFERROR(__xludf.DUMMYFUNCTION("""COMPUTED_VALUE"""),"Wetfeet middle site")</f>
        <v>Wetfeet middle site</v>
      </c>
      <c r="I543" s="15">
        <f>IFERROR(__xludf.DUMMYFUNCTION("""COMPUTED_VALUE"""),0.6666666666678793)</f>
        <v>0.6666666667</v>
      </c>
      <c r="J543" s="16">
        <f>IFERROR(__xludf.DUMMYFUNCTION("""COMPUTED_VALUE"""),44041.70833333333)</f>
        <v>44041.70833</v>
      </c>
      <c r="K543" t="str">
        <f>IFERROR(__xludf.DUMMYFUNCTION("""COMPUTED_VALUE"""),"20ft Sea Ark FL5351SJ UNF 2015")</f>
        <v>20ft Sea Ark FL5351SJ UNF 2015</v>
      </c>
      <c r="M543" t="str">
        <f>IFERROR(__xludf.DUMMYFUNCTION("""COMPUTED_VALUE"""),"Ford F150 2015 (White) - DEP21448")</f>
        <v>Ford F150 2015 (White) - DEP21448</v>
      </c>
      <c r="N543" t="str">
        <f>IFERROR(__xludf.DUMMYFUNCTION("""COMPUTED_VALUE"""),"Pam Marcum, (480) 332-5414")</f>
        <v>Pam Marcum, (480) 332-5414</v>
      </c>
      <c r="O543" t="str">
        <f>IFERROR(__xludf.DUMMYFUNCTION("""COMPUTED_VALUE"""),"Gabriela Canas, (904) 891-9743")</f>
        <v>Gabriela Canas, (904) 891-9743</v>
      </c>
      <c r="P543" t="str">
        <f>IFERROR(__xludf.DUMMYFUNCTION("""COMPUTED_VALUE"""),"Pam")</f>
        <v>Pam</v>
      </c>
      <c r="Q543" t="str">
        <f>IFERROR(__xludf.DUMMYFUNCTION("""COMPUTED_VALUE"""),"All items in working order")</f>
        <v>All items in working order</v>
      </c>
      <c r="AE543" s="11"/>
      <c r="AF543" t="s">
        <v>269</v>
      </c>
      <c r="AG543" s="17" t="s">
        <v>511</v>
      </c>
      <c r="AH543" s="12">
        <v>1542.0</v>
      </c>
      <c r="AI543" s="12" t="s">
        <v>1586</v>
      </c>
      <c r="AJ543" s="19" t="s">
        <v>1587</v>
      </c>
      <c r="AK543" s="20" t="str">
        <f>HYPERLINK("https://docs.google.com/document/d/15R6KDcAgMg4g32JX0yb0OtN7Ba7cEz3LJa5uRR2T0aA/edit?usp=drivesdk","Gabriela Canas -  1:00 PM")</f>
        <v>Gabriela Canas -  1:00 PM</v>
      </c>
      <c r="AL543" s="12" t="s">
        <v>1588</v>
      </c>
    </row>
    <row r="544">
      <c r="A544" s="10"/>
      <c r="B544" s="11"/>
      <c r="F544" s="13"/>
      <c r="G544" s="14"/>
      <c r="I544" s="15"/>
      <c r="J544" s="16"/>
      <c r="AE544" s="11"/>
      <c r="AF544" t="b">
        <v>0</v>
      </c>
      <c r="AG544" s="18"/>
    </row>
    <row r="545">
      <c r="A545" s="10"/>
      <c r="B545" s="11"/>
      <c r="F545" s="13"/>
      <c r="G545" s="14"/>
      <c r="I545" s="15"/>
      <c r="J545" s="16"/>
      <c r="AE545" s="11"/>
      <c r="AF545" t="b">
        <v>0</v>
      </c>
      <c r="AG545" s="18"/>
    </row>
    <row r="546">
      <c r="A546" s="10"/>
      <c r="B546" s="11"/>
      <c r="F546" s="13"/>
      <c r="G546" s="14"/>
      <c r="I546" s="15"/>
      <c r="J546" s="16"/>
      <c r="AE546" s="11"/>
      <c r="AF546" t="b">
        <v>0</v>
      </c>
      <c r="AG546" s="18"/>
    </row>
    <row r="547">
      <c r="A547" s="10"/>
      <c r="B547" s="11"/>
      <c r="F547" s="13"/>
      <c r="G547" s="14"/>
      <c r="I547" s="15"/>
      <c r="J547" s="16"/>
      <c r="AE547" s="11"/>
      <c r="AF547" t="b">
        <v>0</v>
      </c>
      <c r="AG547" s="18"/>
    </row>
    <row r="548">
      <c r="A548" s="10"/>
      <c r="B548" s="11"/>
      <c r="F548" s="13"/>
      <c r="G548" s="14"/>
      <c r="I548" s="15"/>
      <c r="J548" s="16"/>
      <c r="AE548" s="11"/>
      <c r="AF548" t="b">
        <v>0</v>
      </c>
      <c r="AG548" s="18"/>
    </row>
    <row r="549">
      <c r="A549" s="10"/>
      <c r="B549" s="11"/>
      <c r="F549" s="13"/>
      <c r="G549" s="14"/>
      <c r="I549" s="15"/>
      <c r="J549" s="16"/>
      <c r="AE549" s="11"/>
      <c r="AF549" t="b">
        <v>0</v>
      </c>
      <c r="AG549" s="18"/>
    </row>
    <row r="550">
      <c r="A550" s="10"/>
      <c r="B550" s="11"/>
      <c r="F550" s="13"/>
      <c r="G550" s="14"/>
      <c r="I550" s="15"/>
      <c r="J550" s="16"/>
      <c r="AE550" s="11"/>
      <c r="AF550" t="b">
        <v>0</v>
      </c>
      <c r="AG550" s="18"/>
    </row>
    <row r="551">
      <c r="A551" s="10"/>
      <c r="B551" s="11"/>
      <c r="F551" s="13"/>
      <c r="G551" s="14"/>
      <c r="I551" s="15"/>
      <c r="J551" s="16"/>
      <c r="AE551" s="11"/>
      <c r="AF551" t="b">
        <v>0</v>
      </c>
      <c r="AG551" s="18"/>
    </row>
    <row r="552">
      <c r="A552" s="10"/>
      <c r="B552" s="11"/>
      <c r="F552" s="13"/>
      <c r="G552" s="14"/>
      <c r="I552" s="15"/>
      <c r="J552" s="16"/>
      <c r="AE552" s="11"/>
      <c r="AF552" t="b">
        <v>0</v>
      </c>
      <c r="AG552" s="18"/>
    </row>
    <row r="553">
      <c r="A553" s="10"/>
      <c r="B553" s="11"/>
      <c r="F553" s="13"/>
      <c r="G553" s="14"/>
      <c r="I553" s="15"/>
      <c r="J553" s="16"/>
      <c r="AE553" s="11"/>
      <c r="AF553" t="b">
        <v>0</v>
      </c>
      <c r="AG553" s="18"/>
    </row>
    <row r="554">
      <c r="A554" s="10"/>
      <c r="B554" s="11"/>
      <c r="F554" s="13"/>
      <c r="G554" s="14"/>
      <c r="I554" s="15"/>
      <c r="J554" s="16"/>
      <c r="AE554" s="11"/>
      <c r="AF554" t="b">
        <v>0</v>
      </c>
      <c r="AG554" s="18"/>
    </row>
    <row r="555">
      <c r="A555" s="10"/>
      <c r="B555" s="11"/>
      <c r="F555" s="13"/>
      <c r="G555" s="14"/>
      <c r="I555" s="15"/>
      <c r="J555" s="16"/>
      <c r="AE555" s="11"/>
      <c r="AF555" t="b">
        <v>0</v>
      </c>
      <c r="AG555" s="18"/>
    </row>
    <row r="556">
      <c r="A556" s="10"/>
      <c r="B556" s="11"/>
      <c r="F556" s="13"/>
      <c r="G556" s="14"/>
      <c r="I556" s="15"/>
      <c r="J556" s="16"/>
      <c r="AE556" s="11"/>
      <c r="AF556" t="b">
        <v>0</v>
      </c>
      <c r="AG556" s="18"/>
    </row>
    <row r="557">
      <c r="A557" s="10"/>
      <c r="B557" s="11"/>
      <c r="F557" s="13"/>
      <c r="G557" s="14"/>
      <c r="I557" s="15"/>
      <c r="J557" s="16"/>
      <c r="AE557" s="11"/>
      <c r="AF557" t="b">
        <v>0</v>
      </c>
      <c r="AG557" s="18"/>
    </row>
    <row r="558">
      <c r="A558" s="10"/>
      <c r="B558" s="11"/>
      <c r="F558" s="13"/>
      <c r="G558" s="14"/>
      <c r="I558" s="15"/>
      <c r="J558" s="16"/>
      <c r="AE558" s="11"/>
      <c r="AF558" t="b">
        <v>0</v>
      </c>
      <c r="AG558" s="18"/>
    </row>
    <row r="559">
      <c r="A559" s="10"/>
      <c r="B559" s="11"/>
      <c r="F559" s="13"/>
      <c r="G559" s="14"/>
      <c r="I559" s="15"/>
      <c r="J559" s="16"/>
      <c r="AE559" s="11"/>
      <c r="AF559" t="b">
        <v>0</v>
      </c>
      <c r="AG559" s="18"/>
    </row>
    <row r="560">
      <c r="A560" s="10"/>
      <c r="B560" s="11"/>
      <c r="F560" s="13"/>
      <c r="G560" s="14"/>
      <c r="I560" s="15"/>
      <c r="J560" s="16"/>
      <c r="AE560" s="11"/>
      <c r="AF560" t="b">
        <v>0</v>
      </c>
      <c r="AG560" s="18"/>
    </row>
    <row r="561">
      <c r="A561" s="10"/>
      <c r="B561" s="11"/>
      <c r="F561" s="13"/>
      <c r="G561" s="14"/>
      <c r="I561" s="15"/>
      <c r="J561" s="16"/>
      <c r="AE561" s="11"/>
      <c r="AF561" t="b">
        <v>0</v>
      </c>
      <c r="AG561" s="18"/>
    </row>
    <row r="562">
      <c r="A562" s="10"/>
      <c r="B562" s="11"/>
      <c r="F562" s="13"/>
      <c r="G562" s="14"/>
      <c r="I562" s="15"/>
      <c r="J562" s="16"/>
      <c r="AE562" s="11"/>
      <c r="AF562" t="b">
        <v>0</v>
      </c>
      <c r="AG562" s="18"/>
    </row>
    <row r="563">
      <c r="A563" s="10"/>
      <c r="B563" s="11"/>
      <c r="F563" s="13"/>
      <c r="G563" s="14"/>
      <c r="I563" s="15"/>
      <c r="J563" s="16"/>
      <c r="AE563" s="11"/>
      <c r="AF563" t="b">
        <v>0</v>
      </c>
      <c r="AG563" s="18"/>
    </row>
    <row r="564">
      <c r="A564" s="10"/>
      <c r="B564" s="11"/>
      <c r="F564" s="13"/>
      <c r="G564" s="14"/>
      <c r="I564" s="15"/>
      <c r="J564" s="16"/>
      <c r="AE564" s="11"/>
      <c r="AF564" t="b">
        <v>0</v>
      </c>
      <c r="AG564" s="18"/>
    </row>
    <row r="565">
      <c r="A565" s="10"/>
      <c r="B565" s="11"/>
      <c r="F565" s="13"/>
      <c r="G565" s="14"/>
      <c r="I565" s="15"/>
      <c r="J565" s="16"/>
      <c r="AE565" s="11"/>
      <c r="AF565" t="b">
        <v>0</v>
      </c>
      <c r="AG565" s="18"/>
    </row>
    <row r="566">
      <c r="A566" s="10"/>
      <c r="B566" s="11"/>
      <c r="F566" s="13"/>
      <c r="G566" s="14"/>
      <c r="I566" s="15"/>
      <c r="J566" s="16"/>
      <c r="AE566" s="11"/>
      <c r="AF566" t="b">
        <v>0</v>
      </c>
      <c r="AG566" s="18"/>
    </row>
    <row r="567">
      <c r="A567" s="10"/>
      <c r="B567" s="11"/>
      <c r="F567" s="13"/>
      <c r="G567" s="14"/>
      <c r="I567" s="15"/>
      <c r="J567" s="16"/>
      <c r="AE567" s="11"/>
      <c r="AF567" t="b">
        <v>0</v>
      </c>
      <c r="AG567" s="18"/>
    </row>
    <row r="568">
      <c r="A568" s="10"/>
      <c r="B568" s="11"/>
      <c r="F568" s="13"/>
      <c r="G568" s="14"/>
      <c r="I568" s="15"/>
      <c r="J568" s="16"/>
      <c r="AE568" s="11"/>
      <c r="AF568" t="b">
        <v>0</v>
      </c>
      <c r="AG568" s="18"/>
    </row>
    <row r="569">
      <c r="A569" s="10"/>
      <c r="B569" s="11"/>
      <c r="F569" s="13"/>
      <c r="G569" s="14"/>
      <c r="I569" s="15"/>
      <c r="J569" s="16"/>
      <c r="AE569" s="11"/>
      <c r="AF569" t="b">
        <v>0</v>
      </c>
      <c r="AG569" s="18"/>
    </row>
    <row r="570">
      <c r="A570" s="10"/>
      <c r="B570" s="11"/>
      <c r="F570" s="13"/>
      <c r="G570" s="14"/>
      <c r="I570" s="15"/>
      <c r="J570" s="16"/>
      <c r="AE570" s="11"/>
      <c r="AF570" t="b">
        <v>0</v>
      </c>
      <c r="AG570" s="18"/>
    </row>
    <row r="571">
      <c r="A571" s="10"/>
      <c r="B571" s="11"/>
      <c r="F571" s="13"/>
      <c r="G571" s="14"/>
      <c r="I571" s="15"/>
      <c r="J571" s="16"/>
      <c r="AE571" s="11"/>
      <c r="AF571" t="b">
        <v>0</v>
      </c>
      <c r="AG571" s="18"/>
    </row>
    <row r="572">
      <c r="A572" s="10"/>
      <c r="B572" s="11"/>
      <c r="F572" s="13"/>
      <c r="G572" s="14"/>
      <c r="I572" s="15"/>
      <c r="J572" s="16"/>
      <c r="AE572" s="11"/>
      <c r="AF572" t="b">
        <v>0</v>
      </c>
      <c r="AG572" s="18"/>
    </row>
    <row r="573">
      <c r="A573" s="10"/>
      <c r="B573" s="11"/>
      <c r="F573" s="13"/>
      <c r="G573" s="14"/>
      <c r="I573" s="15"/>
      <c r="J573" s="16"/>
      <c r="AE573" s="11"/>
      <c r="AF573" t="b">
        <v>0</v>
      </c>
      <c r="AG573" s="18"/>
    </row>
    <row r="574">
      <c r="A574" s="10"/>
      <c r="B574" s="11"/>
      <c r="F574" s="13"/>
      <c r="G574" s="14"/>
      <c r="I574" s="15"/>
      <c r="J574" s="16"/>
      <c r="AE574" s="11"/>
      <c r="AF574" t="b">
        <v>0</v>
      </c>
      <c r="AG574" s="18"/>
    </row>
    <row r="575">
      <c r="A575" s="10"/>
      <c r="B575" s="11"/>
      <c r="F575" s="13"/>
      <c r="G575" s="14"/>
      <c r="I575" s="15"/>
      <c r="J575" s="16"/>
      <c r="AE575" s="11"/>
      <c r="AF575" t="b">
        <v>0</v>
      </c>
      <c r="AG575" s="18"/>
    </row>
    <row r="576">
      <c r="A576" s="10"/>
      <c r="B576" s="11"/>
      <c r="F576" s="13"/>
      <c r="G576" s="14"/>
      <c r="I576" s="15"/>
      <c r="J576" s="16"/>
      <c r="AE576" s="11"/>
      <c r="AF576" t="b">
        <v>0</v>
      </c>
      <c r="AG576" s="18"/>
    </row>
    <row r="577">
      <c r="A577" s="10"/>
      <c r="B577" s="11"/>
      <c r="F577" s="13"/>
      <c r="G577" s="14"/>
      <c r="I577" s="15"/>
      <c r="J577" s="16"/>
      <c r="AE577" s="11"/>
      <c r="AF577" t="b">
        <v>0</v>
      </c>
      <c r="AG577" s="18"/>
    </row>
    <row r="578">
      <c r="A578" s="10"/>
      <c r="B578" s="11"/>
      <c r="F578" s="13"/>
      <c r="G578" s="14"/>
      <c r="I578" s="15"/>
      <c r="J578" s="16"/>
      <c r="AE578" s="11"/>
      <c r="AF578" t="b">
        <v>0</v>
      </c>
      <c r="AG578" s="18"/>
    </row>
    <row r="579">
      <c r="A579" s="10"/>
      <c r="B579" s="11"/>
      <c r="F579" s="13"/>
      <c r="G579" s="14"/>
      <c r="I579" s="15"/>
      <c r="J579" s="16"/>
      <c r="AE579" s="11"/>
      <c r="AF579" t="b">
        <v>0</v>
      </c>
      <c r="AG579" s="18"/>
    </row>
    <row r="580">
      <c r="A580" s="10"/>
      <c r="B580" s="11"/>
      <c r="F580" s="13"/>
      <c r="G580" s="14"/>
      <c r="I580" s="15"/>
      <c r="J580" s="16"/>
      <c r="AE580" s="11"/>
      <c r="AF580" t="b">
        <v>0</v>
      </c>
      <c r="AG580" s="18"/>
    </row>
    <row r="581">
      <c r="A581" s="10"/>
      <c r="B581" s="11"/>
      <c r="F581" s="13"/>
      <c r="G581" s="14"/>
      <c r="I581" s="15"/>
      <c r="J581" s="16"/>
      <c r="AE581" s="11"/>
      <c r="AF581" t="b">
        <v>0</v>
      </c>
      <c r="AG581" s="18"/>
    </row>
    <row r="582">
      <c r="A582" s="10"/>
      <c r="B582" s="11"/>
      <c r="F582" s="13"/>
      <c r="G582" s="14"/>
      <c r="I582" s="15"/>
      <c r="J582" s="16"/>
      <c r="AE582" s="11"/>
      <c r="AF582" t="b">
        <v>0</v>
      </c>
      <c r="AG582" s="18"/>
    </row>
    <row r="583">
      <c r="A583" s="10"/>
      <c r="B583" s="11"/>
      <c r="F583" s="13"/>
      <c r="G583" s="14"/>
      <c r="I583" s="15"/>
      <c r="J583" s="16"/>
      <c r="AE583" s="11"/>
      <c r="AF583" t="b">
        <v>0</v>
      </c>
      <c r="AG583" s="18"/>
    </row>
    <row r="584">
      <c r="A584" s="10"/>
      <c r="B584" s="11"/>
      <c r="F584" s="13"/>
      <c r="G584" s="14"/>
      <c r="I584" s="15"/>
      <c r="J584" s="16"/>
      <c r="AE584" s="11"/>
      <c r="AF584" t="b">
        <v>0</v>
      </c>
      <c r="AG584" s="18"/>
    </row>
    <row r="585">
      <c r="A585" s="10"/>
      <c r="B585" s="11"/>
      <c r="F585" s="13"/>
      <c r="G585" s="14"/>
      <c r="I585" s="15"/>
      <c r="J585" s="16"/>
      <c r="AE585" s="11"/>
      <c r="AF585" t="b">
        <v>0</v>
      </c>
      <c r="AG585" s="18"/>
    </row>
    <row r="586">
      <c r="A586" s="10"/>
      <c r="B586" s="11"/>
      <c r="F586" s="13"/>
      <c r="G586" s="14"/>
      <c r="I586" s="15"/>
      <c r="J586" s="16"/>
      <c r="AE586" s="11"/>
      <c r="AF586" t="b">
        <v>0</v>
      </c>
      <c r="AG586" s="18"/>
    </row>
    <row r="587">
      <c r="A587" s="10"/>
      <c r="B587" s="11"/>
      <c r="F587" s="13"/>
      <c r="G587" s="14"/>
      <c r="I587" s="15"/>
      <c r="J587" s="16"/>
      <c r="AE587" s="11"/>
      <c r="AF587" t="b">
        <v>0</v>
      </c>
      <c r="AG587" s="18"/>
    </row>
    <row r="588">
      <c r="A588" s="10"/>
      <c r="B588" s="11"/>
      <c r="F588" s="13"/>
      <c r="G588" s="14"/>
      <c r="I588" s="15"/>
      <c r="J588" s="16"/>
      <c r="AE588" s="11"/>
      <c r="AF588" t="b">
        <v>0</v>
      </c>
      <c r="AG588" s="18"/>
    </row>
    <row r="589">
      <c r="A589" s="10"/>
      <c r="B589" s="11"/>
      <c r="F589" s="13"/>
      <c r="G589" s="14"/>
      <c r="I589" s="15"/>
      <c r="J589" s="16"/>
      <c r="AE589" s="11"/>
      <c r="AF589" t="b">
        <v>0</v>
      </c>
      <c r="AG589" s="18"/>
    </row>
    <row r="590">
      <c r="A590" s="10"/>
      <c r="B590" s="11"/>
      <c r="F590" s="13"/>
      <c r="G590" s="14"/>
      <c r="I590" s="15"/>
      <c r="J590" s="16"/>
      <c r="AE590" s="11"/>
      <c r="AF590" t="b">
        <v>0</v>
      </c>
      <c r="AG590" s="18"/>
    </row>
    <row r="591">
      <c r="A591" s="10"/>
      <c r="B591" s="11"/>
      <c r="F591" s="13"/>
      <c r="G591" s="14"/>
      <c r="I591" s="15"/>
      <c r="J591" s="16"/>
      <c r="AE591" s="11"/>
      <c r="AF591" t="b">
        <v>0</v>
      </c>
      <c r="AG591" s="18"/>
    </row>
    <row r="592">
      <c r="A592" s="10"/>
      <c r="B592" s="11"/>
      <c r="F592" s="13"/>
      <c r="G592" s="14"/>
      <c r="I592" s="15"/>
      <c r="J592" s="16"/>
      <c r="AE592" s="11"/>
      <c r="AF592" t="b">
        <v>0</v>
      </c>
      <c r="AG592" s="18"/>
    </row>
    <row r="593">
      <c r="A593" s="10"/>
      <c r="B593" s="11"/>
      <c r="F593" s="13"/>
      <c r="G593" s="14"/>
      <c r="I593" s="15"/>
      <c r="J593" s="16"/>
      <c r="AE593" s="11"/>
      <c r="AF593" t="b">
        <v>0</v>
      </c>
      <c r="AG593" s="18"/>
    </row>
    <row r="594">
      <c r="A594" s="10"/>
      <c r="B594" s="11"/>
      <c r="F594" s="13"/>
      <c r="G594" s="14"/>
      <c r="I594" s="15"/>
      <c r="J594" s="16"/>
      <c r="AE594" s="11"/>
      <c r="AF594" t="b">
        <v>0</v>
      </c>
      <c r="AG594" s="18"/>
    </row>
    <row r="595">
      <c r="A595" s="10"/>
      <c r="B595" s="11"/>
      <c r="F595" s="13"/>
      <c r="G595" s="14"/>
      <c r="I595" s="15"/>
      <c r="J595" s="16"/>
      <c r="AE595" s="11"/>
      <c r="AF595" t="b">
        <v>0</v>
      </c>
      <c r="AG595" s="18"/>
    </row>
    <row r="596">
      <c r="A596" s="10"/>
      <c r="B596" s="11"/>
      <c r="F596" s="13"/>
      <c r="G596" s="14"/>
      <c r="I596" s="15"/>
      <c r="J596" s="16"/>
      <c r="AE596" s="11"/>
      <c r="AF596" t="b">
        <v>0</v>
      </c>
      <c r="AG596" s="18"/>
    </row>
    <row r="597">
      <c r="A597" s="10"/>
      <c r="B597" s="11"/>
      <c r="F597" s="13"/>
      <c r="G597" s="14"/>
      <c r="I597" s="15"/>
      <c r="J597" s="16"/>
      <c r="AE597" s="11"/>
      <c r="AF597" t="b">
        <v>0</v>
      </c>
      <c r="AG597" s="18"/>
    </row>
    <row r="598">
      <c r="A598" s="10"/>
      <c r="B598" s="11"/>
      <c r="F598" s="13"/>
      <c r="G598" s="14"/>
      <c r="I598" s="15"/>
      <c r="J598" s="16"/>
      <c r="AE598" s="11"/>
      <c r="AF598" t="b">
        <v>0</v>
      </c>
      <c r="AG598" s="18"/>
    </row>
    <row r="599">
      <c r="A599" s="10"/>
      <c r="B599" s="11"/>
      <c r="F599" s="13"/>
      <c r="G599" s="14"/>
      <c r="I599" s="15"/>
      <c r="J599" s="16"/>
      <c r="AE599" s="11"/>
      <c r="AF599" t="b">
        <v>0</v>
      </c>
      <c r="AG599" s="18"/>
    </row>
    <row r="600">
      <c r="A600" s="10"/>
      <c r="B600" s="11"/>
      <c r="F600" s="13"/>
      <c r="G600" s="14"/>
      <c r="I600" s="15"/>
      <c r="J600" s="16"/>
      <c r="AE600" s="11"/>
      <c r="AF600" t="b">
        <v>0</v>
      </c>
      <c r="AG600" s="18"/>
    </row>
    <row r="601">
      <c r="A601" s="10"/>
      <c r="B601" s="11"/>
      <c r="F601" s="13"/>
      <c r="G601" s="14"/>
      <c r="I601" s="15"/>
      <c r="J601" s="16"/>
      <c r="AE601" s="11"/>
      <c r="AF601" t="b">
        <v>0</v>
      </c>
      <c r="AG601" s="18"/>
    </row>
    <row r="602">
      <c r="A602" s="10"/>
      <c r="B602" s="11"/>
      <c r="F602" s="13"/>
      <c r="G602" s="14"/>
      <c r="I602" s="15"/>
      <c r="J602" s="16"/>
      <c r="AE602" s="11"/>
      <c r="AF602" t="b">
        <v>0</v>
      </c>
      <c r="AG602" s="18"/>
    </row>
    <row r="603">
      <c r="A603" s="10"/>
      <c r="B603" s="11"/>
      <c r="F603" s="13"/>
      <c r="G603" s="14"/>
      <c r="I603" s="15"/>
      <c r="J603" s="16"/>
      <c r="AE603" s="11"/>
      <c r="AF603" t="b">
        <v>0</v>
      </c>
      <c r="AG603" s="18"/>
    </row>
    <row r="604">
      <c r="A604" s="10"/>
      <c r="B604" s="11"/>
      <c r="F604" s="13"/>
      <c r="G604" s="14"/>
      <c r="I604" s="15"/>
      <c r="J604" s="16"/>
      <c r="AE604" s="11"/>
      <c r="AF604" t="b">
        <v>0</v>
      </c>
      <c r="AG604" s="18"/>
    </row>
    <row r="605">
      <c r="A605" s="10"/>
      <c r="B605" s="11"/>
      <c r="F605" s="13"/>
      <c r="G605" s="14"/>
      <c r="I605" s="15"/>
      <c r="J605" s="16"/>
      <c r="AE605" s="11"/>
      <c r="AF605" t="b">
        <v>0</v>
      </c>
      <c r="AG605" s="18"/>
    </row>
    <row r="606">
      <c r="A606" s="10"/>
      <c r="B606" s="11"/>
      <c r="F606" s="13"/>
      <c r="G606" s="14"/>
      <c r="I606" s="15"/>
      <c r="J606" s="16"/>
      <c r="AE606" s="11"/>
      <c r="AF606" t="b">
        <v>0</v>
      </c>
      <c r="AG606" s="18"/>
    </row>
    <row r="607">
      <c r="A607" s="10"/>
      <c r="B607" s="11"/>
      <c r="F607" s="13"/>
      <c r="G607" s="14"/>
      <c r="I607" s="15"/>
      <c r="J607" s="16"/>
      <c r="AE607" s="11"/>
      <c r="AF607" t="b">
        <v>0</v>
      </c>
      <c r="AG607" s="18"/>
    </row>
    <row r="608">
      <c r="A608" s="10"/>
      <c r="B608" s="11"/>
      <c r="F608" s="13"/>
      <c r="G608" s="14"/>
      <c r="I608" s="15"/>
      <c r="J608" s="16"/>
      <c r="AE608" s="11"/>
      <c r="AF608" t="b">
        <v>0</v>
      </c>
      <c r="AG608" s="18"/>
    </row>
    <row r="609">
      <c r="A609" s="10"/>
      <c r="B609" s="11"/>
      <c r="F609" s="13"/>
      <c r="G609" s="14"/>
      <c r="I609" s="15"/>
      <c r="J609" s="16"/>
      <c r="AE609" s="11"/>
      <c r="AF609" t="b">
        <v>0</v>
      </c>
      <c r="AG609" s="18"/>
    </row>
    <row r="610">
      <c r="A610" s="10"/>
      <c r="B610" s="11"/>
      <c r="F610" s="13"/>
      <c r="G610" s="14"/>
      <c r="I610" s="15"/>
      <c r="J610" s="16"/>
      <c r="AE610" s="11"/>
      <c r="AF610" t="b">
        <v>0</v>
      </c>
      <c r="AG610" s="18"/>
    </row>
    <row r="611">
      <c r="A611" s="10"/>
      <c r="B611" s="11"/>
      <c r="F611" s="13"/>
      <c r="G611" s="14"/>
      <c r="I611" s="15"/>
      <c r="J611" s="16"/>
      <c r="AE611" s="11"/>
      <c r="AF611" t="b">
        <v>0</v>
      </c>
      <c r="AG611" s="18"/>
    </row>
    <row r="612">
      <c r="A612" s="10"/>
      <c r="B612" s="11"/>
      <c r="F612" s="13"/>
      <c r="G612" s="14"/>
      <c r="I612" s="15"/>
      <c r="J612" s="16"/>
      <c r="AE612" s="11"/>
      <c r="AF612" t="b">
        <v>0</v>
      </c>
      <c r="AG612" s="18"/>
    </row>
    <row r="613">
      <c r="A613" s="10"/>
      <c r="B613" s="11"/>
      <c r="F613" s="13"/>
      <c r="G613" s="14"/>
      <c r="I613" s="15"/>
      <c r="J613" s="16"/>
      <c r="AE613" s="11"/>
      <c r="AF613" t="b">
        <v>0</v>
      </c>
      <c r="AG613" s="18"/>
    </row>
    <row r="614">
      <c r="A614" s="10"/>
      <c r="B614" s="11"/>
      <c r="F614" s="13"/>
      <c r="G614" s="14"/>
      <c r="I614" s="15"/>
      <c r="J614" s="16"/>
      <c r="AE614" s="11"/>
      <c r="AF614" t="b">
        <v>0</v>
      </c>
      <c r="AG614" s="18"/>
    </row>
    <row r="615">
      <c r="A615" s="10"/>
      <c r="B615" s="11"/>
      <c r="F615" s="13"/>
      <c r="G615" s="14"/>
      <c r="I615" s="15"/>
      <c r="J615" s="16"/>
      <c r="AE615" s="11"/>
      <c r="AF615" t="b">
        <v>0</v>
      </c>
      <c r="AG615" s="18"/>
    </row>
    <row r="616">
      <c r="A616" s="10"/>
      <c r="B616" s="11"/>
      <c r="F616" s="13"/>
      <c r="G616" s="14"/>
      <c r="I616" s="15"/>
      <c r="J616" s="16"/>
      <c r="AE616" s="11"/>
      <c r="AF616" t="b">
        <v>0</v>
      </c>
      <c r="AG616" s="18"/>
    </row>
    <row r="617">
      <c r="A617" s="10"/>
      <c r="B617" s="11"/>
      <c r="F617" s="13"/>
      <c r="G617" s="14"/>
      <c r="I617" s="15"/>
      <c r="J617" s="16"/>
      <c r="AE617" s="11"/>
      <c r="AF617" t="b">
        <v>0</v>
      </c>
      <c r="AG617" s="18"/>
    </row>
    <row r="618">
      <c r="A618" s="10"/>
      <c r="B618" s="11"/>
      <c r="F618" s="13"/>
      <c r="G618" s="14"/>
      <c r="I618" s="15"/>
      <c r="J618" s="16"/>
      <c r="AE618" s="11"/>
      <c r="AF618" t="b">
        <v>0</v>
      </c>
      <c r="AG618" s="18"/>
    </row>
    <row r="619">
      <c r="A619" s="10"/>
      <c r="B619" s="11"/>
      <c r="F619" s="13"/>
      <c r="G619" s="14"/>
      <c r="I619" s="15"/>
      <c r="J619" s="16"/>
      <c r="AE619" s="11"/>
      <c r="AF619" t="b">
        <v>0</v>
      </c>
      <c r="AG619" s="18"/>
    </row>
    <row r="620">
      <c r="A620" s="10"/>
      <c r="B620" s="11"/>
      <c r="F620" s="13"/>
      <c r="G620" s="14"/>
      <c r="I620" s="15"/>
      <c r="J620" s="16"/>
      <c r="AE620" s="11"/>
      <c r="AF620" t="b">
        <v>0</v>
      </c>
      <c r="AG620" s="18"/>
    </row>
    <row r="621">
      <c r="A621" s="10"/>
      <c r="B621" s="11"/>
      <c r="F621" s="13"/>
      <c r="G621" s="14"/>
      <c r="I621" s="15"/>
      <c r="J621" s="16"/>
      <c r="AE621" s="11"/>
      <c r="AF621" t="b">
        <v>0</v>
      </c>
      <c r="AG621" s="18"/>
    </row>
    <row r="622">
      <c r="A622" s="10"/>
      <c r="B622" s="11"/>
      <c r="F622" s="13"/>
      <c r="G622" s="14"/>
      <c r="I622" s="15"/>
      <c r="J622" s="16"/>
      <c r="AE622" s="11"/>
      <c r="AF622" t="b">
        <v>0</v>
      </c>
      <c r="AG622" s="18"/>
    </row>
    <row r="623">
      <c r="A623" s="10"/>
      <c r="B623" s="11"/>
      <c r="F623" s="13"/>
      <c r="G623" s="14"/>
      <c r="I623" s="15"/>
      <c r="J623" s="16"/>
      <c r="AE623" s="11"/>
      <c r="AF623" t="b">
        <v>0</v>
      </c>
      <c r="AG623" s="18"/>
    </row>
    <row r="624">
      <c r="A624" s="10"/>
      <c r="B624" s="11"/>
      <c r="F624" s="13"/>
      <c r="G624" s="14"/>
      <c r="I624" s="15"/>
      <c r="J624" s="16"/>
      <c r="AE624" s="11"/>
      <c r="AF624" t="b">
        <v>0</v>
      </c>
      <c r="AG624" s="18"/>
    </row>
    <row r="625">
      <c r="A625" s="10"/>
      <c r="B625" s="11"/>
      <c r="F625" s="13"/>
      <c r="G625" s="14"/>
      <c r="I625" s="15"/>
      <c r="J625" s="16"/>
      <c r="AE625" s="11"/>
      <c r="AF625" t="b">
        <v>0</v>
      </c>
      <c r="AG625" s="18"/>
    </row>
    <row r="626">
      <c r="A626" s="10"/>
      <c r="B626" s="11"/>
      <c r="F626" s="13"/>
      <c r="G626" s="14"/>
      <c r="I626" s="15"/>
      <c r="J626" s="16"/>
      <c r="AE626" s="11"/>
      <c r="AF626" t="b">
        <v>0</v>
      </c>
      <c r="AG626" s="18"/>
    </row>
    <row r="627">
      <c r="A627" s="10"/>
      <c r="B627" s="11"/>
      <c r="F627" s="13"/>
      <c r="G627" s="14"/>
      <c r="I627" s="15"/>
      <c r="J627" s="16"/>
      <c r="AE627" s="11"/>
      <c r="AF627" t="b">
        <v>0</v>
      </c>
      <c r="AG627" s="18"/>
    </row>
    <row r="628">
      <c r="A628" s="10"/>
      <c r="B628" s="11"/>
      <c r="F628" s="13"/>
      <c r="G628" s="14"/>
      <c r="I628" s="15"/>
      <c r="J628" s="16"/>
      <c r="AE628" s="11"/>
      <c r="AF628" t="b">
        <v>0</v>
      </c>
      <c r="AG628" s="18"/>
    </row>
    <row r="629">
      <c r="A629" s="10"/>
      <c r="B629" s="11"/>
      <c r="F629" s="13"/>
      <c r="G629" s="14"/>
      <c r="I629" s="15"/>
      <c r="J629" s="16"/>
      <c r="AE629" s="11"/>
      <c r="AF629" t="b">
        <v>0</v>
      </c>
      <c r="AG629" s="18"/>
    </row>
    <row r="630">
      <c r="A630" s="10"/>
      <c r="B630" s="11"/>
      <c r="F630" s="13"/>
      <c r="G630" s="14"/>
      <c r="I630" s="15"/>
      <c r="J630" s="16"/>
      <c r="AE630" s="11"/>
      <c r="AF630" t="b">
        <v>0</v>
      </c>
      <c r="AG630" s="18"/>
    </row>
    <row r="631">
      <c r="A631" s="10"/>
      <c r="B631" s="11"/>
      <c r="F631" s="13"/>
      <c r="G631" s="14"/>
      <c r="I631" s="15"/>
      <c r="J631" s="16"/>
      <c r="AE631" s="11"/>
      <c r="AF631" t="b">
        <v>0</v>
      </c>
      <c r="AG631" s="18"/>
    </row>
    <row r="632">
      <c r="A632" s="10"/>
      <c r="B632" s="11"/>
      <c r="F632" s="13"/>
      <c r="G632" s="14"/>
      <c r="I632" s="15"/>
      <c r="J632" s="16"/>
      <c r="AE632" s="11"/>
      <c r="AF632" t="b">
        <v>0</v>
      </c>
      <c r="AG632" s="18"/>
    </row>
    <row r="633">
      <c r="A633" s="10"/>
      <c r="B633" s="11"/>
      <c r="F633" s="13"/>
      <c r="G633" s="14"/>
      <c r="I633" s="15"/>
      <c r="J633" s="16"/>
      <c r="AE633" s="11"/>
      <c r="AF633" t="b">
        <v>0</v>
      </c>
      <c r="AG633" s="18"/>
    </row>
    <row r="634">
      <c r="A634" s="10"/>
      <c r="B634" s="11"/>
      <c r="F634" s="13"/>
      <c r="G634" s="14"/>
      <c r="I634" s="15"/>
      <c r="J634" s="16"/>
      <c r="AE634" s="11"/>
      <c r="AF634" t="b">
        <v>0</v>
      </c>
      <c r="AG634" s="18"/>
    </row>
    <row r="635">
      <c r="A635" s="10"/>
      <c r="B635" s="11"/>
      <c r="F635" s="13"/>
      <c r="G635" s="14"/>
      <c r="I635" s="15"/>
      <c r="J635" s="16"/>
      <c r="AE635" s="11"/>
      <c r="AF635" t="b">
        <v>0</v>
      </c>
      <c r="AG635" s="18"/>
    </row>
    <row r="636">
      <c r="A636" s="10"/>
      <c r="B636" s="11"/>
      <c r="F636" s="13"/>
      <c r="G636" s="14"/>
      <c r="I636" s="15"/>
      <c r="J636" s="16"/>
      <c r="AE636" s="11"/>
      <c r="AF636" t="b">
        <v>0</v>
      </c>
      <c r="AG636" s="18"/>
    </row>
    <row r="637">
      <c r="A637" s="10"/>
      <c r="B637" s="11"/>
      <c r="F637" s="13"/>
      <c r="G637" s="14"/>
      <c r="I637" s="15"/>
      <c r="J637" s="16"/>
      <c r="AE637" s="11"/>
      <c r="AF637" t="b">
        <v>0</v>
      </c>
      <c r="AG637" s="18"/>
    </row>
    <row r="638">
      <c r="A638" s="10"/>
      <c r="B638" s="11"/>
      <c r="F638" s="13"/>
      <c r="G638" s="14"/>
      <c r="I638" s="15"/>
      <c r="J638" s="16"/>
      <c r="AE638" s="11"/>
      <c r="AF638" t="b">
        <v>0</v>
      </c>
      <c r="AG638" s="18"/>
    </row>
    <row r="639">
      <c r="A639" s="10"/>
      <c r="B639" s="11"/>
      <c r="F639" s="13"/>
      <c r="G639" s="14"/>
      <c r="I639" s="15"/>
      <c r="J639" s="16"/>
      <c r="AE639" s="11"/>
      <c r="AF639" t="b">
        <v>0</v>
      </c>
      <c r="AG639" s="18"/>
    </row>
    <row r="640">
      <c r="A640" s="10"/>
      <c r="B640" s="11"/>
      <c r="F640" s="13"/>
      <c r="G640" s="14"/>
      <c r="I640" s="15"/>
      <c r="J640" s="16"/>
      <c r="AE640" s="11"/>
      <c r="AF640" t="b">
        <v>0</v>
      </c>
      <c r="AG640" s="18"/>
    </row>
    <row r="641">
      <c r="A641" s="10"/>
      <c r="B641" s="11"/>
      <c r="F641" s="13"/>
      <c r="G641" s="14"/>
      <c r="I641" s="15"/>
      <c r="J641" s="16"/>
      <c r="AE641" s="11"/>
      <c r="AF641" t="b">
        <v>0</v>
      </c>
      <c r="AG641" s="18"/>
    </row>
    <row r="642">
      <c r="A642" s="10"/>
      <c r="B642" s="11"/>
      <c r="F642" s="13"/>
      <c r="G642" s="14"/>
      <c r="I642" s="15"/>
      <c r="J642" s="16"/>
      <c r="AE642" s="11"/>
      <c r="AF642" t="b">
        <v>0</v>
      </c>
      <c r="AG642" s="18"/>
    </row>
    <row r="643">
      <c r="A643" s="10"/>
      <c r="B643" s="11"/>
      <c r="F643" s="13"/>
      <c r="G643" s="14"/>
      <c r="I643" s="15"/>
      <c r="J643" s="16"/>
      <c r="AE643" s="11"/>
      <c r="AF643" t="b">
        <v>0</v>
      </c>
      <c r="AG643" s="18"/>
    </row>
    <row r="644">
      <c r="B644" s="11"/>
      <c r="F644" s="13"/>
      <c r="G644" s="14"/>
      <c r="I644" s="15"/>
      <c r="AE644" s="11"/>
      <c r="AG644" s="18"/>
    </row>
    <row r="645">
      <c r="B645" s="11"/>
      <c r="F645" s="13"/>
      <c r="G645" s="14"/>
      <c r="I645" s="15"/>
      <c r="AE645" s="11"/>
      <c r="AG645" s="18"/>
    </row>
    <row r="646">
      <c r="B646" s="11"/>
      <c r="F646" s="13"/>
      <c r="G646" s="14"/>
      <c r="I646" s="15"/>
      <c r="AE646" s="11"/>
      <c r="AG646" s="18"/>
    </row>
    <row r="647">
      <c r="B647" s="11"/>
      <c r="F647" s="13"/>
      <c r="G647" s="14"/>
      <c r="I647" s="15"/>
      <c r="AE647" s="11"/>
      <c r="AG647" s="18"/>
    </row>
    <row r="648">
      <c r="B648" s="11"/>
      <c r="F648" s="13"/>
      <c r="G648" s="14"/>
      <c r="I648" s="15"/>
      <c r="AE648" s="11"/>
      <c r="AG648" s="18"/>
    </row>
    <row r="649">
      <c r="B649" s="11"/>
      <c r="F649" s="13"/>
      <c r="G649" s="14"/>
      <c r="I649" s="15"/>
      <c r="AE649" s="11"/>
      <c r="AG649" s="18"/>
    </row>
    <row r="650">
      <c r="B650" s="11"/>
      <c r="F650" s="13"/>
      <c r="G650" s="14"/>
      <c r="I650" s="15"/>
      <c r="AE650" s="11"/>
      <c r="AG650" s="18"/>
    </row>
    <row r="651">
      <c r="B651" s="11"/>
      <c r="F651" s="13"/>
      <c r="G651" s="14"/>
      <c r="I651" s="15"/>
      <c r="AE651" s="11"/>
      <c r="AG651" s="18"/>
    </row>
    <row r="652">
      <c r="B652" s="11"/>
      <c r="F652" s="13"/>
      <c r="G652" s="14"/>
      <c r="I652" s="15"/>
      <c r="AE652" s="11"/>
      <c r="AG652" s="18"/>
    </row>
    <row r="653">
      <c r="B653" s="11"/>
      <c r="F653" s="13"/>
      <c r="G653" s="14"/>
      <c r="I653" s="15"/>
      <c r="AE653" s="11"/>
      <c r="AG653" s="18"/>
    </row>
    <row r="654">
      <c r="B654" s="11"/>
      <c r="F654" s="13"/>
      <c r="G654" s="14"/>
      <c r="I654" s="15"/>
      <c r="AE654" s="11"/>
      <c r="AG654" s="18"/>
    </row>
    <row r="655">
      <c r="B655" s="11"/>
      <c r="F655" s="13"/>
      <c r="G655" s="14"/>
      <c r="I655" s="15"/>
      <c r="AE655" s="11"/>
      <c r="AG655" s="18"/>
    </row>
    <row r="656">
      <c r="B656" s="11"/>
      <c r="F656" s="13"/>
      <c r="G656" s="14"/>
      <c r="I656" s="15"/>
      <c r="AE656" s="11"/>
      <c r="AG656" s="18"/>
    </row>
    <row r="657">
      <c r="B657" s="11"/>
      <c r="F657" s="13"/>
      <c r="G657" s="14"/>
      <c r="I657" s="15"/>
      <c r="AE657" s="11"/>
      <c r="AG657" s="18"/>
    </row>
    <row r="658">
      <c r="B658" s="11"/>
      <c r="F658" s="13"/>
      <c r="G658" s="14"/>
      <c r="I658" s="15"/>
      <c r="AE658" s="11"/>
      <c r="AG658" s="18"/>
    </row>
    <row r="659">
      <c r="B659" s="11"/>
      <c r="F659" s="13"/>
      <c r="G659" s="14"/>
      <c r="I659" s="15"/>
      <c r="AE659" s="11"/>
      <c r="AG659" s="18"/>
    </row>
    <row r="660">
      <c r="B660" s="11"/>
      <c r="F660" s="13"/>
      <c r="G660" s="14"/>
      <c r="I660" s="15"/>
      <c r="AE660" s="11"/>
      <c r="AG660" s="18"/>
    </row>
    <row r="661">
      <c r="B661" s="11"/>
      <c r="F661" s="13"/>
      <c r="G661" s="14"/>
      <c r="I661" s="15"/>
      <c r="AE661" s="11"/>
      <c r="AG661" s="18"/>
    </row>
    <row r="662">
      <c r="B662" s="11"/>
      <c r="F662" s="13"/>
      <c r="G662" s="14"/>
      <c r="I662" s="15"/>
      <c r="AE662" s="11"/>
      <c r="AG662" s="18"/>
    </row>
    <row r="663">
      <c r="B663" s="11"/>
      <c r="F663" s="13"/>
      <c r="G663" s="14"/>
      <c r="I663" s="15"/>
      <c r="AE663" s="11"/>
      <c r="AG663" s="18"/>
    </row>
    <row r="664">
      <c r="B664" s="11"/>
      <c r="F664" s="13"/>
      <c r="G664" s="14"/>
      <c r="I664" s="15"/>
      <c r="AE664" s="11"/>
      <c r="AG664" s="18"/>
    </row>
    <row r="665">
      <c r="B665" s="11"/>
      <c r="F665" s="13"/>
      <c r="G665" s="14"/>
      <c r="I665" s="15"/>
      <c r="AE665" s="11"/>
      <c r="AG665" s="18"/>
    </row>
    <row r="666">
      <c r="B666" s="11"/>
      <c r="F666" s="13"/>
      <c r="G666" s="14"/>
      <c r="I666" s="15"/>
      <c r="AE666" s="11"/>
      <c r="AG666" s="18"/>
    </row>
    <row r="667">
      <c r="B667" s="11"/>
      <c r="F667" s="13"/>
      <c r="G667" s="14"/>
      <c r="I667" s="15"/>
      <c r="AE667" s="11"/>
      <c r="AG667" s="18"/>
    </row>
    <row r="668">
      <c r="B668" s="11"/>
      <c r="F668" s="13"/>
      <c r="G668" s="14"/>
      <c r="I668" s="15"/>
      <c r="AE668" s="11"/>
      <c r="AG668" s="18"/>
    </row>
    <row r="669">
      <c r="B669" s="11"/>
      <c r="F669" s="13"/>
      <c r="G669" s="14"/>
      <c r="I669" s="15"/>
      <c r="AE669" s="11"/>
      <c r="AG669" s="18"/>
    </row>
    <row r="670">
      <c r="B670" s="11"/>
      <c r="F670" s="13"/>
      <c r="G670" s="14"/>
      <c r="I670" s="15"/>
      <c r="AE670" s="11"/>
      <c r="AG670" s="18"/>
    </row>
    <row r="671">
      <c r="B671" s="11"/>
      <c r="F671" s="13"/>
      <c r="G671" s="14"/>
      <c r="I671" s="15"/>
      <c r="AE671" s="11"/>
      <c r="AG671" s="18"/>
    </row>
    <row r="672">
      <c r="B672" s="11"/>
      <c r="F672" s="13"/>
      <c r="G672" s="14"/>
      <c r="I672" s="15"/>
      <c r="AE672" s="11"/>
      <c r="AG672" s="18"/>
    </row>
    <row r="673">
      <c r="B673" s="11"/>
      <c r="F673" s="13"/>
      <c r="G673" s="14"/>
      <c r="I673" s="15"/>
      <c r="AE673" s="11"/>
      <c r="AG673" s="18"/>
    </row>
    <row r="674">
      <c r="B674" s="11"/>
      <c r="F674" s="13"/>
      <c r="G674" s="14"/>
      <c r="I674" s="15"/>
      <c r="AE674" s="11"/>
      <c r="AG674" s="18"/>
    </row>
    <row r="675">
      <c r="B675" s="11"/>
      <c r="F675" s="13"/>
      <c r="G675" s="14"/>
      <c r="I675" s="15"/>
      <c r="AE675" s="11"/>
      <c r="AG675" s="18"/>
    </row>
    <row r="676">
      <c r="B676" s="11"/>
      <c r="F676" s="13"/>
      <c r="G676" s="14"/>
      <c r="I676" s="15"/>
      <c r="AE676" s="11"/>
      <c r="AG676" s="18"/>
    </row>
    <row r="677">
      <c r="B677" s="11"/>
      <c r="F677" s="13"/>
      <c r="G677" s="14"/>
      <c r="I677" s="15"/>
      <c r="AE677" s="11"/>
      <c r="AG677" s="18"/>
    </row>
    <row r="678">
      <c r="B678" s="11"/>
      <c r="F678" s="13"/>
      <c r="G678" s="14"/>
      <c r="I678" s="15"/>
      <c r="AE678" s="11"/>
      <c r="AG678" s="18"/>
    </row>
    <row r="679">
      <c r="B679" s="11"/>
      <c r="F679" s="13"/>
      <c r="G679" s="14"/>
      <c r="I679" s="15"/>
      <c r="AE679" s="11"/>
      <c r="AG679" s="18"/>
    </row>
    <row r="680">
      <c r="B680" s="11"/>
      <c r="F680" s="13"/>
      <c r="G680" s="14"/>
      <c r="I680" s="15"/>
      <c r="AE680" s="11"/>
      <c r="AG680" s="18"/>
    </row>
    <row r="681">
      <c r="B681" s="11"/>
      <c r="F681" s="13"/>
      <c r="G681" s="14"/>
      <c r="I681" s="15"/>
      <c r="AE681" s="11"/>
      <c r="AG681" s="18"/>
    </row>
    <row r="682">
      <c r="B682" s="11"/>
      <c r="F682" s="13"/>
      <c r="G682" s="14"/>
      <c r="I682" s="15"/>
      <c r="AE682" s="11"/>
      <c r="AG682" s="18"/>
    </row>
    <row r="683">
      <c r="B683" s="11"/>
      <c r="F683" s="13"/>
      <c r="G683" s="14"/>
      <c r="I683" s="15"/>
      <c r="AE683" s="11"/>
      <c r="AG683" s="18"/>
    </row>
    <row r="684">
      <c r="B684" s="11"/>
      <c r="F684" s="13"/>
      <c r="G684" s="14"/>
      <c r="I684" s="15"/>
      <c r="AE684" s="11"/>
      <c r="AG684" s="18"/>
    </row>
    <row r="685">
      <c r="B685" s="11"/>
      <c r="F685" s="13"/>
      <c r="G685" s="14"/>
      <c r="I685" s="15"/>
      <c r="AE685" s="11"/>
      <c r="AG685" s="18"/>
    </row>
    <row r="686">
      <c r="B686" s="11"/>
      <c r="F686" s="13"/>
      <c r="G686" s="14"/>
      <c r="I686" s="15"/>
      <c r="AE686" s="11"/>
      <c r="AG686" s="18"/>
    </row>
    <row r="687">
      <c r="B687" s="11"/>
      <c r="F687" s="13"/>
      <c r="G687" s="14"/>
      <c r="I687" s="15"/>
      <c r="AE687" s="11"/>
      <c r="AG687" s="18"/>
    </row>
    <row r="688">
      <c r="B688" s="11"/>
      <c r="F688" s="13"/>
      <c r="G688" s="14"/>
      <c r="I688" s="15"/>
      <c r="AE688" s="11"/>
      <c r="AG688" s="18"/>
    </row>
    <row r="689">
      <c r="B689" s="11"/>
      <c r="F689" s="13"/>
      <c r="G689" s="14"/>
      <c r="I689" s="15"/>
      <c r="AE689" s="11"/>
      <c r="AG689" s="18"/>
    </row>
    <row r="690">
      <c r="B690" s="11"/>
      <c r="F690" s="13"/>
      <c r="G690" s="14"/>
      <c r="I690" s="15"/>
      <c r="AE690" s="11"/>
      <c r="AG690" s="18"/>
    </row>
    <row r="691">
      <c r="B691" s="11"/>
      <c r="F691" s="13"/>
      <c r="G691" s="14"/>
      <c r="I691" s="15"/>
      <c r="AE691" s="11"/>
      <c r="AG691" s="18"/>
    </row>
    <row r="692">
      <c r="B692" s="11"/>
      <c r="F692" s="13"/>
      <c r="G692" s="14"/>
      <c r="I692" s="15"/>
      <c r="AE692" s="11"/>
      <c r="AG692" s="18"/>
    </row>
    <row r="693">
      <c r="B693" s="11"/>
      <c r="F693" s="13"/>
      <c r="G693" s="14"/>
      <c r="I693" s="15"/>
      <c r="AE693" s="11"/>
      <c r="AG693" s="18"/>
    </row>
    <row r="694">
      <c r="B694" s="11"/>
      <c r="F694" s="13"/>
      <c r="G694" s="14"/>
      <c r="I694" s="15"/>
      <c r="AE694" s="11"/>
      <c r="AG694" s="18"/>
    </row>
    <row r="695">
      <c r="B695" s="11"/>
      <c r="F695" s="13"/>
      <c r="G695" s="14"/>
      <c r="I695" s="15"/>
      <c r="AE695" s="11"/>
      <c r="AG695" s="18"/>
    </row>
    <row r="696">
      <c r="B696" s="11"/>
      <c r="F696" s="13"/>
      <c r="G696" s="14"/>
      <c r="I696" s="15"/>
      <c r="AE696" s="11"/>
      <c r="AG696" s="18"/>
    </row>
    <row r="697">
      <c r="B697" s="11"/>
      <c r="F697" s="13"/>
      <c r="G697" s="14"/>
      <c r="I697" s="15"/>
      <c r="AE697" s="11"/>
      <c r="AG697" s="18"/>
    </row>
    <row r="698">
      <c r="B698" s="11"/>
      <c r="F698" s="13"/>
      <c r="G698" s="14"/>
      <c r="I698" s="15"/>
      <c r="AE698" s="11"/>
      <c r="AG698" s="18"/>
    </row>
    <row r="699">
      <c r="B699" s="11"/>
      <c r="F699" s="13"/>
      <c r="G699" s="14"/>
      <c r="I699" s="15"/>
      <c r="AE699" s="11"/>
      <c r="AG699" s="18"/>
    </row>
    <row r="700">
      <c r="B700" s="11"/>
      <c r="F700" s="13"/>
      <c r="G700" s="14"/>
      <c r="I700" s="15"/>
      <c r="AE700" s="11"/>
      <c r="AG700" s="18"/>
    </row>
    <row r="701">
      <c r="B701" s="11"/>
      <c r="F701" s="13"/>
      <c r="G701" s="14"/>
      <c r="I701" s="15"/>
      <c r="AE701" s="11"/>
      <c r="AG701" s="18"/>
    </row>
    <row r="702">
      <c r="B702" s="11"/>
      <c r="F702" s="13"/>
      <c r="G702" s="14"/>
      <c r="I702" s="15"/>
      <c r="AE702" s="11"/>
      <c r="AG702" s="18"/>
    </row>
    <row r="703">
      <c r="B703" s="11"/>
      <c r="F703" s="13"/>
      <c r="G703" s="14"/>
      <c r="I703" s="15"/>
      <c r="AE703" s="11"/>
      <c r="AG703" s="18"/>
    </row>
    <row r="704">
      <c r="B704" s="11"/>
      <c r="F704" s="13"/>
      <c r="G704" s="14"/>
      <c r="I704" s="15"/>
      <c r="AE704" s="11"/>
      <c r="AG704" s="18"/>
    </row>
    <row r="705">
      <c r="B705" s="11"/>
      <c r="F705" s="13"/>
      <c r="G705" s="14"/>
      <c r="I705" s="15"/>
      <c r="AE705" s="11"/>
      <c r="AG705" s="18"/>
    </row>
    <row r="706">
      <c r="B706" s="11"/>
      <c r="F706" s="13"/>
      <c r="G706" s="14"/>
      <c r="I706" s="15"/>
      <c r="AE706" s="11"/>
      <c r="AG706" s="18"/>
    </row>
    <row r="707">
      <c r="B707" s="11"/>
      <c r="F707" s="13"/>
      <c r="G707" s="14"/>
      <c r="I707" s="15"/>
      <c r="AE707" s="11"/>
      <c r="AG707" s="18"/>
    </row>
    <row r="708">
      <c r="B708" s="11"/>
      <c r="F708" s="13"/>
      <c r="G708" s="14"/>
      <c r="I708" s="15"/>
      <c r="AE708" s="11"/>
      <c r="AG708" s="18"/>
    </row>
    <row r="709">
      <c r="B709" s="11"/>
      <c r="F709" s="13"/>
      <c r="G709" s="14"/>
      <c r="I709" s="15"/>
      <c r="AE709" s="11"/>
      <c r="AG709" s="18"/>
    </row>
    <row r="710">
      <c r="B710" s="11"/>
      <c r="F710" s="13"/>
      <c r="G710" s="14"/>
      <c r="I710" s="15"/>
      <c r="AE710" s="11"/>
      <c r="AG710" s="18"/>
    </row>
    <row r="711">
      <c r="B711" s="11"/>
      <c r="F711" s="13"/>
      <c r="G711" s="14"/>
      <c r="I711" s="15"/>
      <c r="AE711" s="11"/>
      <c r="AG711" s="18"/>
    </row>
    <row r="712">
      <c r="B712" s="11"/>
      <c r="F712" s="13"/>
      <c r="G712" s="14"/>
      <c r="I712" s="15"/>
      <c r="AE712" s="11"/>
      <c r="AG712" s="18"/>
    </row>
    <row r="713">
      <c r="B713" s="11"/>
      <c r="F713" s="13"/>
      <c r="G713" s="14"/>
      <c r="I713" s="15"/>
      <c r="AE713" s="11"/>
      <c r="AG713" s="18"/>
    </row>
    <row r="714">
      <c r="B714" s="11"/>
      <c r="F714" s="13"/>
      <c r="G714" s="14"/>
      <c r="I714" s="15"/>
      <c r="AE714" s="11"/>
      <c r="AG714" s="18"/>
    </row>
    <row r="715">
      <c r="B715" s="11"/>
      <c r="F715" s="13"/>
      <c r="G715" s="14"/>
      <c r="I715" s="15"/>
      <c r="AE715" s="11"/>
      <c r="AG715" s="18"/>
    </row>
    <row r="716">
      <c r="B716" s="11"/>
      <c r="F716" s="13"/>
      <c r="G716" s="14"/>
      <c r="I716" s="15"/>
      <c r="AE716" s="11"/>
      <c r="AG716" s="18"/>
    </row>
    <row r="717">
      <c r="B717" s="11"/>
      <c r="F717" s="13"/>
      <c r="G717" s="14"/>
      <c r="I717" s="15"/>
      <c r="AE717" s="11"/>
      <c r="AG717" s="18"/>
    </row>
    <row r="718">
      <c r="B718" s="11"/>
      <c r="F718" s="13"/>
      <c r="G718" s="14"/>
      <c r="I718" s="15"/>
      <c r="AE718" s="11"/>
      <c r="AG718" s="18"/>
    </row>
    <row r="719">
      <c r="B719" s="11"/>
      <c r="F719" s="13"/>
      <c r="G719" s="14"/>
      <c r="I719" s="15"/>
      <c r="AE719" s="11"/>
      <c r="AG719" s="18"/>
    </row>
    <row r="720">
      <c r="B720" s="11"/>
      <c r="F720" s="13"/>
      <c r="G720" s="14"/>
      <c r="I720" s="15"/>
      <c r="AE720" s="11"/>
      <c r="AG720" s="18"/>
    </row>
    <row r="721">
      <c r="B721" s="11"/>
      <c r="F721" s="13"/>
      <c r="G721" s="14"/>
      <c r="I721" s="15"/>
      <c r="AE721" s="11"/>
      <c r="AG721" s="18"/>
    </row>
    <row r="722">
      <c r="B722" s="11"/>
      <c r="F722" s="13"/>
      <c r="G722" s="14"/>
      <c r="I722" s="15"/>
      <c r="AE722" s="11"/>
      <c r="AG722" s="18"/>
    </row>
    <row r="723">
      <c r="B723" s="11"/>
      <c r="F723" s="13"/>
      <c r="G723" s="14"/>
      <c r="I723" s="15"/>
      <c r="AE723" s="11"/>
      <c r="AG723" s="18"/>
    </row>
    <row r="724">
      <c r="B724" s="11"/>
      <c r="F724" s="13"/>
      <c r="G724" s="14"/>
      <c r="I724" s="15"/>
      <c r="AE724" s="11"/>
      <c r="AG724" s="18"/>
    </row>
    <row r="725">
      <c r="B725" s="11"/>
      <c r="F725" s="13"/>
      <c r="G725" s="14"/>
      <c r="I725" s="15"/>
      <c r="AE725" s="11"/>
      <c r="AG725" s="18"/>
    </row>
    <row r="726">
      <c r="B726" s="11"/>
      <c r="F726" s="13"/>
      <c r="G726" s="14"/>
      <c r="I726" s="15"/>
      <c r="AE726" s="11"/>
      <c r="AG726" s="18"/>
    </row>
    <row r="727">
      <c r="B727" s="11"/>
      <c r="F727" s="13"/>
      <c r="G727" s="14"/>
      <c r="I727" s="15"/>
      <c r="AE727" s="11"/>
      <c r="AG727" s="18"/>
    </row>
    <row r="728">
      <c r="B728" s="11"/>
      <c r="F728" s="13"/>
      <c r="G728" s="14"/>
      <c r="I728" s="15"/>
      <c r="AE728" s="11"/>
      <c r="AG728" s="18"/>
    </row>
    <row r="729">
      <c r="B729" s="11"/>
      <c r="F729" s="13"/>
      <c r="G729" s="14"/>
      <c r="I729" s="15"/>
      <c r="AE729" s="11"/>
      <c r="AG729" s="18"/>
    </row>
    <row r="730">
      <c r="B730" s="11"/>
      <c r="F730" s="13"/>
      <c r="G730" s="14"/>
      <c r="I730" s="15"/>
      <c r="AE730" s="11"/>
      <c r="AG730" s="18"/>
    </row>
    <row r="731">
      <c r="B731" s="11"/>
      <c r="F731" s="13"/>
      <c r="G731" s="14"/>
      <c r="I731" s="15"/>
      <c r="AE731" s="11"/>
      <c r="AG731" s="18"/>
    </row>
    <row r="732">
      <c r="B732" s="11"/>
      <c r="F732" s="13"/>
      <c r="G732" s="14"/>
      <c r="I732" s="15"/>
      <c r="AE732" s="11"/>
      <c r="AG732" s="18"/>
    </row>
    <row r="733">
      <c r="B733" s="11"/>
      <c r="F733" s="13"/>
      <c r="G733" s="14"/>
      <c r="I733" s="15"/>
      <c r="AE733" s="11"/>
      <c r="AG733" s="18"/>
    </row>
    <row r="734">
      <c r="B734" s="11"/>
      <c r="F734" s="13"/>
      <c r="G734" s="14"/>
      <c r="I734" s="15"/>
      <c r="AE734" s="11"/>
      <c r="AG734" s="18"/>
    </row>
    <row r="735">
      <c r="B735" s="11"/>
      <c r="F735" s="13"/>
      <c r="G735" s="14"/>
      <c r="I735" s="15"/>
      <c r="AE735" s="11"/>
      <c r="AG735" s="18"/>
    </row>
    <row r="736">
      <c r="B736" s="11"/>
      <c r="F736" s="13"/>
      <c r="G736" s="14"/>
      <c r="I736" s="15"/>
      <c r="AE736" s="11"/>
      <c r="AG736" s="18"/>
    </row>
    <row r="737">
      <c r="B737" s="11"/>
      <c r="F737" s="13"/>
      <c r="G737" s="14"/>
      <c r="I737" s="15"/>
      <c r="AE737" s="11"/>
      <c r="AG737" s="18"/>
    </row>
    <row r="738">
      <c r="B738" s="11"/>
      <c r="F738" s="13"/>
      <c r="G738" s="14"/>
      <c r="I738" s="15"/>
      <c r="AE738" s="11"/>
      <c r="AG738" s="18"/>
    </row>
    <row r="739">
      <c r="B739" s="11"/>
      <c r="F739" s="13"/>
      <c r="G739" s="14"/>
      <c r="I739" s="15"/>
      <c r="AE739" s="11"/>
      <c r="AG739" s="18"/>
    </row>
    <row r="740">
      <c r="B740" s="11"/>
      <c r="F740" s="13"/>
      <c r="G740" s="14"/>
      <c r="I740" s="15"/>
      <c r="AE740" s="11"/>
      <c r="AG740" s="18"/>
    </row>
    <row r="741">
      <c r="B741" s="11"/>
      <c r="F741" s="13"/>
      <c r="G741" s="14"/>
      <c r="I741" s="15"/>
      <c r="AE741" s="11"/>
      <c r="AG741" s="18"/>
    </row>
    <row r="742">
      <c r="B742" s="11"/>
      <c r="F742" s="13"/>
      <c r="G742" s="14"/>
      <c r="I742" s="15"/>
      <c r="AE742" s="11"/>
      <c r="AG742" s="18"/>
    </row>
    <row r="743">
      <c r="B743" s="11"/>
      <c r="F743" s="13"/>
      <c r="G743" s="14"/>
      <c r="I743" s="15"/>
      <c r="AE743" s="11"/>
      <c r="AG743" s="18"/>
    </row>
    <row r="744">
      <c r="B744" s="11"/>
      <c r="F744" s="13"/>
      <c r="G744" s="14"/>
      <c r="I744" s="15"/>
      <c r="AE744" s="11"/>
      <c r="AG744" s="18"/>
    </row>
    <row r="745">
      <c r="B745" s="11"/>
      <c r="F745" s="13"/>
      <c r="G745" s="14"/>
      <c r="I745" s="15"/>
      <c r="AE745" s="11"/>
      <c r="AG745" s="18"/>
    </row>
    <row r="746">
      <c r="B746" s="11"/>
      <c r="F746" s="13"/>
      <c r="G746" s="14"/>
      <c r="I746" s="15"/>
      <c r="AE746" s="11"/>
      <c r="AG746" s="18"/>
    </row>
    <row r="747">
      <c r="B747" s="11"/>
      <c r="F747" s="13"/>
      <c r="G747" s="14"/>
      <c r="I747" s="15"/>
      <c r="AE747" s="11"/>
      <c r="AG747" s="18"/>
    </row>
    <row r="748">
      <c r="B748" s="11"/>
      <c r="F748" s="13"/>
      <c r="G748" s="14"/>
      <c r="I748" s="15"/>
      <c r="AE748" s="11"/>
      <c r="AG748" s="18"/>
    </row>
    <row r="749">
      <c r="B749" s="11"/>
      <c r="F749" s="13"/>
      <c r="G749" s="14"/>
      <c r="I749" s="15"/>
      <c r="AE749" s="11"/>
      <c r="AG749" s="18"/>
    </row>
    <row r="750">
      <c r="B750" s="11"/>
      <c r="F750" s="13"/>
      <c r="G750" s="14"/>
      <c r="I750" s="15"/>
      <c r="AE750" s="11"/>
      <c r="AG750" s="18"/>
    </row>
    <row r="751">
      <c r="B751" s="11"/>
      <c r="F751" s="13"/>
      <c r="G751" s="14"/>
      <c r="I751" s="15"/>
      <c r="AE751" s="11"/>
      <c r="AG751" s="18"/>
    </row>
    <row r="752">
      <c r="B752" s="11"/>
      <c r="F752" s="13"/>
      <c r="G752" s="14"/>
      <c r="I752" s="15"/>
      <c r="AE752" s="11"/>
      <c r="AG752" s="18"/>
    </row>
    <row r="753">
      <c r="B753" s="11"/>
      <c r="F753" s="13"/>
      <c r="G753" s="14"/>
      <c r="I753" s="15"/>
      <c r="AE753" s="11"/>
      <c r="AG753" s="18"/>
    </row>
    <row r="754">
      <c r="B754" s="11"/>
      <c r="F754" s="13"/>
      <c r="G754" s="14"/>
      <c r="I754" s="15"/>
      <c r="AE754" s="11"/>
      <c r="AG754" s="18"/>
    </row>
    <row r="755">
      <c r="B755" s="11"/>
      <c r="F755" s="13"/>
      <c r="G755" s="14"/>
      <c r="I755" s="15"/>
      <c r="AE755" s="11"/>
      <c r="AG755" s="18"/>
    </row>
    <row r="756">
      <c r="B756" s="11"/>
      <c r="F756" s="13"/>
      <c r="G756" s="14"/>
      <c r="I756" s="15"/>
      <c r="AE756" s="11"/>
      <c r="AG756" s="18"/>
    </row>
    <row r="757">
      <c r="B757" s="11"/>
      <c r="F757" s="13"/>
      <c r="G757" s="14"/>
      <c r="I757" s="15"/>
      <c r="AE757" s="11"/>
      <c r="AG757" s="18"/>
    </row>
    <row r="758">
      <c r="B758" s="11"/>
      <c r="F758" s="13"/>
      <c r="G758" s="14"/>
      <c r="I758" s="15"/>
      <c r="AE758" s="11"/>
      <c r="AG758" s="18"/>
    </row>
    <row r="759">
      <c r="B759" s="11"/>
      <c r="F759" s="13"/>
      <c r="G759" s="14"/>
      <c r="I759" s="15"/>
      <c r="AE759" s="11"/>
      <c r="AG759" s="18"/>
    </row>
    <row r="760">
      <c r="B760" s="11"/>
      <c r="F760" s="13"/>
      <c r="G760" s="14"/>
      <c r="I760" s="15"/>
      <c r="AE760" s="11"/>
      <c r="AG760" s="18"/>
    </row>
    <row r="761">
      <c r="B761" s="11"/>
      <c r="F761" s="13"/>
      <c r="G761" s="14"/>
      <c r="I761" s="15"/>
      <c r="AE761" s="11"/>
      <c r="AG761" s="18"/>
    </row>
    <row r="762">
      <c r="B762" s="11"/>
      <c r="F762" s="13"/>
      <c r="G762" s="14"/>
      <c r="I762" s="15"/>
      <c r="AE762" s="11"/>
      <c r="AG762" s="18"/>
    </row>
    <row r="763">
      <c r="B763" s="11"/>
      <c r="F763" s="13"/>
      <c r="G763" s="14"/>
      <c r="I763" s="15"/>
      <c r="AE763" s="11"/>
      <c r="AG763" s="18"/>
    </row>
    <row r="764">
      <c r="B764" s="11"/>
      <c r="F764" s="13"/>
      <c r="G764" s="14"/>
      <c r="I764" s="15"/>
      <c r="AE764" s="11"/>
      <c r="AG764" s="18"/>
    </row>
    <row r="765">
      <c r="B765" s="11"/>
      <c r="F765" s="13"/>
      <c r="G765" s="14"/>
      <c r="I765" s="15"/>
      <c r="AE765" s="11"/>
      <c r="AG765" s="18"/>
    </row>
    <row r="766">
      <c r="B766" s="11"/>
      <c r="F766" s="13"/>
      <c r="G766" s="14"/>
      <c r="I766" s="15"/>
      <c r="AE766" s="11"/>
      <c r="AG766" s="18"/>
    </row>
    <row r="767">
      <c r="B767" s="11"/>
      <c r="F767" s="13"/>
      <c r="G767" s="14"/>
      <c r="I767" s="15"/>
      <c r="AE767" s="11"/>
      <c r="AG767" s="18"/>
    </row>
    <row r="768">
      <c r="B768" s="11"/>
      <c r="F768" s="13"/>
      <c r="G768" s="14"/>
      <c r="I768" s="15"/>
      <c r="AE768" s="11"/>
      <c r="AG768" s="18"/>
    </row>
    <row r="769">
      <c r="B769" s="11"/>
      <c r="F769" s="13"/>
      <c r="G769" s="14"/>
      <c r="I769" s="15"/>
      <c r="AE769" s="11"/>
      <c r="AG769" s="18"/>
    </row>
    <row r="770">
      <c r="B770" s="11"/>
      <c r="F770" s="13"/>
      <c r="G770" s="14"/>
      <c r="I770" s="15"/>
      <c r="AE770" s="11"/>
      <c r="AG770" s="18"/>
    </row>
    <row r="771">
      <c r="B771" s="11"/>
      <c r="F771" s="13"/>
      <c r="G771" s="14"/>
      <c r="I771" s="15"/>
      <c r="AE771" s="11"/>
      <c r="AG771" s="18"/>
    </row>
    <row r="772">
      <c r="B772" s="11"/>
      <c r="F772" s="13"/>
      <c r="G772" s="14"/>
      <c r="I772" s="15"/>
      <c r="AE772" s="11"/>
      <c r="AG772" s="18"/>
    </row>
    <row r="773">
      <c r="B773" s="11"/>
      <c r="F773" s="13"/>
      <c r="G773" s="14"/>
      <c r="I773" s="15"/>
      <c r="AE773" s="11"/>
      <c r="AG773" s="18"/>
    </row>
    <row r="774">
      <c r="B774" s="11"/>
      <c r="F774" s="13"/>
      <c r="G774" s="14"/>
      <c r="I774" s="15"/>
      <c r="AE774" s="11"/>
      <c r="AG774" s="18"/>
    </row>
    <row r="775">
      <c r="B775" s="11"/>
      <c r="F775" s="13"/>
      <c r="G775" s="14"/>
      <c r="I775" s="15"/>
      <c r="AE775" s="11"/>
      <c r="AG775" s="18"/>
    </row>
    <row r="776">
      <c r="B776" s="11"/>
      <c r="F776" s="13"/>
      <c r="G776" s="14"/>
      <c r="I776" s="15"/>
      <c r="AE776" s="11"/>
      <c r="AG776" s="18"/>
    </row>
    <row r="777">
      <c r="B777" s="11"/>
      <c r="F777" s="13"/>
      <c r="G777" s="14"/>
      <c r="I777" s="15"/>
      <c r="AE777" s="11"/>
      <c r="AG777" s="18"/>
    </row>
    <row r="778">
      <c r="B778" s="11"/>
      <c r="F778" s="13"/>
      <c r="G778" s="14"/>
      <c r="I778" s="15"/>
      <c r="AE778" s="11"/>
      <c r="AG778" s="18"/>
    </row>
    <row r="779">
      <c r="B779" s="11"/>
      <c r="F779" s="13"/>
      <c r="G779" s="14"/>
      <c r="I779" s="15"/>
      <c r="AE779" s="11"/>
      <c r="AG779" s="18"/>
    </row>
    <row r="780">
      <c r="B780" s="11"/>
      <c r="F780" s="13"/>
      <c r="G780" s="14"/>
      <c r="I780" s="15"/>
      <c r="AE780" s="11"/>
      <c r="AG780" s="18"/>
    </row>
    <row r="781">
      <c r="B781" s="11"/>
      <c r="F781" s="13"/>
      <c r="G781" s="14"/>
      <c r="I781" s="15"/>
      <c r="AE781" s="11"/>
      <c r="AG781" s="18"/>
    </row>
    <row r="782">
      <c r="B782" s="11"/>
      <c r="F782" s="13"/>
      <c r="G782" s="14"/>
      <c r="I782" s="15"/>
      <c r="AE782" s="11"/>
      <c r="AG782" s="18"/>
    </row>
    <row r="783">
      <c r="B783" s="11"/>
      <c r="F783" s="13"/>
      <c r="G783" s="14"/>
      <c r="I783" s="15"/>
      <c r="AE783" s="11"/>
      <c r="AG783" s="18"/>
    </row>
    <row r="784">
      <c r="B784" s="11"/>
      <c r="F784" s="13"/>
      <c r="G784" s="14"/>
      <c r="I784" s="15"/>
      <c r="AE784" s="11"/>
      <c r="AG784" s="18"/>
    </row>
    <row r="785">
      <c r="B785" s="11"/>
      <c r="F785" s="13"/>
      <c r="G785" s="14"/>
      <c r="I785" s="15"/>
      <c r="AE785" s="11"/>
      <c r="AG785" s="18"/>
    </row>
    <row r="786">
      <c r="B786" s="11"/>
      <c r="F786" s="13"/>
      <c r="G786" s="14"/>
      <c r="I786" s="15"/>
      <c r="AE786" s="11"/>
      <c r="AG786" s="18"/>
    </row>
    <row r="787">
      <c r="B787" s="11"/>
      <c r="F787" s="13"/>
      <c r="G787" s="14"/>
      <c r="I787" s="15"/>
      <c r="AE787" s="11"/>
      <c r="AG787" s="18"/>
    </row>
    <row r="788">
      <c r="B788" s="11"/>
      <c r="F788" s="13"/>
      <c r="G788" s="14"/>
      <c r="I788" s="15"/>
      <c r="AE788" s="11"/>
      <c r="AG788" s="18"/>
    </row>
    <row r="789">
      <c r="B789" s="11"/>
      <c r="F789" s="13"/>
      <c r="G789" s="14"/>
      <c r="I789" s="15"/>
      <c r="AE789" s="11"/>
      <c r="AG789" s="18"/>
    </row>
    <row r="790">
      <c r="B790" s="11"/>
      <c r="F790" s="13"/>
      <c r="G790" s="14"/>
      <c r="I790" s="15"/>
      <c r="AE790" s="11"/>
      <c r="AG790" s="18"/>
    </row>
    <row r="791">
      <c r="B791" s="11"/>
      <c r="F791" s="13"/>
      <c r="G791" s="14"/>
      <c r="I791" s="15"/>
      <c r="AE791" s="11"/>
      <c r="AG791" s="18"/>
    </row>
    <row r="792">
      <c r="B792" s="11"/>
      <c r="F792" s="13"/>
      <c r="G792" s="14"/>
      <c r="I792" s="15"/>
      <c r="AE792" s="11"/>
      <c r="AG792" s="18"/>
    </row>
    <row r="793">
      <c r="B793" s="11"/>
      <c r="F793" s="13"/>
      <c r="G793" s="14"/>
      <c r="I793" s="15"/>
      <c r="AE793" s="11"/>
      <c r="AG793" s="18"/>
    </row>
    <row r="794">
      <c r="B794" s="11"/>
      <c r="F794" s="13"/>
      <c r="G794" s="14"/>
      <c r="I794" s="15"/>
      <c r="AE794" s="11"/>
      <c r="AG794" s="18"/>
    </row>
    <row r="795">
      <c r="B795" s="11"/>
      <c r="F795" s="13"/>
      <c r="G795" s="14"/>
      <c r="I795" s="15"/>
      <c r="AE795" s="11"/>
      <c r="AG795" s="18"/>
    </row>
    <row r="796">
      <c r="B796" s="11"/>
      <c r="F796" s="13"/>
      <c r="G796" s="14"/>
      <c r="I796" s="15"/>
      <c r="AE796" s="11"/>
      <c r="AG796" s="18"/>
    </row>
    <row r="797">
      <c r="B797" s="11"/>
      <c r="F797" s="13"/>
      <c r="G797" s="14"/>
      <c r="I797" s="15"/>
      <c r="AE797" s="11"/>
      <c r="AG797" s="18"/>
    </row>
    <row r="798">
      <c r="B798" s="11"/>
      <c r="F798" s="13"/>
      <c r="G798" s="14"/>
      <c r="I798" s="15"/>
      <c r="AE798" s="11"/>
      <c r="AG798" s="18"/>
    </row>
    <row r="799">
      <c r="B799" s="11"/>
      <c r="F799" s="13"/>
      <c r="G799" s="14"/>
      <c r="I799" s="15"/>
      <c r="AE799" s="11"/>
      <c r="AG799" s="18"/>
    </row>
    <row r="800">
      <c r="B800" s="11"/>
      <c r="F800" s="13"/>
      <c r="G800" s="14"/>
      <c r="I800" s="15"/>
      <c r="AE800" s="11"/>
      <c r="AG800" s="18"/>
    </row>
    <row r="801">
      <c r="B801" s="11"/>
      <c r="F801" s="13"/>
      <c r="G801" s="14"/>
      <c r="I801" s="15"/>
      <c r="AE801" s="11"/>
      <c r="AG801" s="18"/>
    </row>
    <row r="802">
      <c r="B802" s="11"/>
      <c r="F802" s="13"/>
      <c r="G802" s="14"/>
      <c r="I802" s="15"/>
      <c r="AE802" s="11"/>
      <c r="AG802" s="18"/>
    </row>
    <row r="803">
      <c r="B803" s="11"/>
      <c r="F803" s="13"/>
      <c r="G803" s="14"/>
      <c r="I803" s="15"/>
      <c r="AE803" s="11"/>
      <c r="AG803" s="18"/>
    </row>
    <row r="804">
      <c r="B804" s="11"/>
      <c r="F804" s="13"/>
      <c r="G804" s="14"/>
      <c r="I804" s="15"/>
      <c r="AE804" s="11"/>
      <c r="AG804" s="18"/>
    </row>
    <row r="805">
      <c r="B805" s="11"/>
      <c r="F805" s="13"/>
      <c r="G805" s="14"/>
      <c r="I805" s="15"/>
      <c r="AE805" s="11"/>
      <c r="AG805" s="18"/>
    </row>
    <row r="806">
      <c r="B806" s="11"/>
      <c r="F806" s="13"/>
      <c r="G806" s="14"/>
      <c r="I806" s="15"/>
      <c r="AE806" s="11"/>
      <c r="AG806" s="18"/>
    </row>
    <row r="807">
      <c r="B807" s="11"/>
      <c r="F807" s="13"/>
      <c r="G807" s="14"/>
      <c r="I807" s="15"/>
      <c r="AE807" s="11"/>
      <c r="AG807" s="18"/>
    </row>
    <row r="808">
      <c r="B808" s="11"/>
      <c r="F808" s="13"/>
      <c r="G808" s="14"/>
      <c r="I808" s="15"/>
      <c r="AE808" s="11"/>
      <c r="AG808" s="18"/>
    </row>
    <row r="809">
      <c r="B809" s="11"/>
      <c r="F809" s="13"/>
      <c r="G809" s="14"/>
      <c r="I809" s="15"/>
      <c r="AE809" s="11"/>
      <c r="AG809" s="18"/>
    </row>
    <row r="810">
      <c r="B810" s="11"/>
      <c r="F810" s="13"/>
      <c r="G810" s="14"/>
      <c r="I810" s="15"/>
      <c r="AE810" s="11"/>
      <c r="AG810" s="18"/>
    </row>
    <row r="811">
      <c r="B811" s="11"/>
      <c r="F811" s="13"/>
      <c r="G811" s="14"/>
      <c r="I811" s="15"/>
      <c r="AE811" s="11"/>
      <c r="AG811" s="18"/>
    </row>
    <row r="812">
      <c r="B812" s="11"/>
      <c r="F812" s="13"/>
      <c r="G812" s="14"/>
      <c r="I812" s="15"/>
      <c r="AE812" s="11"/>
      <c r="AG812" s="18"/>
    </row>
    <row r="813">
      <c r="B813" s="11"/>
      <c r="F813" s="13"/>
      <c r="G813" s="14"/>
      <c r="I813" s="15"/>
      <c r="AE813" s="11"/>
      <c r="AG813" s="18"/>
    </row>
    <row r="814">
      <c r="B814" s="11"/>
      <c r="F814" s="13"/>
      <c r="G814" s="14"/>
      <c r="I814" s="15"/>
      <c r="AE814" s="11"/>
      <c r="AG814" s="18"/>
    </row>
    <row r="815">
      <c r="B815" s="11"/>
      <c r="F815" s="13"/>
      <c r="G815" s="14"/>
      <c r="I815" s="15"/>
      <c r="AE815" s="11"/>
      <c r="AG815" s="18"/>
    </row>
    <row r="816">
      <c r="B816" s="11"/>
      <c r="F816" s="13"/>
      <c r="G816" s="14"/>
      <c r="I816" s="15"/>
      <c r="AE816" s="11"/>
      <c r="AG816" s="18"/>
    </row>
    <row r="817">
      <c r="B817" s="11"/>
      <c r="F817" s="13"/>
      <c r="G817" s="14"/>
      <c r="I817" s="15"/>
      <c r="AE817" s="11"/>
      <c r="AG817" s="18"/>
    </row>
    <row r="818">
      <c r="B818" s="11"/>
      <c r="F818" s="13"/>
      <c r="G818" s="14"/>
      <c r="I818" s="15"/>
      <c r="AE818" s="11"/>
      <c r="AG818" s="18"/>
    </row>
    <row r="819">
      <c r="B819" s="11"/>
      <c r="F819" s="13"/>
      <c r="G819" s="14"/>
      <c r="I819" s="15"/>
      <c r="AE819" s="11"/>
      <c r="AG819" s="18"/>
    </row>
    <row r="820">
      <c r="B820" s="11"/>
      <c r="F820" s="13"/>
      <c r="G820" s="14"/>
      <c r="I820" s="15"/>
      <c r="AE820" s="11"/>
      <c r="AG820" s="18"/>
    </row>
    <row r="821">
      <c r="B821" s="11"/>
      <c r="F821" s="13"/>
      <c r="G821" s="14"/>
      <c r="I821" s="15"/>
      <c r="AE821" s="11"/>
      <c r="AG821" s="18"/>
    </row>
    <row r="822">
      <c r="B822" s="11"/>
      <c r="F822" s="13"/>
      <c r="G822" s="14"/>
      <c r="I822" s="15"/>
      <c r="AE822" s="11"/>
      <c r="AG822" s="18"/>
    </row>
    <row r="823">
      <c r="B823" s="11"/>
      <c r="F823" s="13"/>
      <c r="G823" s="14"/>
      <c r="I823" s="15"/>
      <c r="AE823" s="11"/>
      <c r="AG823" s="18"/>
    </row>
    <row r="824">
      <c r="B824" s="11"/>
      <c r="F824" s="13"/>
      <c r="G824" s="14"/>
      <c r="I824" s="15"/>
      <c r="AE824" s="11"/>
      <c r="AG824" s="18"/>
    </row>
    <row r="825">
      <c r="B825" s="11"/>
      <c r="F825" s="13"/>
      <c r="G825" s="14"/>
      <c r="I825" s="15"/>
      <c r="AE825" s="11"/>
      <c r="AG825" s="18"/>
    </row>
    <row r="826">
      <c r="B826" s="11"/>
      <c r="F826" s="13"/>
      <c r="G826" s="14"/>
      <c r="I826" s="15"/>
      <c r="AE826" s="11"/>
      <c r="AG826" s="18"/>
    </row>
    <row r="827">
      <c r="B827" s="11"/>
      <c r="F827" s="13"/>
      <c r="G827" s="14"/>
      <c r="I827" s="15"/>
      <c r="AE827" s="11"/>
      <c r="AG827" s="18"/>
    </row>
    <row r="828">
      <c r="B828" s="11"/>
      <c r="F828" s="13"/>
      <c r="G828" s="14"/>
      <c r="I828" s="15"/>
      <c r="AE828" s="11"/>
      <c r="AG828" s="18"/>
    </row>
    <row r="829">
      <c r="B829" s="11"/>
      <c r="F829" s="13"/>
      <c r="G829" s="14"/>
      <c r="I829" s="15"/>
      <c r="AE829" s="11"/>
      <c r="AG829" s="18"/>
    </row>
    <row r="830">
      <c r="B830" s="11"/>
      <c r="F830" s="13"/>
      <c r="G830" s="14"/>
      <c r="I830" s="15"/>
      <c r="AE830" s="11"/>
      <c r="AG830" s="18"/>
    </row>
    <row r="831">
      <c r="B831" s="11"/>
      <c r="F831" s="13"/>
      <c r="G831" s="14"/>
      <c r="I831" s="15"/>
      <c r="AE831" s="11"/>
      <c r="AG831" s="18"/>
    </row>
    <row r="832">
      <c r="B832" s="11"/>
      <c r="F832" s="13"/>
      <c r="G832" s="14"/>
      <c r="I832" s="15"/>
      <c r="AE832" s="11"/>
      <c r="AG832" s="18"/>
    </row>
    <row r="833">
      <c r="B833" s="11"/>
      <c r="F833" s="13"/>
      <c r="G833" s="14"/>
      <c r="I833" s="15"/>
      <c r="AE833" s="11"/>
      <c r="AG833" s="18"/>
    </row>
    <row r="834">
      <c r="B834" s="11"/>
      <c r="F834" s="13"/>
      <c r="G834" s="14"/>
      <c r="I834" s="15"/>
      <c r="AE834" s="11"/>
      <c r="AG834" s="18"/>
    </row>
    <row r="835">
      <c r="B835" s="11"/>
      <c r="F835" s="13"/>
      <c r="G835" s="14"/>
      <c r="I835" s="15"/>
      <c r="AE835" s="11"/>
      <c r="AG835" s="18"/>
    </row>
    <row r="836">
      <c r="B836" s="11"/>
      <c r="F836" s="13"/>
      <c r="G836" s="14"/>
      <c r="I836" s="15"/>
      <c r="AE836" s="11"/>
      <c r="AG836" s="18"/>
    </row>
    <row r="837">
      <c r="B837" s="11"/>
      <c r="F837" s="13"/>
      <c r="G837" s="14"/>
      <c r="I837" s="15"/>
      <c r="AE837" s="11"/>
      <c r="AG837" s="18"/>
    </row>
    <row r="838">
      <c r="B838" s="11"/>
      <c r="F838" s="13"/>
      <c r="G838" s="14"/>
      <c r="I838" s="15"/>
      <c r="AE838" s="11"/>
      <c r="AG838" s="18"/>
    </row>
    <row r="839">
      <c r="B839" s="11"/>
      <c r="F839" s="13"/>
      <c r="G839" s="14"/>
      <c r="I839" s="15"/>
      <c r="AE839" s="11"/>
      <c r="AG839" s="18"/>
    </row>
    <row r="840">
      <c r="B840" s="11"/>
      <c r="F840" s="13"/>
      <c r="G840" s="14"/>
      <c r="I840" s="15"/>
      <c r="AE840" s="11"/>
      <c r="AG840" s="18"/>
    </row>
    <row r="841">
      <c r="B841" s="11"/>
      <c r="F841" s="13"/>
      <c r="G841" s="14"/>
      <c r="I841" s="15"/>
      <c r="AE841" s="11"/>
      <c r="AG841" s="18"/>
    </row>
    <row r="842">
      <c r="B842" s="11"/>
      <c r="F842" s="13"/>
      <c r="G842" s="14"/>
      <c r="I842" s="15"/>
      <c r="AE842" s="11"/>
      <c r="AG842" s="18"/>
    </row>
    <row r="843">
      <c r="B843" s="11"/>
      <c r="F843" s="13"/>
      <c r="G843" s="14"/>
      <c r="I843" s="15"/>
      <c r="AE843" s="11"/>
      <c r="AG843" s="18"/>
    </row>
    <row r="844">
      <c r="B844" s="11"/>
      <c r="F844" s="13"/>
      <c r="G844" s="14"/>
      <c r="I844" s="15"/>
      <c r="AE844" s="11"/>
      <c r="AG844" s="18"/>
    </row>
    <row r="845">
      <c r="B845" s="11"/>
      <c r="F845" s="13"/>
      <c r="G845" s="14"/>
      <c r="I845" s="15"/>
      <c r="AE845" s="11"/>
      <c r="AG845" s="18"/>
    </row>
    <row r="846">
      <c r="B846" s="11"/>
      <c r="F846" s="13"/>
      <c r="G846" s="14"/>
      <c r="I846" s="15"/>
      <c r="AE846" s="11"/>
      <c r="AG846" s="18"/>
    </row>
    <row r="847">
      <c r="B847" s="11"/>
      <c r="F847" s="13"/>
      <c r="G847" s="14"/>
      <c r="I847" s="15"/>
      <c r="AE847" s="11"/>
      <c r="AG847" s="18"/>
    </row>
    <row r="848">
      <c r="B848" s="11"/>
      <c r="F848" s="13"/>
      <c r="G848" s="14"/>
      <c r="I848" s="15"/>
      <c r="AE848" s="11"/>
      <c r="AG848" s="18"/>
    </row>
    <row r="849">
      <c r="B849" s="11"/>
      <c r="F849" s="13"/>
      <c r="G849" s="14"/>
      <c r="I849" s="15"/>
      <c r="AE849" s="11"/>
      <c r="AG849" s="18"/>
    </row>
    <row r="850">
      <c r="B850" s="11"/>
      <c r="F850" s="13"/>
      <c r="G850" s="14"/>
      <c r="I850" s="15"/>
      <c r="AE850" s="11"/>
      <c r="AG850" s="18"/>
    </row>
    <row r="851">
      <c r="B851" s="11"/>
      <c r="F851" s="13"/>
      <c r="G851" s="14"/>
      <c r="I851" s="15"/>
      <c r="AE851" s="11"/>
      <c r="AG851" s="18"/>
    </row>
    <row r="852">
      <c r="B852" s="11"/>
      <c r="F852" s="13"/>
      <c r="G852" s="14"/>
      <c r="I852" s="15"/>
      <c r="AE852" s="11"/>
      <c r="AG852" s="18"/>
    </row>
    <row r="853">
      <c r="B853" s="11"/>
      <c r="F853" s="13"/>
      <c r="G853" s="14"/>
      <c r="I853" s="15"/>
      <c r="AE853" s="11"/>
      <c r="AG853" s="18"/>
    </row>
    <row r="854">
      <c r="B854" s="11"/>
      <c r="F854" s="13"/>
      <c r="G854" s="14"/>
      <c r="I854" s="15"/>
      <c r="AE854" s="11"/>
      <c r="AG854" s="18"/>
    </row>
    <row r="855">
      <c r="B855" s="11"/>
      <c r="F855" s="13"/>
      <c r="G855" s="14"/>
      <c r="I855" s="15"/>
      <c r="AE855" s="11"/>
      <c r="AG855" s="18"/>
    </row>
    <row r="856">
      <c r="B856" s="11"/>
      <c r="F856" s="13"/>
      <c r="G856" s="14"/>
      <c r="I856" s="15"/>
      <c r="AE856" s="11"/>
      <c r="AG856" s="18"/>
    </row>
    <row r="857">
      <c r="B857" s="11"/>
      <c r="F857" s="13"/>
      <c r="G857" s="14"/>
      <c r="I857" s="15"/>
      <c r="AE857" s="11"/>
      <c r="AG857" s="18"/>
    </row>
    <row r="858">
      <c r="B858" s="11"/>
      <c r="F858" s="13"/>
      <c r="G858" s="14"/>
      <c r="I858" s="15"/>
      <c r="AE858" s="11"/>
      <c r="AG858" s="18"/>
    </row>
    <row r="859">
      <c r="B859" s="11"/>
      <c r="F859" s="13"/>
      <c r="G859" s="14"/>
      <c r="I859" s="15"/>
      <c r="AE859" s="11"/>
      <c r="AG859" s="18"/>
    </row>
    <row r="860">
      <c r="B860" s="11"/>
      <c r="F860" s="13"/>
      <c r="G860" s="14"/>
      <c r="I860" s="15"/>
      <c r="AE860" s="11"/>
      <c r="AG860" s="18"/>
    </row>
    <row r="861">
      <c r="B861" s="11"/>
      <c r="F861" s="13"/>
      <c r="G861" s="14"/>
      <c r="I861" s="15"/>
      <c r="AE861" s="11"/>
      <c r="AG861" s="18"/>
    </row>
    <row r="862">
      <c r="B862" s="11"/>
      <c r="F862" s="13"/>
      <c r="G862" s="14"/>
      <c r="I862" s="15"/>
      <c r="AE862" s="11"/>
      <c r="AG862" s="18"/>
    </row>
    <row r="863">
      <c r="B863" s="11"/>
      <c r="F863" s="13"/>
      <c r="G863" s="14"/>
      <c r="I863" s="15"/>
      <c r="AE863" s="11"/>
      <c r="AG863" s="18"/>
    </row>
    <row r="864">
      <c r="B864" s="11"/>
      <c r="F864" s="13"/>
      <c r="G864" s="14"/>
      <c r="I864" s="15"/>
      <c r="AE864" s="11"/>
      <c r="AG864" s="18"/>
    </row>
    <row r="865">
      <c r="B865" s="11"/>
      <c r="F865" s="13"/>
      <c r="G865" s="14"/>
      <c r="I865" s="15"/>
      <c r="AE865" s="11"/>
      <c r="AG865" s="18"/>
    </row>
    <row r="866">
      <c r="B866" s="11"/>
      <c r="F866" s="13"/>
      <c r="G866" s="14"/>
      <c r="I866" s="15"/>
      <c r="AE866" s="11"/>
      <c r="AG866" s="18"/>
    </row>
    <row r="867">
      <c r="B867" s="11"/>
      <c r="F867" s="13"/>
      <c r="G867" s="14"/>
      <c r="I867" s="15"/>
      <c r="AE867" s="11"/>
      <c r="AG867" s="18"/>
    </row>
    <row r="868">
      <c r="B868" s="11"/>
      <c r="F868" s="13"/>
      <c r="G868" s="14"/>
      <c r="I868" s="15"/>
      <c r="AE868" s="11"/>
      <c r="AG868" s="18"/>
    </row>
    <row r="869">
      <c r="B869" s="11"/>
      <c r="F869" s="13"/>
      <c r="G869" s="14"/>
      <c r="I869" s="15"/>
      <c r="AE869" s="11"/>
      <c r="AG869" s="18"/>
    </row>
    <row r="870">
      <c r="B870" s="11"/>
      <c r="F870" s="13"/>
      <c r="G870" s="14"/>
      <c r="I870" s="15"/>
      <c r="AE870" s="11"/>
      <c r="AG870" s="18"/>
    </row>
    <row r="871">
      <c r="B871" s="11"/>
      <c r="F871" s="13"/>
      <c r="G871" s="14"/>
      <c r="I871" s="15"/>
      <c r="AE871" s="11"/>
      <c r="AG871" s="18"/>
    </row>
    <row r="872">
      <c r="B872" s="11"/>
      <c r="F872" s="13"/>
      <c r="G872" s="14"/>
      <c r="I872" s="15"/>
      <c r="AE872" s="11"/>
      <c r="AG872" s="18"/>
    </row>
    <row r="873">
      <c r="B873" s="11"/>
      <c r="F873" s="13"/>
      <c r="G873" s="14"/>
      <c r="I873" s="15"/>
      <c r="AE873" s="11"/>
      <c r="AG873" s="18"/>
    </row>
    <row r="874">
      <c r="B874" s="11"/>
      <c r="F874" s="13"/>
      <c r="G874" s="14"/>
      <c r="I874" s="15"/>
      <c r="AE874" s="11"/>
      <c r="AG874" s="18"/>
    </row>
    <row r="875">
      <c r="B875" s="11"/>
      <c r="F875" s="13"/>
      <c r="G875" s="14"/>
      <c r="I875" s="15"/>
      <c r="AE875" s="11"/>
      <c r="AG875" s="18"/>
    </row>
    <row r="876">
      <c r="B876" s="11"/>
      <c r="F876" s="13"/>
      <c r="G876" s="14"/>
      <c r="I876" s="15"/>
      <c r="AE876" s="11"/>
      <c r="AG876" s="18"/>
    </row>
    <row r="877">
      <c r="B877" s="11"/>
      <c r="F877" s="13"/>
      <c r="G877" s="14"/>
      <c r="I877" s="15"/>
      <c r="AE877" s="11"/>
      <c r="AG877" s="18"/>
    </row>
    <row r="878">
      <c r="B878" s="11"/>
      <c r="F878" s="13"/>
      <c r="G878" s="14"/>
      <c r="I878" s="15"/>
      <c r="AE878" s="11"/>
      <c r="AG878" s="18"/>
    </row>
    <row r="879">
      <c r="B879" s="11"/>
      <c r="F879" s="13"/>
      <c r="G879" s="14"/>
      <c r="I879" s="15"/>
      <c r="AE879" s="11"/>
      <c r="AG879" s="18"/>
    </row>
    <row r="880">
      <c r="B880" s="11"/>
      <c r="F880" s="13"/>
      <c r="G880" s="14"/>
      <c r="I880" s="15"/>
      <c r="AE880" s="11"/>
      <c r="AG880" s="18"/>
    </row>
    <row r="881">
      <c r="B881" s="11"/>
      <c r="F881" s="13"/>
      <c r="G881" s="14"/>
      <c r="I881" s="15"/>
      <c r="AE881" s="11"/>
      <c r="AG881" s="18"/>
    </row>
    <row r="882">
      <c r="B882" s="11"/>
      <c r="F882" s="13"/>
      <c r="G882" s="14"/>
      <c r="I882" s="15"/>
      <c r="AE882" s="11"/>
      <c r="AG882" s="18"/>
    </row>
    <row r="883">
      <c r="B883" s="11"/>
      <c r="F883" s="13"/>
      <c r="G883" s="14"/>
      <c r="I883" s="15"/>
      <c r="AE883" s="11"/>
      <c r="AG883" s="18"/>
    </row>
    <row r="884">
      <c r="B884" s="11"/>
      <c r="F884" s="13"/>
      <c r="G884" s="14"/>
      <c r="I884" s="15"/>
      <c r="AE884" s="11"/>
      <c r="AG884" s="18"/>
    </row>
    <row r="885">
      <c r="B885" s="11"/>
      <c r="F885" s="13"/>
      <c r="G885" s="14"/>
      <c r="I885" s="15"/>
      <c r="AE885" s="11"/>
      <c r="AG885" s="18"/>
    </row>
    <row r="886">
      <c r="B886" s="11"/>
      <c r="F886" s="13"/>
      <c r="G886" s="14"/>
      <c r="I886" s="15"/>
      <c r="AE886" s="11"/>
      <c r="AG886" s="18"/>
    </row>
    <row r="887">
      <c r="B887" s="11"/>
      <c r="F887" s="13"/>
      <c r="G887" s="14"/>
      <c r="I887" s="15"/>
      <c r="AE887" s="11"/>
      <c r="AG887" s="18"/>
    </row>
    <row r="888">
      <c r="B888" s="11"/>
      <c r="F888" s="13"/>
      <c r="G888" s="14"/>
      <c r="I888" s="15"/>
      <c r="AE888" s="11"/>
      <c r="AG888" s="18"/>
    </row>
    <row r="889">
      <c r="B889" s="11"/>
      <c r="F889" s="13"/>
      <c r="G889" s="14"/>
      <c r="I889" s="15"/>
      <c r="AE889" s="11"/>
      <c r="AG889" s="18"/>
    </row>
    <row r="890">
      <c r="B890" s="11"/>
      <c r="F890" s="13"/>
      <c r="G890" s="14"/>
      <c r="I890" s="15"/>
      <c r="AE890" s="11"/>
      <c r="AG890" s="18"/>
    </row>
    <row r="891">
      <c r="B891" s="11"/>
      <c r="F891" s="13"/>
      <c r="G891" s="14"/>
      <c r="I891" s="15"/>
      <c r="AE891" s="11"/>
      <c r="AG891" s="18"/>
    </row>
    <row r="892">
      <c r="B892" s="11"/>
      <c r="F892" s="13"/>
      <c r="G892" s="14"/>
      <c r="I892" s="15"/>
      <c r="AE892" s="11"/>
      <c r="AG892" s="18"/>
    </row>
    <row r="893">
      <c r="B893" s="11"/>
      <c r="F893" s="13"/>
      <c r="G893" s="14"/>
      <c r="I893" s="15"/>
      <c r="AE893" s="11"/>
      <c r="AG893" s="18"/>
    </row>
    <row r="894">
      <c r="B894" s="11"/>
      <c r="F894" s="13"/>
      <c r="G894" s="14"/>
      <c r="I894" s="15"/>
      <c r="AE894" s="11"/>
      <c r="AG894" s="18"/>
    </row>
    <row r="895">
      <c r="B895" s="11"/>
      <c r="F895" s="13"/>
      <c r="G895" s="14"/>
      <c r="I895" s="15"/>
      <c r="AE895" s="11"/>
      <c r="AG895" s="18"/>
    </row>
    <row r="896">
      <c r="B896" s="11"/>
      <c r="F896" s="13"/>
      <c r="G896" s="14"/>
      <c r="I896" s="15"/>
      <c r="AE896" s="11"/>
      <c r="AG896" s="18"/>
    </row>
    <row r="897">
      <c r="B897" s="11"/>
      <c r="F897" s="13"/>
      <c r="G897" s="14"/>
      <c r="I897" s="15"/>
      <c r="AE897" s="11"/>
      <c r="AG897" s="18"/>
    </row>
    <row r="898">
      <c r="B898" s="11"/>
      <c r="F898" s="13"/>
      <c r="G898" s="14"/>
      <c r="I898" s="15"/>
      <c r="AE898" s="11"/>
      <c r="AG898" s="18"/>
    </row>
    <row r="899">
      <c r="B899" s="11"/>
      <c r="F899" s="13"/>
      <c r="G899" s="14"/>
      <c r="I899" s="15"/>
      <c r="AE899" s="11"/>
      <c r="AG899" s="18"/>
    </row>
    <row r="900">
      <c r="B900" s="11"/>
      <c r="F900" s="13"/>
      <c r="G900" s="14"/>
      <c r="I900" s="15"/>
      <c r="AE900" s="11"/>
      <c r="AG900" s="18"/>
    </row>
    <row r="901">
      <c r="B901" s="11"/>
      <c r="F901" s="13"/>
      <c r="G901" s="14"/>
      <c r="I901" s="15"/>
      <c r="AE901" s="11"/>
      <c r="AG901" s="18"/>
    </row>
    <row r="902">
      <c r="B902" s="11"/>
      <c r="F902" s="13"/>
      <c r="G902" s="14"/>
      <c r="I902" s="15"/>
      <c r="AE902" s="11"/>
      <c r="AG902" s="18"/>
    </row>
    <row r="903">
      <c r="B903" s="11"/>
      <c r="F903" s="13"/>
      <c r="G903" s="14"/>
      <c r="I903" s="15"/>
      <c r="AE903" s="11"/>
      <c r="AG903" s="18"/>
    </row>
    <row r="904">
      <c r="B904" s="11"/>
      <c r="F904" s="13"/>
      <c r="G904" s="14"/>
      <c r="I904" s="15"/>
      <c r="AE904" s="11"/>
      <c r="AG904" s="18"/>
    </row>
    <row r="905">
      <c r="B905" s="11"/>
      <c r="F905" s="13"/>
      <c r="G905" s="14"/>
      <c r="I905" s="15"/>
      <c r="AE905" s="11"/>
      <c r="AG905" s="18"/>
    </row>
    <row r="906">
      <c r="B906" s="11"/>
      <c r="F906" s="13"/>
      <c r="G906" s="14"/>
      <c r="I906" s="15"/>
      <c r="AE906" s="11"/>
      <c r="AG906" s="18"/>
    </row>
    <row r="907">
      <c r="B907" s="11"/>
      <c r="F907" s="13"/>
      <c r="G907" s="14"/>
      <c r="I907" s="15"/>
      <c r="AE907" s="11"/>
      <c r="AG907" s="18"/>
    </row>
    <row r="908">
      <c r="B908" s="11"/>
      <c r="F908" s="13"/>
      <c r="G908" s="14"/>
      <c r="I908" s="15"/>
      <c r="AE908" s="11"/>
      <c r="AG908" s="18"/>
    </row>
    <row r="909">
      <c r="B909" s="11"/>
      <c r="F909" s="13"/>
      <c r="G909" s="14"/>
      <c r="I909" s="15"/>
      <c r="AE909" s="11"/>
      <c r="AG909" s="18"/>
    </row>
    <row r="910">
      <c r="B910" s="11"/>
      <c r="F910" s="13"/>
      <c r="G910" s="14"/>
      <c r="I910" s="15"/>
      <c r="AE910" s="11"/>
      <c r="AG910" s="18"/>
    </row>
    <row r="911">
      <c r="B911" s="11"/>
      <c r="F911" s="13"/>
      <c r="G911" s="14"/>
      <c r="I911" s="15"/>
      <c r="AE911" s="11"/>
      <c r="AG911" s="18"/>
    </row>
    <row r="912">
      <c r="B912" s="11"/>
      <c r="F912" s="13"/>
      <c r="G912" s="14"/>
      <c r="I912" s="15"/>
      <c r="AE912" s="11"/>
      <c r="AG912" s="18"/>
    </row>
    <row r="913">
      <c r="B913" s="11"/>
      <c r="F913" s="13"/>
      <c r="G913" s="14"/>
      <c r="I913" s="15"/>
      <c r="AE913" s="11"/>
      <c r="AG913" s="18"/>
    </row>
    <row r="914">
      <c r="B914" s="11"/>
      <c r="F914" s="13"/>
      <c r="G914" s="14"/>
      <c r="I914" s="15"/>
      <c r="AE914" s="11"/>
      <c r="AG914" s="18"/>
    </row>
    <row r="915">
      <c r="B915" s="11"/>
      <c r="F915" s="13"/>
      <c r="G915" s="14"/>
      <c r="I915" s="15"/>
      <c r="AE915" s="11"/>
      <c r="AG915" s="18"/>
    </row>
    <row r="916">
      <c r="B916" s="11"/>
      <c r="F916" s="13"/>
      <c r="G916" s="14"/>
      <c r="I916" s="15"/>
      <c r="AE916" s="11"/>
      <c r="AG916" s="18"/>
    </row>
    <row r="917">
      <c r="B917" s="11"/>
      <c r="F917" s="13"/>
      <c r="G917" s="14"/>
      <c r="I917" s="15"/>
      <c r="AE917" s="11"/>
      <c r="AG917" s="18"/>
    </row>
    <row r="918">
      <c r="B918" s="11"/>
      <c r="F918" s="13"/>
      <c r="G918" s="14"/>
      <c r="I918" s="15"/>
      <c r="AE918" s="11"/>
      <c r="AG918" s="18"/>
    </row>
    <row r="919">
      <c r="B919" s="11"/>
      <c r="F919" s="13"/>
      <c r="G919" s="14"/>
      <c r="I919" s="15"/>
      <c r="AE919" s="11"/>
      <c r="AG919" s="18"/>
    </row>
    <row r="920">
      <c r="B920" s="11"/>
      <c r="F920" s="13"/>
      <c r="G920" s="14"/>
      <c r="I920" s="15"/>
      <c r="AE920" s="11"/>
      <c r="AG920" s="18"/>
    </row>
    <row r="921">
      <c r="B921" s="11"/>
      <c r="F921" s="13"/>
      <c r="G921" s="14"/>
      <c r="I921" s="15"/>
      <c r="AE921" s="11"/>
      <c r="AG921" s="18"/>
    </row>
    <row r="922">
      <c r="B922" s="11"/>
      <c r="F922" s="13"/>
      <c r="G922" s="14"/>
      <c r="I922" s="15"/>
      <c r="AE922" s="11"/>
      <c r="AG922" s="18"/>
    </row>
    <row r="923">
      <c r="B923" s="11"/>
      <c r="F923" s="13"/>
      <c r="G923" s="14"/>
      <c r="I923" s="15"/>
      <c r="AE923" s="11"/>
      <c r="AG923" s="18"/>
    </row>
    <row r="924">
      <c r="B924" s="11"/>
      <c r="F924" s="13"/>
      <c r="G924" s="14"/>
      <c r="I924" s="15"/>
      <c r="AE924" s="11"/>
      <c r="AG924" s="18"/>
    </row>
    <row r="925">
      <c r="B925" s="11"/>
      <c r="F925" s="13"/>
      <c r="G925" s="14"/>
      <c r="I925" s="15"/>
      <c r="AE925" s="11"/>
      <c r="AG925" s="18"/>
    </row>
    <row r="926">
      <c r="B926" s="11"/>
      <c r="F926" s="13"/>
      <c r="G926" s="14"/>
      <c r="I926" s="15"/>
      <c r="AE926" s="11"/>
      <c r="AG926" s="18"/>
    </row>
    <row r="927">
      <c r="B927" s="11"/>
      <c r="F927" s="13"/>
      <c r="G927" s="14"/>
      <c r="I927" s="15"/>
      <c r="AE927" s="11"/>
      <c r="AG927" s="18"/>
    </row>
    <row r="928">
      <c r="B928" s="11"/>
      <c r="F928" s="13"/>
      <c r="G928" s="14"/>
      <c r="I928" s="15"/>
      <c r="AE928" s="11"/>
      <c r="AG928" s="18"/>
    </row>
    <row r="929">
      <c r="B929" s="11"/>
      <c r="F929" s="13"/>
      <c r="G929" s="14"/>
      <c r="I929" s="15"/>
      <c r="AE929" s="11"/>
      <c r="AG929" s="18"/>
    </row>
    <row r="930">
      <c r="B930" s="11"/>
      <c r="F930" s="13"/>
      <c r="G930" s="14"/>
      <c r="I930" s="15"/>
      <c r="AE930" s="11"/>
      <c r="AG930" s="18"/>
    </row>
    <row r="931">
      <c r="B931" s="11"/>
      <c r="F931" s="13"/>
      <c r="G931" s="14"/>
      <c r="I931" s="15"/>
      <c r="AE931" s="11"/>
      <c r="AG931" s="18"/>
    </row>
    <row r="932">
      <c r="B932" s="11"/>
      <c r="F932" s="13"/>
      <c r="G932" s="14"/>
      <c r="I932" s="15"/>
      <c r="AE932" s="11"/>
      <c r="AG932" s="18"/>
    </row>
    <row r="933">
      <c r="B933" s="11"/>
      <c r="F933" s="13"/>
      <c r="G933" s="14"/>
      <c r="I933" s="15"/>
      <c r="AE933" s="11"/>
      <c r="AG933" s="18"/>
    </row>
    <row r="934">
      <c r="B934" s="11"/>
      <c r="F934" s="13"/>
      <c r="G934" s="14"/>
      <c r="I934" s="15"/>
      <c r="AE934" s="11"/>
      <c r="AG934" s="18"/>
    </row>
    <row r="935">
      <c r="B935" s="11"/>
      <c r="F935" s="13"/>
      <c r="G935" s="14"/>
      <c r="I935" s="15"/>
      <c r="AE935" s="11"/>
      <c r="AG935" s="18"/>
    </row>
    <row r="936">
      <c r="B936" s="11"/>
      <c r="F936" s="13"/>
      <c r="G936" s="14"/>
      <c r="I936" s="15"/>
      <c r="AE936" s="11"/>
      <c r="AG936" s="18"/>
    </row>
    <row r="937">
      <c r="B937" s="11"/>
      <c r="F937" s="13"/>
      <c r="G937" s="14"/>
      <c r="I937" s="15"/>
      <c r="AE937" s="11"/>
      <c r="AG937" s="18"/>
    </row>
    <row r="938">
      <c r="B938" s="11"/>
      <c r="F938" s="13"/>
      <c r="G938" s="14"/>
      <c r="I938" s="15"/>
      <c r="AE938" s="11"/>
      <c r="AG938" s="18"/>
    </row>
    <row r="939">
      <c r="B939" s="11"/>
      <c r="F939" s="13"/>
      <c r="G939" s="14"/>
      <c r="I939" s="15"/>
      <c r="AE939" s="11"/>
      <c r="AG939" s="18"/>
    </row>
    <row r="940">
      <c r="B940" s="11"/>
      <c r="F940" s="13"/>
      <c r="G940" s="14"/>
      <c r="I940" s="15"/>
      <c r="AE940" s="11"/>
      <c r="AG940" s="18"/>
    </row>
    <row r="941">
      <c r="B941" s="11"/>
      <c r="F941" s="13"/>
      <c r="G941" s="14"/>
      <c r="I941" s="15"/>
      <c r="AE941" s="11"/>
      <c r="AG941" s="18"/>
    </row>
    <row r="942">
      <c r="B942" s="11"/>
      <c r="F942" s="13"/>
      <c r="G942" s="14"/>
      <c r="I942" s="15"/>
      <c r="AE942" s="11"/>
      <c r="AG942" s="18"/>
    </row>
    <row r="943">
      <c r="B943" s="11"/>
      <c r="F943" s="13"/>
      <c r="G943" s="14"/>
      <c r="I943" s="15"/>
      <c r="AE943" s="11"/>
      <c r="AG943" s="18"/>
    </row>
    <row r="944">
      <c r="B944" s="11"/>
      <c r="F944" s="13"/>
      <c r="G944" s="14"/>
      <c r="I944" s="15"/>
      <c r="AE944" s="11"/>
      <c r="AG944" s="18"/>
    </row>
    <row r="945">
      <c r="B945" s="11"/>
      <c r="F945" s="13"/>
      <c r="G945" s="14"/>
      <c r="I945" s="15"/>
      <c r="AE945" s="11"/>
      <c r="AG945" s="18"/>
    </row>
    <row r="946">
      <c r="B946" s="11"/>
      <c r="F946" s="13"/>
      <c r="G946" s="14"/>
      <c r="I946" s="15"/>
      <c r="AE946" s="11"/>
      <c r="AG946" s="18"/>
    </row>
    <row r="947">
      <c r="B947" s="11"/>
      <c r="F947" s="13"/>
      <c r="G947" s="14"/>
      <c r="I947" s="15"/>
      <c r="AE947" s="11"/>
      <c r="AG947" s="18"/>
    </row>
    <row r="948">
      <c r="B948" s="11"/>
      <c r="F948" s="13"/>
      <c r="G948" s="14"/>
      <c r="I948" s="15"/>
      <c r="AE948" s="11"/>
      <c r="AG948" s="18"/>
    </row>
    <row r="949">
      <c r="B949" s="11"/>
      <c r="F949" s="13"/>
      <c r="G949" s="14"/>
      <c r="I949" s="15"/>
      <c r="AE949" s="11"/>
      <c r="AG949" s="18"/>
    </row>
    <row r="950">
      <c r="B950" s="11"/>
      <c r="F950" s="13"/>
      <c r="G950" s="14"/>
      <c r="I950" s="15"/>
      <c r="AE950" s="11"/>
      <c r="AG950" s="18"/>
    </row>
    <row r="951">
      <c r="B951" s="11"/>
      <c r="F951" s="13"/>
      <c r="G951" s="14"/>
      <c r="I951" s="15"/>
      <c r="AE951" s="11"/>
      <c r="AG951" s="18"/>
    </row>
    <row r="952">
      <c r="B952" s="11"/>
      <c r="F952" s="13"/>
      <c r="G952" s="14"/>
      <c r="I952" s="15"/>
      <c r="AE952" s="11"/>
      <c r="AG952" s="18"/>
    </row>
    <row r="953">
      <c r="B953" s="11"/>
      <c r="F953" s="13"/>
      <c r="G953" s="14"/>
      <c r="I953" s="15"/>
      <c r="AE953" s="11"/>
      <c r="AG953" s="18"/>
    </row>
    <row r="954">
      <c r="B954" s="11"/>
      <c r="F954" s="13"/>
      <c r="G954" s="14"/>
      <c r="I954" s="15"/>
      <c r="AE954" s="11"/>
      <c r="AG954" s="18"/>
    </row>
    <row r="955">
      <c r="B955" s="11"/>
      <c r="F955" s="13"/>
      <c r="G955" s="14"/>
      <c r="I955" s="15"/>
      <c r="AE955" s="11"/>
      <c r="AG955" s="18"/>
    </row>
    <row r="956">
      <c r="B956" s="11"/>
      <c r="F956" s="13"/>
      <c r="G956" s="14"/>
      <c r="I956" s="15"/>
      <c r="AE956" s="11"/>
      <c r="AG956" s="18"/>
    </row>
    <row r="957">
      <c r="B957" s="11"/>
      <c r="F957" s="13"/>
      <c r="G957" s="14"/>
      <c r="I957" s="15"/>
      <c r="AE957" s="11"/>
      <c r="AG957" s="18"/>
    </row>
    <row r="958">
      <c r="B958" s="11"/>
      <c r="F958" s="13"/>
      <c r="G958" s="14"/>
      <c r="I958" s="15"/>
      <c r="AE958" s="11"/>
      <c r="AG958" s="18"/>
    </row>
    <row r="959">
      <c r="B959" s="11"/>
      <c r="F959" s="13"/>
      <c r="G959" s="14"/>
      <c r="I959" s="15"/>
      <c r="AE959" s="11"/>
      <c r="AG959" s="18"/>
    </row>
    <row r="960">
      <c r="B960" s="11"/>
      <c r="F960" s="13"/>
      <c r="G960" s="14"/>
      <c r="I960" s="15"/>
      <c r="AE960" s="11"/>
      <c r="AG960" s="18"/>
    </row>
    <row r="961">
      <c r="B961" s="11"/>
      <c r="F961" s="13"/>
      <c r="G961" s="14"/>
      <c r="I961" s="15"/>
      <c r="AE961" s="11"/>
      <c r="AG961" s="18"/>
    </row>
    <row r="962">
      <c r="B962" s="11"/>
      <c r="F962" s="13"/>
      <c r="G962" s="14"/>
      <c r="I962" s="15"/>
      <c r="AE962" s="11"/>
      <c r="AG962" s="18"/>
    </row>
    <row r="963">
      <c r="B963" s="11"/>
      <c r="F963" s="13"/>
      <c r="G963" s="14"/>
      <c r="I963" s="15"/>
      <c r="AE963" s="11"/>
      <c r="AG963" s="18"/>
    </row>
    <row r="964">
      <c r="B964" s="11"/>
      <c r="F964" s="13"/>
      <c r="G964" s="14"/>
      <c r="I964" s="15"/>
      <c r="AE964" s="11"/>
      <c r="AG964" s="18"/>
    </row>
    <row r="965">
      <c r="B965" s="11"/>
      <c r="F965" s="13"/>
      <c r="G965" s="14"/>
      <c r="I965" s="15"/>
      <c r="AE965" s="11"/>
      <c r="AG965" s="18"/>
    </row>
    <row r="966">
      <c r="B966" s="11"/>
      <c r="F966" s="13"/>
      <c r="G966" s="14"/>
      <c r="I966" s="15"/>
      <c r="AE966" s="11"/>
      <c r="AG966" s="18"/>
    </row>
    <row r="967">
      <c r="B967" s="11"/>
      <c r="F967" s="13"/>
      <c r="G967" s="14"/>
      <c r="I967" s="15"/>
      <c r="AE967" s="11"/>
      <c r="AG967" s="18"/>
    </row>
    <row r="968">
      <c r="B968" s="11"/>
      <c r="F968" s="13"/>
      <c r="G968" s="14"/>
      <c r="I968" s="15"/>
      <c r="AE968" s="11"/>
      <c r="AG968" s="18"/>
    </row>
    <row r="969">
      <c r="B969" s="11"/>
      <c r="F969" s="13"/>
      <c r="G969" s="14"/>
      <c r="I969" s="15"/>
      <c r="AE969" s="11"/>
      <c r="AG969" s="18"/>
    </row>
    <row r="970">
      <c r="B970" s="11"/>
      <c r="F970" s="13"/>
      <c r="G970" s="14"/>
      <c r="I970" s="15"/>
      <c r="AE970" s="11"/>
      <c r="AG970" s="18"/>
    </row>
    <row r="971">
      <c r="B971" s="11"/>
      <c r="F971" s="13"/>
      <c r="G971" s="14"/>
      <c r="I971" s="15"/>
      <c r="AE971" s="11"/>
      <c r="AG971" s="18"/>
    </row>
    <row r="972">
      <c r="B972" s="11"/>
      <c r="F972" s="13"/>
      <c r="G972" s="14"/>
      <c r="I972" s="15"/>
      <c r="AE972" s="11"/>
      <c r="AG972" s="18"/>
    </row>
    <row r="973">
      <c r="B973" s="11"/>
      <c r="F973" s="13"/>
      <c r="G973" s="14"/>
      <c r="I973" s="15"/>
      <c r="AE973" s="11"/>
      <c r="AG973" s="18"/>
    </row>
    <row r="974">
      <c r="B974" s="11"/>
      <c r="F974" s="13"/>
      <c r="G974" s="14"/>
      <c r="I974" s="15"/>
      <c r="AE974" s="11"/>
      <c r="AG974" s="18"/>
    </row>
  </sheetData>
  <conditionalFormatting sqref="AG1:AG974">
    <cfRule type="containsBlanks" dxfId="0" priority="1">
      <formula>LEN(TRIM(AG1))=0</formula>
    </cfRule>
  </conditionalFormatting>
  <conditionalFormatting sqref="AG1:AG974">
    <cfRule type="containsText" dxfId="1" priority="2" operator="containsText" text="KR">
      <formula>NOT(ISERROR(SEARCH(("KR"),(AG1))))</formula>
    </cfRule>
  </conditionalFormatting>
  <conditionalFormatting sqref="AG1:AG974">
    <cfRule type="beginsWith" dxfId="2" priority="3" operator="beginsWith" text="cancel">
      <formula>LEFT((AG1),LEN("cancel"))=("cancel")</formula>
    </cfRule>
  </conditionalFormatting>
  <conditionalFormatting sqref="AG1:AG974">
    <cfRule type="containsText" dxfId="1" priority="4" operator="containsText" text="J">
      <formula>NOT(ISERROR(SEARCH(("J"),(AG1))))</formula>
    </cfRule>
  </conditionalFormatting>
  <conditionalFormatting sqref="AG1:AG974">
    <cfRule type="containsText" dxfId="1" priority="5" operator="containsText" text="ND">
      <formula>NOT(ISERROR(SEARCH(("ND"),(AG1))))</formula>
    </cfRule>
  </conditionalFormatting>
  <conditionalFormatting sqref="AG1:AG974">
    <cfRule type="containsText" dxfId="1" priority="6" operator="containsText" text="SF">
      <formula>NOT(ISERROR(SEARCH(("SF"),(AG1))))</formula>
    </cfRule>
  </conditionalFormatting>
  <conditionalFormatting sqref="AG1:AG974">
    <cfRule type="containsText" dxfId="1" priority="7" operator="containsText" text="LS">
      <formula>NOT(ISERROR(SEARCH(("LS"),(AG1))))</formula>
    </cfRule>
  </conditionalFormatting>
  <conditionalFormatting sqref="AG1:AG974">
    <cfRule type="containsText" dxfId="1" priority="8" operator="containsText" text="SW">
      <formula>NOT(ISERROR(SEARCH(("SW"),(AG1))))</formula>
    </cfRule>
  </conditionalFormatting>
  <conditionalFormatting sqref="AG1:AG974">
    <cfRule type="containsText" dxfId="1" priority="9" operator="containsText" text="SE">
      <formula>NOT(ISERROR(SEARCH(("SE"),(AG1))))</formula>
    </cfRule>
  </conditionalFormatting>
  <conditionalFormatting sqref="AG1:AG974">
    <cfRule type="containsText" dxfId="1" priority="10" operator="containsText" text="pm">
      <formula>NOT(ISERROR(SEARCH(("pm"),(AG1))))</formula>
    </cfRule>
  </conditionalFormatting>
  <conditionalFormatting sqref="AH1:AH974 AG187:AG188">
    <cfRule type="containsBlanks" dxfId="0" priority="11">
      <formula>LEN(TRIM(AH1))=0</formula>
    </cfRule>
  </conditionalFormatting>
  <conditionalFormatting sqref="AH1:AH974 AG187:AG188">
    <cfRule type="notContainsBlanks" dxfId="1" priority="12">
      <formula>LEN(TRIM(AH1))&gt;0</formula>
    </cfRule>
  </conditionalFormatting>
  <conditionalFormatting sqref="AG1:AG974">
    <cfRule type="notContainsBlanks" dxfId="1" priority="13">
      <formula>LEN(TRIM(AG1))&gt;0</formula>
    </cfRule>
  </conditionalFormatting>
  <hyperlinks>
    <hyperlink r:id="rId1" ref="AJ27"/>
    <hyperlink r:id="rId2" ref="AJ28"/>
    <hyperlink r:id="rId3" ref="AJ29"/>
    <hyperlink r:id="rId4" ref="AJ30"/>
    <hyperlink r:id="rId5" ref="AJ31"/>
    <hyperlink r:id="rId6" ref="AJ32"/>
    <hyperlink r:id="rId7" ref="AJ33"/>
    <hyperlink r:id="rId8" ref="AJ34"/>
    <hyperlink r:id="rId9" ref="AJ35"/>
    <hyperlink r:id="rId10" ref="AJ36"/>
    <hyperlink r:id="rId11" ref="AJ37"/>
    <hyperlink r:id="rId12" ref="AJ38"/>
    <hyperlink r:id="rId13" ref="AJ39"/>
    <hyperlink r:id="rId14" ref="AJ41"/>
    <hyperlink r:id="rId15" ref="AJ42"/>
    <hyperlink r:id="rId16" ref="AJ43"/>
    <hyperlink r:id="rId17" ref="AJ44"/>
    <hyperlink r:id="rId18" ref="AJ45"/>
    <hyperlink r:id="rId19" ref="AJ46"/>
    <hyperlink r:id="rId20" ref="AJ47"/>
    <hyperlink r:id="rId21" ref="AJ48"/>
    <hyperlink r:id="rId22" ref="AJ49"/>
    <hyperlink r:id="rId23" ref="AJ50"/>
    <hyperlink r:id="rId24" ref="AJ51"/>
    <hyperlink r:id="rId25" ref="AJ52"/>
    <hyperlink r:id="rId26" ref="AJ53"/>
    <hyperlink r:id="rId27" ref="AJ54"/>
    <hyperlink r:id="rId28" ref="AJ55"/>
    <hyperlink r:id="rId29" ref="AJ56"/>
    <hyperlink r:id="rId30" ref="AJ57"/>
    <hyperlink r:id="rId31" ref="AJ58"/>
    <hyperlink r:id="rId32" ref="AJ59"/>
    <hyperlink r:id="rId33" ref="AJ60"/>
    <hyperlink r:id="rId34" ref="AJ61"/>
    <hyperlink r:id="rId35" ref="AJ62"/>
    <hyperlink r:id="rId36" ref="AJ63"/>
    <hyperlink r:id="rId37" ref="AJ64"/>
    <hyperlink r:id="rId38" ref="AJ65"/>
    <hyperlink r:id="rId39" ref="AJ66"/>
    <hyperlink r:id="rId40" ref="AJ67"/>
    <hyperlink r:id="rId41" ref="AJ68"/>
    <hyperlink r:id="rId42" ref="AJ69"/>
    <hyperlink r:id="rId43" ref="AJ70"/>
    <hyperlink r:id="rId44" ref="AJ71"/>
    <hyperlink r:id="rId45" ref="AJ72"/>
    <hyperlink r:id="rId46" ref="AJ73"/>
    <hyperlink r:id="rId47" ref="AJ74"/>
    <hyperlink r:id="rId48" ref="AJ75"/>
    <hyperlink r:id="rId49" ref="AJ76"/>
    <hyperlink r:id="rId50" ref="AJ77"/>
    <hyperlink r:id="rId51" ref="AJ78"/>
    <hyperlink r:id="rId52" ref="AJ79"/>
    <hyperlink r:id="rId53" ref="AJ80"/>
    <hyperlink r:id="rId54" ref="AJ81"/>
    <hyperlink r:id="rId55" ref="AJ82"/>
    <hyperlink r:id="rId56" ref="AJ83"/>
    <hyperlink r:id="rId57" ref="AJ84"/>
    <hyperlink r:id="rId58" ref="AJ85"/>
    <hyperlink r:id="rId59" ref="AJ86"/>
    <hyperlink r:id="rId60" ref="AJ87"/>
    <hyperlink r:id="rId61" ref="AJ88"/>
    <hyperlink r:id="rId62" ref="AJ89"/>
    <hyperlink r:id="rId63" ref="AJ90"/>
    <hyperlink r:id="rId64" ref="AJ91"/>
    <hyperlink r:id="rId65" ref="AJ92"/>
    <hyperlink r:id="rId66" ref="AJ93"/>
    <hyperlink r:id="rId67" ref="AJ94"/>
    <hyperlink r:id="rId68" ref="AJ95"/>
    <hyperlink r:id="rId69" ref="AJ96"/>
    <hyperlink r:id="rId70" ref="AJ97"/>
    <hyperlink r:id="rId71" ref="AJ98"/>
    <hyperlink r:id="rId72" ref="AJ99"/>
    <hyperlink r:id="rId73" ref="AJ100"/>
    <hyperlink r:id="rId74" ref="AJ101"/>
    <hyperlink r:id="rId75" ref="AJ102"/>
    <hyperlink r:id="rId76" ref="AJ103"/>
    <hyperlink r:id="rId77" ref="AJ104"/>
    <hyperlink r:id="rId78" ref="AJ105"/>
    <hyperlink r:id="rId79" ref="AJ106"/>
    <hyperlink r:id="rId80" ref="AJ107"/>
    <hyperlink r:id="rId81" ref="AJ108"/>
    <hyperlink r:id="rId82" ref="AJ109"/>
    <hyperlink r:id="rId83" ref="AJ110"/>
    <hyperlink r:id="rId84" ref="AJ111"/>
    <hyperlink r:id="rId85" ref="AJ112"/>
    <hyperlink r:id="rId86" ref="AJ113"/>
    <hyperlink r:id="rId87" ref="AJ114"/>
    <hyperlink r:id="rId88" ref="AJ115"/>
    <hyperlink r:id="rId89" ref="AJ116"/>
    <hyperlink r:id="rId90" ref="AJ117"/>
    <hyperlink r:id="rId91" ref="AJ118"/>
    <hyperlink r:id="rId92" ref="AJ119"/>
    <hyperlink r:id="rId93" ref="AJ120"/>
    <hyperlink r:id="rId94" ref="AJ121"/>
    <hyperlink r:id="rId95" ref="AJ122"/>
    <hyperlink r:id="rId96" ref="AJ123"/>
    <hyperlink r:id="rId97" ref="AJ124"/>
    <hyperlink r:id="rId98" ref="AJ125"/>
    <hyperlink r:id="rId99" ref="AJ126"/>
    <hyperlink r:id="rId100" ref="AJ127"/>
    <hyperlink r:id="rId101" ref="AJ128"/>
    <hyperlink r:id="rId102" ref="AJ129"/>
    <hyperlink r:id="rId103" ref="AJ130"/>
    <hyperlink r:id="rId104" ref="AJ131"/>
    <hyperlink r:id="rId105" ref="AJ132"/>
    <hyperlink r:id="rId106" ref="AJ133"/>
    <hyperlink r:id="rId107" ref="AJ134"/>
    <hyperlink r:id="rId108" ref="AJ135"/>
    <hyperlink r:id="rId109" ref="AJ136"/>
    <hyperlink r:id="rId110" ref="AJ137"/>
    <hyperlink r:id="rId111" ref="AJ138"/>
    <hyperlink r:id="rId112" ref="AJ139"/>
    <hyperlink r:id="rId113" ref="AJ140"/>
    <hyperlink r:id="rId114" ref="AJ141"/>
    <hyperlink r:id="rId115" ref="AJ142"/>
    <hyperlink r:id="rId116" ref="AJ143"/>
    <hyperlink r:id="rId117" ref="AJ144"/>
    <hyperlink r:id="rId118" ref="AJ145"/>
    <hyperlink r:id="rId119" ref="AJ146"/>
    <hyperlink r:id="rId120" ref="AJ147"/>
    <hyperlink r:id="rId121" ref="AJ148"/>
    <hyperlink r:id="rId122" ref="AJ149"/>
    <hyperlink r:id="rId123" ref="AJ150"/>
    <hyperlink r:id="rId124" ref="AJ151"/>
    <hyperlink r:id="rId125" ref="AJ152"/>
    <hyperlink r:id="rId126" ref="AJ153"/>
    <hyperlink r:id="rId127" ref="AJ154"/>
    <hyperlink r:id="rId128" ref="AJ155"/>
    <hyperlink r:id="rId129" ref="AJ156"/>
    <hyperlink r:id="rId130" ref="AJ157"/>
    <hyperlink r:id="rId131" ref="AJ158"/>
    <hyperlink r:id="rId132" ref="AJ159"/>
    <hyperlink r:id="rId133" ref="AJ160"/>
    <hyperlink r:id="rId134" ref="AJ161"/>
    <hyperlink r:id="rId135" ref="AJ162"/>
    <hyperlink r:id="rId136" ref="AJ163"/>
    <hyperlink r:id="rId137" ref="AJ164"/>
    <hyperlink r:id="rId138" ref="AJ165"/>
    <hyperlink r:id="rId139" ref="AJ166"/>
    <hyperlink r:id="rId140" ref="AJ167"/>
    <hyperlink r:id="rId141" ref="AJ168"/>
    <hyperlink r:id="rId142" ref="AJ169"/>
    <hyperlink r:id="rId143" ref="AJ170"/>
    <hyperlink r:id="rId144" ref="AJ171"/>
    <hyperlink r:id="rId145" ref="AJ172"/>
    <hyperlink r:id="rId146" ref="AJ173"/>
    <hyperlink r:id="rId147" ref="AJ174"/>
    <hyperlink r:id="rId148" ref="AJ175"/>
    <hyperlink r:id="rId149" ref="AJ176"/>
    <hyperlink r:id="rId150" ref="AJ177"/>
    <hyperlink r:id="rId151" ref="AJ178"/>
    <hyperlink r:id="rId152" ref="AJ179"/>
    <hyperlink r:id="rId153" ref="AJ180"/>
    <hyperlink r:id="rId154" ref="AJ181"/>
    <hyperlink r:id="rId155" ref="AJ182"/>
    <hyperlink r:id="rId156" ref="AJ183"/>
    <hyperlink r:id="rId157" ref="AJ184"/>
    <hyperlink r:id="rId158" ref="AJ185"/>
    <hyperlink r:id="rId159" ref="AJ186"/>
    <hyperlink r:id="rId160" ref="AJ187"/>
    <hyperlink r:id="rId161" ref="AJ188"/>
    <hyperlink r:id="rId162" ref="AJ189"/>
    <hyperlink r:id="rId163" ref="AJ190"/>
    <hyperlink r:id="rId164" ref="AJ191"/>
    <hyperlink r:id="rId165" ref="AJ192"/>
    <hyperlink r:id="rId166" ref="AJ193"/>
    <hyperlink r:id="rId167" ref="AJ194"/>
    <hyperlink r:id="rId168" ref="AJ195"/>
    <hyperlink r:id="rId169" ref="AJ196"/>
    <hyperlink r:id="rId170" ref="AJ197"/>
    <hyperlink r:id="rId171" ref="AJ198"/>
    <hyperlink r:id="rId172" ref="AJ199"/>
    <hyperlink r:id="rId173" ref="AJ200"/>
    <hyperlink r:id="rId174" ref="AJ201"/>
    <hyperlink r:id="rId175" ref="AJ202"/>
    <hyperlink r:id="rId176" ref="AJ203"/>
    <hyperlink r:id="rId177" ref="AJ204"/>
    <hyperlink r:id="rId178" ref="AJ206"/>
    <hyperlink r:id="rId179" ref="AJ207"/>
    <hyperlink r:id="rId180" ref="AJ208"/>
    <hyperlink r:id="rId181" ref="AJ209"/>
    <hyperlink r:id="rId182" ref="AJ210"/>
    <hyperlink r:id="rId183" ref="AJ211"/>
    <hyperlink r:id="rId184" ref="AJ212"/>
    <hyperlink r:id="rId185" ref="AJ213"/>
    <hyperlink r:id="rId186" ref="AJ214"/>
    <hyperlink r:id="rId187" ref="AJ215"/>
    <hyperlink r:id="rId188" ref="AJ216"/>
    <hyperlink r:id="rId189" ref="AJ217"/>
    <hyperlink r:id="rId190" ref="AJ218"/>
    <hyperlink r:id="rId191" ref="AJ219"/>
    <hyperlink r:id="rId192" ref="AJ220"/>
    <hyperlink r:id="rId193" ref="AJ221"/>
    <hyperlink r:id="rId194" ref="AJ222"/>
    <hyperlink r:id="rId195" ref="AJ223"/>
    <hyperlink r:id="rId196" ref="AJ224"/>
    <hyperlink r:id="rId197" ref="AJ225"/>
    <hyperlink r:id="rId198" ref="AJ226"/>
    <hyperlink r:id="rId199" ref="AJ227"/>
    <hyperlink r:id="rId200" ref="AJ228"/>
    <hyperlink r:id="rId201" ref="AJ229"/>
    <hyperlink r:id="rId202" ref="AJ230"/>
    <hyperlink r:id="rId203" ref="AJ231"/>
    <hyperlink r:id="rId204" ref="AJ232"/>
    <hyperlink r:id="rId205" ref="AJ233"/>
    <hyperlink r:id="rId206" ref="AJ234"/>
    <hyperlink r:id="rId207" ref="AJ235"/>
    <hyperlink r:id="rId208" ref="AJ236"/>
    <hyperlink r:id="rId209" ref="AJ237"/>
    <hyperlink r:id="rId210" ref="AJ238"/>
    <hyperlink r:id="rId211" ref="AJ239"/>
    <hyperlink r:id="rId212" ref="AJ240"/>
    <hyperlink r:id="rId213" ref="AJ241"/>
    <hyperlink r:id="rId214" ref="AJ242"/>
    <hyperlink r:id="rId215" ref="AJ243"/>
    <hyperlink r:id="rId216" ref="AJ244"/>
    <hyperlink r:id="rId217" ref="AJ245"/>
    <hyperlink r:id="rId218" ref="AJ246"/>
    <hyperlink r:id="rId219" ref="AJ247"/>
    <hyperlink r:id="rId220" ref="AJ248"/>
    <hyperlink r:id="rId221" ref="AJ249"/>
    <hyperlink r:id="rId222" ref="AJ250"/>
    <hyperlink r:id="rId223" ref="AJ251"/>
    <hyperlink r:id="rId224" ref="AJ252"/>
    <hyperlink r:id="rId225" ref="AJ253"/>
    <hyperlink r:id="rId226" ref="AJ254"/>
    <hyperlink r:id="rId227" ref="AJ255"/>
    <hyperlink r:id="rId228" ref="AJ256"/>
    <hyperlink r:id="rId229" ref="AJ257"/>
    <hyperlink r:id="rId230" ref="AJ258"/>
    <hyperlink r:id="rId231" ref="AJ259"/>
    <hyperlink r:id="rId232" ref="AJ260"/>
    <hyperlink r:id="rId233" ref="AJ261"/>
    <hyperlink r:id="rId234" ref="AJ262"/>
    <hyperlink r:id="rId235" ref="AJ263"/>
    <hyperlink r:id="rId236" ref="AJ264"/>
    <hyperlink r:id="rId237" ref="AJ265"/>
    <hyperlink r:id="rId238" ref="AJ266"/>
    <hyperlink r:id="rId239" ref="AJ267"/>
    <hyperlink r:id="rId240" ref="AJ268"/>
    <hyperlink r:id="rId241" ref="AJ269"/>
    <hyperlink r:id="rId242" ref="AJ270"/>
    <hyperlink r:id="rId243" ref="AJ271"/>
    <hyperlink r:id="rId244" ref="AJ272"/>
    <hyperlink r:id="rId245" ref="AJ273"/>
    <hyperlink r:id="rId246" ref="AJ274"/>
    <hyperlink r:id="rId247" ref="AJ275"/>
    <hyperlink r:id="rId248" ref="AJ276"/>
    <hyperlink r:id="rId249" ref="AJ277"/>
    <hyperlink r:id="rId250" ref="AJ278"/>
    <hyperlink r:id="rId251" ref="AJ279"/>
    <hyperlink r:id="rId252" ref="AJ280"/>
    <hyperlink r:id="rId253" ref="AJ281"/>
    <hyperlink r:id="rId254" ref="AJ282"/>
    <hyperlink r:id="rId255" ref="AJ283"/>
    <hyperlink r:id="rId256" ref="AJ284"/>
    <hyperlink r:id="rId257" ref="AJ285"/>
    <hyperlink r:id="rId258" ref="AJ286"/>
    <hyperlink r:id="rId259" ref="AJ287"/>
    <hyperlink r:id="rId260" ref="AJ288"/>
    <hyperlink r:id="rId261" ref="AJ289"/>
    <hyperlink r:id="rId262" ref="AJ290"/>
    <hyperlink r:id="rId263" ref="AJ291"/>
    <hyperlink r:id="rId264" ref="AJ292"/>
    <hyperlink r:id="rId265" ref="AJ293"/>
    <hyperlink r:id="rId266" ref="AJ294"/>
    <hyperlink r:id="rId267" ref="AJ295"/>
    <hyperlink r:id="rId268" ref="AJ296"/>
    <hyperlink r:id="rId269" ref="AJ297"/>
    <hyperlink r:id="rId270" ref="AJ298"/>
    <hyperlink r:id="rId271" ref="AJ299"/>
    <hyperlink r:id="rId272" ref="AJ300"/>
    <hyperlink r:id="rId273" ref="AJ301"/>
    <hyperlink r:id="rId274" ref="AJ302"/>
    <hyperlink r:id="rId275" ref="AJ303"/>
    <hyperlink r:id="rId276" ref="AJ304"/>
    <hyperlink r:id="rId277" ref="AJ305"/>
    <hyperlink r:id="rId278" ref="AJ306"/>
    <hyperlink r:id="rId279" ref="AJ307"/>
    <hyperlink r:id="rId280" ref="AJ308"/>
    <hyperlink r:id="rId281" ref="AJ309"/>
    <hyperlink r:id="rId282" ref="AJ310"/>
    <hyperlink r:id="rId283" ref="AJ311"/>
    <hyperlink r:id="rId284" ref="AJ312"/>
    <hyperlink r:id="rId285" ref="AJ313"/>
    <hyperlink r:id="rId286" ref="AJ314"/>
    <hyperlink r:id="rId287" ref="AJ315"/>
    <hyperlink r:id="rId288" ref="AJ316"/>
    <hyperlink r:id="rId289" ref="AJ317"/>
    <hyperlink r:id="rId290" ref="AJ318"/>
    <hyperlink r:id="rId291" ref="AJ319"/>
    <hyperlink r:id="rId292" ref="AJ320"/>
    <hyperlink r:id="rId293" ref="AJ321"/>
    <hyperlink r:id="rId294" ref="AJ322"/>
    <hyperlink r:id="rId295" ref="AJ323"/>
    <hyperlink r:id="rId296" ref="AJ324"/>
    <hyperlink r:id="rId297" ref="AJ325"/>
    <hyperlink r:id="rId298" ref="AJ326"/>
    <hyperlink r:id="rId299" ref="AJ327"/>
    <hyperlink r:id="rId300" ref="AJ328"/>
    <hyperlink r:id="rId301" ref="AJ329"/>
    <hyperlink r:id="rId302" ref="AJ330"/>
    <hyperlink r:id="rId303" ref="AJ331"/>
    <hyperlink r:id="rId304" ref="AJ332"/>
    <hyperlink r:id="rId305" ref="AJ333"/>
    <hyperlink r:id="rId306" ref="AJ334"/>
    <hyperlink r:id="rId307" ref="AJ335"/>
    <hyperlink r:id="rId308" ref="AJ336"/>
    <hyperlink r:id="rId309" ref="AJ337"/>
    <hyperlink r:id="rId310" ref="AJ338"/>
    <hyperlink r:id="rId311" ref="AJ339"/>
    <hyperlink r:id="rId312" ref="AJ340"/>
    <hyperlink r:id="rId313" ref="AJ341"/>
    <hyperlink r:id="rId314" ref="AJ342"/>
    <hyperlink r:id="rId315" ref="AJ343"/>
    <hyperlink r:id="rId316" ref="AJ344"/>
    <hyperlink r:id="rId317" ref="AJ345"/>
    <hyperlink r:id="rId318" ref="AJ346"/>
    <hyperlink r:id="rId319" ref="AJ347"/>
    <hyperlink r:id="rId320" ref="AJ348"/>
    <hyperlink r:id="rId321" ref="AJ349"/>
    <hyperlink r:id="rId322" ref="AJ350"/>
    <hyperlink r:id="rId323" ref="AJ351"/>
    <hyperlink r:id="rId324" ref="AJ352"/>
    <hyperlink r:id="rId325" ref="AJ353"/>
    <hyperlink r:id="rId326" ref="AJ354"/>
    <hyperlink r:id="rId327" ref="AJ355"/>
    <hyperlink r:id="rId328" ref="AJ356"/>
    <hyperlink r:id="rId329" ref="AJ357"/>
    <hyperlink r:id="rId330" ref="AJ358"/>
    <hyperlink r:id="rId331" ref="AJ359"/>
    <hyperlink r:id="rId332" ref="AJ360"/>
    <hyperlink r:id="rId333" ref="AJ361"/>
    <hyperlink r:id="rId334" ref="AJ362"/>
    <hyperlink r:id="rId335" ref="AJ363"/>
    <hyperlink r:id="rId336" ref="AJ364"/>
    <hyperlink r:id="rId337" ref="AJ365"/>
    <hyperlink r:id="rId338" ref="AJ366"/>
    <hyperlink r:id="rId339" ref="AJ367"/>
    <hyperlink r:id="rId340" ref="AJ368"/>
    <hyperlink r:id="rId341" ref="AJ369"/>
    <hyperlink r:id="rId342" ref="AJ370"/>
    <hyperlink r:id="rId343" ref="AJ371"/>
    <hyperlink r:id="rId344" ref="AJ372"/>
    <hyperlink r:id="rId345" ref="AJ373"/>
    <hyperlink r:id="rId346" ref="AJ374"/>
    <hyperlink r:id="rId347" ref="AJ375"/>
    <hyperlink r:id="rId348" ref="AJ376"/>
    <hyperlink r:id="rId349" ref="AJ377"/>
    <hyperlink r:id="rId350" ref="AJ378"/>
    <hyperlink r:id="rId351" ref="AJ379"/>
    <hyperlink r:id="rId352" ref="AJ380"/>
    <hyperlink r:id="rId353" ref="AJ381"/>
    <hyperlink r:id="rId354" ref="AJ382"/>
    <hyperlink r:id="rId355" ref="AJ383"/>
    <hyperlink r:id="rId356" ref="AJ384"/>
    <hyperlink r:id="rId357" ref="AJ385"/>
    <hyperlink r:id="rId358" ref="AJ386"/>
    <hyperlink r:id="rId359" ref="AJ387"/>
    <hyperlink r:id="rId360" ref="AJ388"/>
    <hyperlink r:id="rId361" ref="AJ389"/>
    <hyperlink r:id="rId362" ref="AJ390"/>
    <hyperlink r:id="rId363" ref="AJ391"/>
    <hyperlink r:id="rId364" ref="AJ392"/>
    <hyperlink r:id="rId365" ref="AJ393"/>
    <hyperlink r:id="rId366" ref="AJ394"/>
    <hyperlink r:id="rId367" ref="AJ395"/>
    <hyperlink r:id="rId368" ref="AJ396"/>
    <hyperlink r:id="rId369" ref="AJ397"/>
    <hyperlink r:id="rId370" ref="AJ398"/>
    <hyperlink r:id="rId371" ref="AJ399"/>
    <hyperlink r:id="rId372" ref="AJ400"/>
    <hyperlink r:id="rId373" ref="AJ401"/>
    <hyperlink r:id="rId374" ref="AJ402"/>
    <hyperlink r:id="rId375" ref="AJ403"/>
    <hyperlink r:id="rId376" ref="AJ404"/>
    <hyperlink r:id="rId377" ref="AJ405"/>
    <hyperlink r:id="rId378" ref="AJ406"/>
    <hyperlink r:id="rId379" ref="AJ407"/>
    <hyperlink r:id="rId380" ref="AJ408"/>
    <hyperlink r:id="rId381" ref="AJ409"/>
    <hyperlink r:id="rId382" ref="AJ410"/>
    <hyperlink r:id="rId383" ref="AJ411"/>
    <hyperlink r:id="rId384" ref="AJ412"/>
    <hyperlink r:id="rId385" ref="AJ413"/>
    <hyperlink r:id="rId386" ref="AJ414"/>
    <hyperlink r:id="rId387" ref="AJ415"/>
    <hyperlink r:id="rId388" ref="AJ416"/>
    <hyperlink r:id="rId389" ref="AJ417"/>
    <hyperlink r:id="rId390" ref="AJ418"/>
    <hyperlink r:id="rId391" ref="AJ419"/>
    <hyperlink r:id="rId392" ref="AJ420"/>
    <hyperlink r:id="rId393" ref="AJ421"/>
    <hyperlink r:id="rId394" ref="AJ422"/>
    <hyperlink r:id="rId395" ref="AJ423"/>
    <hyperlink r:id="rId396" ref="AJ424"/>
    <hyperlink r:id="rId397" ref="AJ425"/>
    <hyperlink r:id="rId398" ref="AJ426"/>
    <hyperlink r:id="rId399" ref="AJ427"/>
    <hyperlink r:id="rId400" ref="AJ428"/>
    <hyperlink r:id="rId401" ref="AJ429"/>
    <hyperlink r:id="rId402" ref="AJ430"/>
    <hyperlink r:id="rId403" ref="AJ431"/>
    <hyperlink r:id="rId404" ref="AJ432"/>
    <hyperlink r:id="rId405" ref="AJ433"/>
    <hyperlink r:id="rId406" ref="AJ434"/>
    <hyperlink r:id="rId407" ref="AJ435"/>
    <hyperlink r:id="rId408" ref="AJ436"/>
    <hyperlink r:id="rId409" ref="AJ437"/>
    <hyperlink r:id="rId410" ref="AJ438"/>
    <hyperlink r:id="rId411" ref="AJ439"/>
    <hyperlink r:id="rId412" ref="AJ440"/>
    <hyperlink r:id="rId413" ref="AJ441"/>
    <hyperlink r:id="rId414" ref="AJ442"/>
    <hyperlink r:id="rId415" ref="AJ443"/>
    <hyperlink r:id="rId416" ref="AJ444"/>
    <hyperlink r:id="rId417" ref="AJ445"/>
    <hyperlink r:id="rId418" ref="AJ446"/>
    <hyperlink r:id="rId419" ref="AJ447"/>
    <hyperlink r:id="rId420" ref="AJ448"/>
    <hyperlink r:id="rId421" ref="AJ449"/>
    <hyperlink r:id="rId422" ref="AJ450"/>
    <hyperlink r:id="rId423" ref="AJ451"/>
    <hyperlink r:id="rId424" ref="AJ452"/>
    <hyperlink r:id="rId425" ref="AJ453"/>
    <hyperlink r:id="rId426" ref="AJ454"/>
    <hyperlink r:id="rId427" ref="AJ455"/>
    <hyperlink r:id="rId428" ref="AJ456"/>
    <hyperlink r:id="rId429" ref="AJ457"/>
    <hyperlink r:id="rId430" ref="AJ458"/>
    <hyperlink r:id="rId431" ref="AJ459"/>
    <hyperlink r:id="rId432" ref="AJ460"/>
    <hyperlink r:id="rId433" ref="AJ461"/>
    <hyperlink r:id="rId434" ref="AJ462"/>
    <hyperlink r:id="rId435" ref="AJ463"/>
    <hyperlink r:id="rId436" ref="AJ464"/>
    <hyperlink r:id="rId437" ref="AJ465"/>
    <hyperlink r:id="rId438" ref="AJ466"/>
    <hyperlink r:id="rId439" ref="AJ467"/>
    <hyperlink r:id="rId440" ref="AJ468"/>
    <hyperlink r:id="rId441" ref="AJ469"/>
    <hyperlink r:id="rId442" ref="AJ470"/>
    <hyperlink r:id="rId443" ref="AJ471"/>
    <hyperlink r:id="rId444" ref="AJ472"/>
    <hyperlink r:id="rId445" ref="AJ473"/>
    <hyperlink r:id="rId446" ref="AJ474"/>
    <hyperlink r:id="rId447" ref="AJ475"/>
    <hyperlink r:id="rId448" ref="AJ476"/>
    <hyperlink r:id="rId449" ref="AJ477"/>
    <hyperlink r:id="rId450" ref="AJ478"/>
    <hyperlink r:id="rId451" ref="AJ479"/>
    <hyperlink r:id="rId452" ref="AJ480"/>
    <hyperlink r:id="rId453" ref="AJ481"/>
    <hyperlink r:id="rId454" ref="AJ482"/>
    <hyperlink r:id="rId455" ref="AJ483"/>
    <hyperlink r:id="rId456" ref="AJ484"/>
    <hyperlink r:id="rId457" ref="AJ485"/>
    <hyperlink r:id="rId458" ref="AJ486"/>
    <hyperlink r:id="rId459" ref="AJ487"/>
    <hyperlink r:id="rId460" ref="AJ488"/>
    <hyperlink r:id="rId461" ref="AJ489"/>
    <hyperlink r:id="rId462" ref="AJ490"/>
    <hyperlink r:id="rId463" ref="AJ491"/>
    <hyperlink r:id="rId464" ref="AJ492"/>
    <hyperlink r:id="rId465" ref="AJ493"/>
    <hyperlink r:id="rId466" ref="AJ494"/>
    <hyperlink r:id="rId467" ref="AJ495"/>
    <hyperlink r:id="rId468" ref="AJ496"/>
    <hyperlink r:id="rId469" ref="AJ497"/>
    <hyperlink r:id="rId470" ref="AJ498"/>
    <hyperlink r:id="rId471" ref="AJ499"/>
    <hyperlink r:id="rId472" ref="AJ500"/>
    <hyperlink r:id="rId473" ref="AJ501"/>
    <hyperlink r:id="rId474" ref="AJ502"/>
    <hyperlink r:id="rId475" ref="AJ503"/>
    <hyperlink r:id="rId476" ref="AJ504"/>
    <hyperlink r:id="rId477" ref="AJ505"/>
    <hyperlink r:id="rId478" ref="AJ506"/>
    <hyperlink r:id="rId479" ref="AJ507"/>
    <hyperlink r:id="rId480" ref="AJ508"/>
    <hyperlink r:id="rId481" ref="AJ509"/>
    <hyperlink r:id="rId482" ref="AJ510"/>
    <hyperlink r:id="rId483" ref="AJ511"/>
    <hyperlink r:id="rId484" ref="AJ512"/>
    <hyperlink r:id="rId485" ref="AJ513"/>
    <hyperlink r:id="rId486" ref="AJ514"/>
    <hyperlink r:id="rId487" ref="AJ515"/>
    <hyperlink r:id="rId488" ref="AJ516"/>
    <hyperlink r:id="rId489" ref="AJ517"/>
    <hyperlink r:id="rId490" ref="AJ518"/>
    <hyperlink r:id="rId491" ref="AJ519"/>
    <hyperlink r:id="rId492" ref="AJ520"/>
    <hyperlink r:id="rId493" ref="AJ521"/>
    <hyperlink r:id="rId494" ref="AJ522"/>
    <hyperlink r:id="rId495" ref="AJ523"/>
    <hyperlink r:id="rId496" ref="AJ524"/>
    <hyperlink r:id="rId497" ref="AJ525"/>
    <hyperlink r:id="rId498" ref="AJ526"/>
    <hyperlink r:id="rId499" ref="AJ527"/>
    <hyperlink r:id="rId500" ref="AJ528"/>
    <hyperlink r:id="rId501" ref="AJ529"/>
    <hyperlink r:id="rId502" ref="AJ530"/>
    <hyperlink r:id="rId503" ref="AJ531"/>
    <hyperlink r:id="rId504" ref="AJ532"/>
    <hyperlink r:id="rId505" ref="AJ533"/>
    <hyperlink r:id="rId506" ref="AJ534"/>
    <hyperlink r:id="rId507" ref="AJ535"/>
    <hyperlink r:id="rId508" ref="AJ536"/>
    <hyperlink r:id="rId509" ref="AJ537"/>
    <hyperlink r:id="rId510" ref="AJ538"/>
    <hyperlink r:id="rId511" ref="AJ539"/>
    <hyperlink r:id="rId512" ref="AJ540"/>
    <hyperlink r:id="rId513" ref="AJ541"/>
    <hyperlink r:id="rId514" ref="AJ542"/>
    <hyperlink r:id="rId515" ref="AJ543"/>
  </hyperlinks>
  <drawing r:id="rId5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4" max="4" width="19.14"/>
    <col customWidth="1" min="6" max="6" width="20.57"/>
    <col customWidth="1" min="7" max="7" width="27.43"/>
    <col customWidth="1" min="8" max="8" width="25.86"/>
    <col customWidth="1" min="9" max="9" width="19.0"/>
    <col customWidth="1" min="10" max="10" width="32.71"/>
    <col customWidth="1" min="13" max="13" width="47.86"/>
    <col customWidth="1" min="14" max="14" width="49.43"/>
    <col customWidth="1" min="15" max="15" width="109.0"/>
    <col customWidth="1" min="31" max="31" width="22.29"/>
    <col customWidth="1" min="32" max="32" width="32.14"/>
    <col customWidth="1" min="33" max="33" width="20.14"/>
    <col customWidth="1" min="34" max="34" width="21.57"/>
    <col customWidth="1" min="35" max="35" width="52.14"/>
    <col customWidth="1" min="36" max="36" width="103.86"/>
    <col customWidth="1" min="37" max="37" width="67.71"/>
    <col customWidth="1" min="38" max="38" width="331.0"/>
  </cols>
  <sheetData>
    <row r="1">
      <c r="A1" s="1" t="str">
        <f>IFERROR(__xludf.DUMMYFUNCTION("QUERY('Form Responses 2'!A1:AE974,""select A, B, C, D, E, AE, F, G, H, I, J, K, L, M, N, O, P, Q, R, S, T, U, V, W, X, Y, Z, AA, AB, AC, AD"")"),"Timestamp")</f>
        <v>Timestamp</v>
      </c>
      <c r="B1" s="2" t="str">
        <f>IFERROR(__xludf.DUMMYFUNCTION("""COMPUTED_VALUE"""),"YOUR NAME")</f>
        <v>YOUR NAME</v>
      </c>
      <c r="C1" s="1" t="str">
        <f>IFERROR(__xludf.DUMMYFUNCTION("""COMPUTED_VALUE"""),"YOUR EMAIL")</f>
        <v>YOUR EMAIL</v>
      </c>
      <c r="D1" s="1" t="str">
        <f>IFERROR(__xludf.DUMMYFUNCTION("""COMPUTED_VALUE"""),"Float Plan Holder")</f>
        <v>Float Plan Holder</v>
      </c>
      <c r="E1" s="1" t="str">
        <f>IFERROR(__xludf.DUMMYFUNCTION("""COMPUTED_VALUE"""),"BOAT RAMP")</f>
        <v>BOAT RAMP</v>
      </c>
      <c r="F1" s="3" t="str">
        <f>IFERROR(__xludf.DUMMYFUNCTION("""COMPUTED_VALUE"""),"Time you plan to launch")</f>
        <v>Time you plan to launch</v>
      </c>
      <c r="G1" s="4" t="str">
        <f>IFERROR(__xludf.DUMMYFUNCTION("""COMPUTED_VALUE"""),"Date you plan to launch")</f>
        <v>Date you plan to launch</v>
      </c>
      <c r="H1" s="1" t="str">
        <f>IFERROR(__xludf.DUMMYFUNCTION("""COMPUTED_VALUE"""),"Destination")</f>
        <v>Destination</v>
      </c>
      <c r="I1" s="5" t="str">
        <f>IFERROR(__xludf.DUMMYFUNCTION("""COMPUTED_VALUE"""),"Estimated time off the water")</f>
        <v>Estimated time off the water</v>
      </c>
      <c r="J1" s="1" t="str">
        <f>IFERROR(__xludf.DUMMYFUNCTION("""COMPUTED_VALUE"""),"Time return to office (best estimate)")</f>
        <v>Time return to office (best estimate)</v>
      </c>
      <c r="K1" s="1" t="str">
        <f>IFERROR(__xludf.DUMMYFUNCTION("""COMPUTED_VALUE"""),"Vessel Details")</f>
        <v>Vessel Details</v>
      </c>
      <c r="L1" s="1" t="str">
        <f>IFERROR(__xludf.DUMMYFUNCTION("""COMPUTED_VALUE"""),"If you selected Canoe(s) or Kayak(s), how many are you taking?")</f>
        <v>If you selected Canoe(s) or Kayak(s), how many are you taking?</v>
      </c>
      <c r="M1" s="1" t="str">
        <f>IFERROR(__xludf.DUMMYFUNCTION("""COMPUTED_VALUE"""),"Towing Vehicle")</f>
        <v>Towing Vehicle</v>
      </c>
      <c r="N1" s="1" t="str">
        <f>IFERROR(__xludf.DUMMYFUNCTION("""COMPUTED_VALUE"""),"Who is (are) the Certified Operator(s)?")</f>
        <v>Who is (are) the Certified Operator(s)?</v>
      </c>
      <c r="O1" s="1" t="str">
        <f>IFERROR(__xludf.DUMMYFUNCTION("""COMPUTED_VALUE"""),"Who is (are) the other individuals on-board?")</f>
        <v>Who is (are) the other individuals on-board?</v>
      </c>
      <c r="P1" s="1" t="str">
        <f>IFERROR(__xludf.DUMMYFUNCTION("""COMPUTED_VALUE"""),"Who is the primary Captain?")</f>
        <v>Who is the primary Captain?</v>
      </c>
      <c r="Q1" s="1" t="str">
        <f>IFERROR(__xludf.DUMMYFUNCTION("""COMPUTED_VALUE""")," [Trailer Lights, Tire Pressure, Boat Box with Keys, Tool Kit, PFD's for every passenger, Type IV Throwable, Fuel, Battery, Radio/Cell Check, Anchor &amp; Line, Paddles and/or Push Pole, Boat Hook, First-Aid Kit, Whistle/Horn, Signal Devices, Fire Extinguishe"&amp;"r, Navigation Lights]")</f>
        <v> [Trailer Lights, Tire Pressure, Boat Box with Keys, Tool Kit, PFD's for every passenger, Type IV Throwable, Fuel, Battery, Radio/Cell Check, Anchor &amp; Line, Paddles and/or Push Pole, Boat Hook, First-Aid Kit, Whistle/Horn, Signal Devices, Fire Extinguisher, Navigation Lights]</v>
      </c>
      <c r="R1" s="1" t="str">
        <f>IFERROR(__xludf.DUMMYFUNCTION("""COMPUTED_VALUE""")," [Tool Kit]")</f>
        <v> [Tool Kit]</v>
      </c>
      <c r="S1" s="1" t="str">
        <f>IFERROR(__xludf.DUMMYFUNCTION("""COMPUTED_VALUE""")," [PFD's and Type IV throwable]")</f>
        <v> [PFD's and Type IV throwable]</v>
      </c>
      <c r="T1" s="1" t="str">
        <f>IFERROR(__xludf.DUMMYFUNCTION("""COMPUTED_VALUE""")," [Fuel, Battery, and Radio/Cell Check]")</f>
        <v> [Fuel, Battery, and Radio/Cell Check]</v>
      </c>
      <c r="U1" s="1" t="str">
        <f>IFERROR(__xludf.DUMMYFUNCTION("""COMPUTED_VALUE""")," [Anchor and Line]")</f>
        <v> [Anchor and Line]</v>
      </c>
      <c r="V1" s="1" t="str">
        <f>IFERROR(__xludf.DUMMYFUNCTION("""COMPUTED_VALUE""")," [Paddles, Push Pole]")</f>
        <v> [Paddles, Push Pole]</v>
      </c>
      <c r="W1" s="1" t="str">
        <f>IFERROR(__xludf.DUMMYFUNCTION("""COMPUTED_VALUE""")," [Boat Hook]")</f>
        <v> [Boat Hook]</v>
      </c>
      <c r="X1" s="1" t="str">
        <f>IFERROR(__xludf.DUMMYFUNCTION("""COMPUTED_VALUE""")," [First-Aid Kit]")</f>
        <v> [First-Aid Kit]</v>
      </c>
      <c r="Y1" s="1" t="str">
        <f>IFERROR(__xludf.DUMMYFUNCTION("""COMPUTED_VALUE""")," [Whistle/ Horn]")</f>
        <v> [Whistle/ Horn]</v>
      </c>
      <c r="Z1" s="1" t="str">
        <f>IFERROR(__xludf.DUMMYFUNCTION("""COMPUTED_VALUE""")," [Signal Devices]")</f>
        <v> [Signal Devices]</v>
      </c>
      <c r="AA1" s="1" t="str">
        <f>IFERROR(__xludf.DUMMYFUNCTION("""COMPUTED_VALUE""")," [Fire Extinguisher]")</f>
        <v> [Fire Extinguisher]</v>
      </c>
      <c r="AB1" s="1" t="str">
        <f>IFERROR(__xludf.DUMMYFUNCTION("""COMPUTED_VALUE""")," [Trailer and Boat Lights]")</f>
        <v> [Trailer and Boat Lights]</v>
      </c>
      <c r="AC1" s="1" t="str">
        <f>IFERROR(__xludf.DUMMYFUNCTION("""COMPUTED_VALUE""")," [Tire Pressure]")</f>
        <v> [Tire Pressure]</v>
      </c>
      <c r="AD1" s="1" t="str">
        <f>IFERROR(__xludf.DUMMYFUNCTION("""COMPUTED_VALUE"""),"Check the Weather (Optional)")</f>
        <v>Check the Weather (Optional)</v>
      </c>
      <c r="AE1" s="1" t="str">
        <f>IFERROR(__xludf.DUMMYFUNCTION("""COMPUTED_VALUE"""),"Check the Tides (Optional)")</f>
        <v>Check the Tides (Optional)</v>
      </c>
      <c r="AF1" s="6" t="s">
        <v>0</v>
      </c>
      <c r="AG1" s="7" t="s">
        <v>1</v>
      </c>
      <c r="AH1" s="8" t="s">
        <v>2</v>
      </c>
      <c r="AI1" s="9" t="s">
        <v>3</v>
      </c>
      <c r="AJ1" s="9" t="s">
        <v>4</v>
      </c>
      <c r="AK1" s="9" t="s">
        <v>5</v>
      </c>
      <c r="AL1" s="9" t="s">
        <v>6</v>
      </c>
    </row>
    <row r="2">
      <c r="A2" s="10">
        <f>IFERROR(__xludf.DUMMYFUNCTION("""COMPUTED_VALUE"""),42342.632352789355)</f>
        <v>42342.63235</v>
      </c>
      <c r="B2" s="11" t="str">
        <f>IFERROR(__xludf.DUMMYFUNCTION("""COMPUTED_VALUE"""),"Kenneth Rainer")</f>
        <v>Kenneth Rainer</v>
      </c>
      <c r="C2" t="str">
        <f>IFERROR(__xludf.DUMMYFUNCTION("""COMPUTED_VALUE"""),"KennethCRainer@gmail.com")</f>
        <v>KennethCRainer@gmail.com</v>
      </c>
      <c r="D2" s="12" t="str">
        <f>IFERROR(__xludf.DUMMYFUNCTION("""COMPUTED_VALUE"""),"Research/Pam")</f>
        <v>Research/Pam</v>
      </c>
      <c r="E2" t="str">
        <f>IFERROR(__xludf.DUMMYFUNCTION("""COMPUTED_VALUE"""),"Aunt Kate's")</f>
        <v>Aunt Kate's</v>
      </c>
      <c r="F2" s="13"/>
      <c r="G2" s="14">
        <f>IFERROR(__xludf.DUMMYFUNCTION("""COMPUTED_VALUE"""),42342.0)</f>
        <v>42342</v>
      </c>
      <c r="H2" t="str">
        <f>IFERROR(__xludf.DUMMYFUNCTION("""COMPUTED_VALUE"""),"Field Station")</f>
        <v>Field Station</v>
      </c>
      <c r="I2" s="15">
        <f>IFERROR(__xludf.DUMMYFUNCTION("""COMPUTED_VALUE"""),0.0625)</f>
        <v>0.0625</v>
      </c>
      <c r="J2" s="16">
        <f>IFERROR(__xludf.DUMMYFUNCTION("""COMPUTED_VALUE"""),0.6666666666678793)</f>
        <v>0.6666666667</v>
      </c>
      <c r="K2" t="str">
        <f>IFERROR(__xludf.DUMMYFUNCTION("""COMPUTED_VALUE"""),"17ft Skill FL0642GW DEP07239")</f>
        <v>17ft Skill FL0642GW DEP07239</v>
      </c>
      <c r="M2" t="str">
        <f>IFERROR(__xludf.DUMMYFUNCTION("""COMPUTED_VALUE"""),"Ford F150 2015 (White) - DEP21448")</f>
        <v>Ford F150 2015 (White) - DEP21448</v>
      </c>
      <c r="N2" t="str">
        <f>IFERROR(__xludf.DUMMYFUNCTION("""COMPUTED_VALUE"""),"Nikki Dix, (352) 219-4079, Pam Marcum, (480) 332-5414")</f>
        <v>Nikki Dix, (352) 219-4079, Pam Marcum, (480) 332-5414</v>
      </c>
      <c r="O2" t="str">
        <f>IFERROR(__xludf.DUMMYFUNCTION("""COMPUTED_VALUE"""),"Joseph Burgess, Katie Petrinec, (904) 891-2956, Kenneth Rainer, (936) 499-1853, Matt Welsh, (904) 705-5617")</f>
        <v>Joseph Burgess, Katie Petrinec, (904) 891-2956, Kenneth Rainer, (936) 499-1853, Matt Welsh, (904) 705-5617</v>
      </c>
      <c r="P2" t="str">
        <f>IFERROR(__xludf.DUMMYFUNCTION("""COMPUTED_VALUE"""),"Joseph Burgess")</f>
        <v>Joseph Burgess</v>
      </c>
      <c r="AF2" s="11" t="str">
        <f t="array" ref="AF2:AF643">IF(LEN('Form Responses 2'!$A2:$A974),IF('Form Responses 2'!D2:D974="Research/Nikki","Nikki.Dix@floridadep.gov",IF('Form Responses 2'!D2:D974="Stewardship (Aquatic)","Scott.Eastman@floridadep.gov",IF('Form Responses 2'!D2:D974="Education","Kenneth.Rainer@floridadep.gov",IF('Form Responses 2'!D2:D974="Stewardship (Uplands)","Scott.Eastman@floridadep.gov",IF('Form Responses 2'!D2:D974="Coastal Training Program","Kaitlyn.Dietz@floridadep.gov",IF('Form Responses 2'!D2:D974="Volunteer","Shannon.Rininger@floridadep.gov",IF('Form Responses 2'!D2:D974="Administration","Lia.Sansom@floridadep.gov",IF('Form Responses 2'!D2:D974="Research/Pam","Pamela.Marcum@floridadep.gov",IF('Form Responses 2'!D2:D974="Research/Shannon","Shannon.Dunnigan@floridadep.gov"))))))))),"")</f>
        <v>Pamela.Marcum@floridadep.gov</v>
      </c>
      <c r="AG2" s="17" t="s">
        <v>7</v>
      </c>
      <c r="AH2" s="12"/>
      <c r="AI2" s="12" t="s">
        <v>8</v>
      </c>
      <c r="AJ2" s="12" t="s">
        <v>8</v>
      </c>
      <c r="AK2" s="12" t="s">
        <v>8</v>
      </c>
      <c r="AL2" s="12" t="s">
        <v>8</v>
      </c>
    </row>
    <row r="3">
      <c r="A3" s="10">
        <f>IFERROR(__xludf.DUMMYFUNCTION("""COMPUTED_VALUE"""),42342.63713599537)</f>
        <v>42342.63714</v>
      </c>
      <c r="B3" s="11" t="str">
        <f>IFERROR(__xludf.DUMMYFUNCTION("""COMPUTED_VALUE"""),"Kenneth Rainer")</f>
        <v>Kenneth Rainer</v>
      </c>
      <c r="C3" t="str">
        <f>IFERROR(__xludf.DUMMYFUNCTION("""COMPUTED_VALUE"""),"KennethCRainer@gmail.com")</f>
        <v>KennethCRainer@gmail.com</v>
      </c>
      <c r="D3" t="str">
        <f>IFERROR(__xludf.DUMMYFUNCTION("""COMPUTED_VALUE"""),"Education")</f>
        <v>Education</v>
      </c>
      <c r="E3" t="str">
        <f>IFERROR(__xludf.DUMMYFUNCTION("""COMPUTED_VALUE"""),"Aunt Kate's")</f>
        <v>Aunt Kate's</v>
      </c>
      <c r="F3" s="13"/>
      <c r="G3" s="14">
        <f>IFERROR(__xludf.DUMMYFUNCTION("""COMPUTED_VALUE"""),42342.0)</f>
        <v>42342</v>
      </c>
      <c r="H3" t="str">
        <f>IFERROR(__xludf.DUMMYFUNCTION("""COMPUTED_VALUE"""),"Field Station")</f>
        <v>Field Station</v>
      </c>
      <c r="I3" s="15">
        <f>IFERROR(__xludf.DUMMYFUNCTION("""COMPUTED_VALUE"""),0.052083333332120674)</f>
        <v>0.05208333333</v>
      </c>
      <c r="J3" s="16">
        <f>IFERROR(__xludf.DUMMYFUNCTION("""COMPUTED_VALUE"""),0.6666666666678793)</f>
        <v>0.6666666667</v>
      </c>
      <c r="K3" t="str">
        <f>IFERROR(__xludf.DUMMYFUNCTION("""COMPUTED_VALUE"""),"F 20ft Sea Ark (Easy 200)")</f>
        <v>F 20ft Sea Ark (Easy 200)</v>
      </c>
      <c r="M3" t="str">
        <f>IFERROR(__xludf.DUMMYFUNCTION("""COMPUTED_VALUE"""),"Ford F150 2015 (White) - DEP21448")</f>
        <v>Ford F150 2015 (White) - DEP21448</v>
      </c>
      <c r="N3" t="str">
        <f>IFERROR(__xludf.DUMMYFUNCTION("""COMPUTED_VALUE"""),"Joseph Burgess, Pam Marcum, (480) 332-5414")</f>
        <v>Joseph Burgess, Pam Marcum, (480) 332-5414</v>
      </c>
      <c r="O3" t="str">
        <f>IFERROR(__xludf.DUMMYFUNCTION("""COMPUTED_VALUE"""),"Pam Marcum, (480) 332-5414, Matt Monroe, Kenneth Rainer, (936) 499-1853")</f>
        <v>Pam Marcum, (480) 332-5414, Matt Monroe, Kenneth Rainer, (936) 499-1853</v>
      </c>
      <c r="P3" t="str">
        <f>IFERROR(__xludf.DUMMYFUNCTION("""COMPUTED_VALUE"""),"Nikki Dix, (352) 219-4079")</f>
        <v>Nikki Dix, (352) 219-4079</v>
      </c>
      <c r="AE3" s="11"/>
      <c r="AF3" s="12" t="s">
        <v>9</v>
      </c>
      <c r="AG3" s="17"/>
      <c r="AH3" s="12"/>
      <c r="AI3" s="12" t="s">
        <v>8</v>
      </c>
      <c r="AJ3" s="12" t="s">
        <v>8</v>
      </c>
      <c r="AK3" s="12" t="s">
        <v>8</v>
      </c>
      <c r="AL3" s="12" t="s">
        <v>8</v>
      </c>
    </row>
    <row r="4">
      <c r="A4" s="10">
        <f>IFERROR(__xludf.DUMMYFUNCTION("""COMPUTED_VALUE"""),42346.64814518519)</f>
        <v>42346.64815</v>
      </c>
      <c r="B4" s="11" t="str">
        <f>IFERROR(__xludf.DUMMYFUNCTION("""COMPUTED_VALUE"""),"Kenneth Rainer")</f>
        <v>Kenneth Rainer</v>
      </c>
      <c r="C4" t="str">
        <f>IFERROR(__xludf.DUMMYFUNCTION("""COMPUTED_VALUE"""),"Kenneth.Rainer@dep.state.fl.us")</f>
        <v>Kenneth.Rainer@dep.state.fl.us</v>
      </c>
      <c r="D4" t="str">
        <f>IFERROR(__xludf.DUMMYFUNCTION("""COMPUTED_VALUE"""),"Education")</f>
        <v>Education</v>
      </c>
      <c r="E4" t="str">
        <f>IFERROR(__xludf.DUMMYFUNCTION("""COMPUTED_VALUE"""),"Vilano Boat Ramp (Campeche Cove)")</f>
        <v>Vilano Boat Ramp (Campeche Cove)</v>
      </c>
      <c r="F4" s="13"/>
      <c r="G4" s="14">
        <f>IFERROR(__xludf.DUMMYFUNCTION("""COMPUTED_VALUE"""),42347.0)</f>
        <v>42347</v>
      </c>
      <c r="H4" t="str">
        <f>IFERROR(__xludf.DUMMYFUNCTION("""COMPUTED_VALUE"""),"Moses Creek")</f>
        <v>Moses Creek</v>
      </c>
      <c r="I4" s="15">
        <f>IFERROR(__xludf.DUMMYFUNCTION("""COMPUTED_VALUE"""),0.375)</f>
        <v>0.375</v>
      </c>
      <c r="J4" s="16">
        <f>IFERROR(__xludf.DUMMYFUNCTION("""COMPUTED_VALUE"""),42347.70833333333)</f>
        <v>42347.70833</v>
      </c>
      <c r="K4" t="str">
        <f>IFERROR(__xludf.DUMMYFUNCTION("""COMPUTED_VALUE"""),"F 20ft Sea Ark (Easy 200)")</f>
        <v>F 20ft Sea Ark (Easy 200)</v>
      </c>
      <c r="M4" t="str">
        <f>IFERROR(__xludf.DUMMYFUNCTION("""COMPUTED_VALUE"""),"Ford F150 2015 (White) - DEP21448")</f>
        <v>Ford F150 2015 (White) - DEP21448</v>
      </c>
      <c r="N4" t="str">
        <f>IFERROR(__xludf.DUMMYFUNCTION("""COMPUTED_VALUE"""),"Pam Marcum, (480) 332-5414, Kenneth Rainer, (936) 499-1853")</f>
        <v>Pam Marcum, (480) 332-5414, Kenneth Rainer, (936) 499-1853</v>
      </c>
      <c r="O4" t="str">
        <f>IFERROR(__xludf.DUMMYFUNCTION("""COMPUTED_VALUE"""),"Volunteers")</f>
        <v>Volunteers</v>
      </c>
      <c r="P4" t="str">
        <f>IFERROR(__xludf.DUMMYFUNCTION("""COMPUTED_VALUE"""),"Kenneth Rainer, (936) 499-1853")</f>
        <v>Kenneth Rainer, (936) 499-1853</v>
      </c>
      <c r="AE4" s="11"/>
      <c r="AF4" t="s">
        <v>9</v>
      </c>
      <c r="AG4" s="18"/>
      <c r="AH4" s="12"/>
      <c r="AI4" s="12" t="s">
        <v>8</v>
      </c>
      <c r="AJ4" s="12" t="s">
        <v>8</v>
      </c>
      <c r="AK4" s="12" t="s">
        <v>8</v>
      </c>
      <c r="AL4" s="12" t="s">
        <v>8</v>
      </c>
    </row>
    <row r="5">
      <c r="A5" s="10">
        <f>IFERROR(__xludf.DUMMYFUNCTION("""COMPUTED_VALUE"""),42536.53945409722)</f>
        <v>42536.53945</v>
      </c>
      <c r="B5" s="11" t="str">
        <f>IFERROR(__xludf.DUMMYFUNCTION("""COMPUTED_VALUE"""),"Kenneth Rainer")</f>
        <v>Kenneth Rainer</v>
      </c>
      <c r="C5" t="str">
        <f>IFERROR(__xludf.DUMMYFUNCTION("""COMPUTED_VALUE"""),"Kenneth.Rainer@dep.state.fl.us")</f>
        <v>Kenneth.Rainer@dep.state.fl.us</v>
      </c>
      <c r="D5" t="str">
        <f>IFERROR(__xludf.DUMMYFUNCTION("""COMPUTED_VALUE"""),"Education")</f>
        <v>Education</v>
      </c>
      <c r="E5" t="str">
        <f>IFERROR(__xludf.DUMMYFUNCTION("""COMPUTED_VALUE"""),"Usina Boat Ramp (Aunt Kate's)")</f>
        <v>Usina Boat Ramp (Aunt Kate's)</v>
      </c>
      <c r="F5" s="13"/>
      <c r="G5" s="14">
        <f>IFERROR(__xludf.DUMMYFUNCTION("""COMPUTED_VALUE"""),42537.0)</f>
        <v>42537</v>
      </c>
      <c r="H5" t="str">
        <f>IFERROR(__xludf.DUMMYFUNCTION("""COMPUTED_VALUE"""),"Wright's Landing (Tolomato River)")</f>
        <v>Wright's Landing (Tolomato River)</v>
      </c>
      <c r="I5" s="15">
        <f>IFERROR(__xludf.DUMMYFUNCTION("""COMPUTED_VALUE"""),0.16666666666787933)</f>
        <v>0.1666666667</v>
      </c>
      <c r="J5" s="16">
        <f>IFERROR(__xludf.DUMMYFUNCTION("""COMPUTED_VALUE"""),42537.58333333333)</f>
        <v>42537.58333</v>
      </c>
      <c r="K5" t="str">
        <f>IFERROR(__xludf.DUMMYFUNCTION("""COMPUTED_VALUE"""),"23ft Skiff FL7972LJ DEP07613")</f>
        <v>23ft Skiff FL7972LJ DEP07613</v>
      </c>
      <c r="M5" t="str">
        <f>IFERROR(__xludf.DUMMYFUNCTION("""COMPUTED_VALUE"""),"Ford F150 2015 (White) - DEP21448")</f>
        <v>Ford F150 2015 (White) - DEP21448</v>
      </c>
      <c r="N5" t="str">
        <f>IFERROR(__xludf.DUMMYFUNCTION("""COMPUTED_VALUE"""),"Kenneth Rainer, (936) 499-1853")</f>
        <v>Kenneth Rainer, (936) 499-1853</v>
      </c>
      <c r="O5" t="str">
        <f>IFERROR(__xludf.DUMMYFUNCTION("""COMPUTED_VALUE"""),"Erin Elliot, Meghan Higgins, 7-9yr campers (June 13-17, 2016 week)")</f>
        <v>Erin Elliot, Meghan Higgins, 7-9yr campers (June 13-17, 2016 week)</v>
      </c>
      <c r="P5" t="str">
        <f>IFERROR(__xludf.DUMMYFUNCTION("""COMPUTED_VALUE"""),"Kenneth Rainer, (936) 499-1853")</f>
        <v>Kenneth Rainer, (936) 499-1853</v>
      </c>
      <c r="AE5" s="11"/>
      <c r="AF5" t="s">
        <v>9</v>
      </c>
      <c r="AG5" s="18"/>
      <c r="AH5" s="12"/>
      <c r="AI5" s="12" t="s">
        <v>8</v>
      </c>
      <c r="AJ5" s="12" t="s">
        <v>8</v>
      </c>
      <c r="AK5" s="12" t="s">
        <v>8</v>
      </c>
      <c r="AL5" s="12" t="s">
        <v>8</v>
      </c>
    </row>
    <row r="6">
      <c r="A6" s="10">
        <f>IFERROR(__xludf.DUMMYFUNCTION("""COMPUTED_VALUE"""),42542.45380643518)</f>
        <v>42542.45381</v>
      </c>
      <c r="B6" s="11" t="str">
        <f>IFERROR(__xludf.DUMMYFUNCTION("""COMPUTED_VALUE"""),"Kenneth Rainer")</f>
        <v>Kenneth Rainer</v>
      </c>
      <c r="C6" t="str">
        <f>IFERROR(__xludf.DUMMYFUNCTION("""COMPUTED_VALUE"""),"Kenneth.Rainer@dep.state.fl.us")</f>
        <v>Kenneth.Rainer@dep.state.fl.us</v>
      </c>
      <c r="D6" t="str">
        <f>IFERROR(__xludf.DUMMYFUNCTION("""COMPUTED_VALUE"""),"Education")</f>
        <v>Education</v>
      </c>
      <c r="E6" t="str">
        <f>IFERROR(__xludf.DUMMYFUNCTION("""COMPUTED_VALUE"""),"Usina Boat Ramp")</f>
        <v>Usina Boat Ramp</v>
      </c>
      <c r="F6" s="13"/>
      <c r="G6" s="14">
        <f>IFERROR(__xludf.DUMMYFUNCTION("""COMPUTED_VALUE"""),42543.0)</f>
        <v>42543</v>
      </c>
      <c r="H6" t="str">
        <f>IFERROR(__xludf.DUMMYFUNCTION("""COMPUTED_VALUE"""),"Shell Bluff and then to tip of Guana Peninsula")</f>
        <v>Shell Bluff and then to tip of Guana Peninsula</v>
      </c>
      <c r="I6" s="15">
        <f>IFERROR(__xludf.DUMMYFUNCTION("""COMPUTED_VALUE"""),0.375)</f>
        <v>0.375</v>
      </c>
      <c r="J6" s="16">
        <f>IFERROR(__xludf.DUMMYFUNCTION("""COMPUTED_VALUE"""),42543.54166666667)</f>
        <v>42543.54167</v>
      </c>
      <c r="K6" t="str">
        <f>IFERROR(__xludf.DUMMYFUNCTION("""COMPUTED_VALUE"""),"23ft Skiff FL7972LJ DEP07613")</f>
        <v>23ft Skiff FL7972LJ DEP07613</v>
      </c>
      <c r="M6" t="str">
        <f>IFERROR(__xludf.DUMMYFUNCTION("""COMPUTED_VALUE"""),"Ford F150 2015 (White) - DEP21448")</f>
        <v>Ford F150 2015 (White) - DEP21448</v>
      </c>
      <c r="N6" t="str">
        <f>IFERROR(__xludf.DUMMYFUNCTION("""COMPUTED_VALUE"""),"Kenneth Rainer, (936) 499-1853")</f>
        <v>Kenneth Rainer, (936) 499-1853</v>
      </c>
      <c r="O6" t="str">
        <f>IFERROR(__xludf.DUMMYFUNCTION("""COMPUTED_VALUE"""),"Erin Elliot, Meghan Higgins, 10-12yr Ocean Week Campers")</f>
        <v>Erin Elliot, Meghan Higgins, 10-12yr Ocean Week Campers</v>
      </c>
      <c r="P6" t="str">
        <f>IFERROR(__xludf.DUMMYFUNCTION("""COMPUTED_VALUE"""),"Kenneth Rainer, (936) 499-1853")</f>
        <v>Kenneth Rainer, (936) 499-1853</v>
      </c>
      <c r="AE6" s="11"/>
      <c r="AF6" t="s">
        <v>9</v>
      </c>
      <c r="AG6" s="18"/>
      <c r="AH6" s="12"/>
      <c r="AI6" s="12" t="s">
        <v>8</v>
      </c>
      <c r="AJ6" s="12" t="s">
        <v>8</v>
      </c>
      <c r="AK6" s="12" t="s">
        <v>8</v>
      </c>
      <c r="AL6" s="12" t="s">
        <v>8</v>
      </c>
    </row>
    <row r="7">
      <c r="A7" s="10">
        <f>IFERROR(__xludf.DUMMYFUNCTION("""COMPUTED_VALUE"""),42596.45352641204)</f>
        <v>42596.45353</v>
      </c>
      <c r="B7" s="11" t="str">
        <f>IFERROR(__xludf.DUMMYFUNCTION("""COMPUTED_VALUE"""),"Kenneth Rainer")</f>
        <v>Kenneth Rainer</v>
      </c>
      <c r="C7" t="str">
        <f>IFERROR(__xludf.DUMMYFUNCTION("""COMPUTED_VALUE"""),"Kenneth.Rainer@dep.state.fl.us")</f>
        <v>Kenneth.Rainer@dep.state.fl.us</v>
      </c>
      <c r="D7" t="str">
        <f>IFERROR(__xludf.DUMMYFUNCTION("""COMPUTED_VALUE"""),"Education")</f>
        <v>Education</v>
      </c>
      <c r="E7" t="str">
        <f>IFERROR(__xludf.DUMMYFUNCTION("""COMPUTED_VALUE"""),"Vilano Boat Ramp")</f>
        <v>Vilano Boat Ramp</v>
      </c>
      <c r="F7" s="13"/>
      <c r="G7" s="14">
        <f>IFERROR(__xludf.DUMMYFUNCTION("""COMPUTED_VALUE"""),42597.0)</f>
        <v>42597</v>
      </c>
      <c r="H7" t="str">
        <f>IFERROR(__xludf.DUMMYFUNCTION("""COMPUTED_VALUE"""),"Northern Component to conduct Nekton Surveys")</f>
        <v>Northern Component to conduct Nekton Surveys</v>
      </c>
      <c r="I7" s="15">
        <f>IFERROR(__xludf.DUMMYFUNCTION("""COMPUTED_VALUE"""),0.28125)</f>
        <v>0.28125</v>
      </c>
      <c r="J7" s="16">
        <f>IFERROR(__xludf.DUMMYFUNCTION("""COMPUTED_VALUE"""),42536.54166666667)</f>
        <v>42536.54167</v>
      </c>
      <c r="K7" t="str">
        <f>IFERROR(__xludf.DUMMYFUNCTION("""COMPUTED_VALUE"""),"23ft Skiff FL7972LJ DEP07613")</f>
        <v>23ft Skiff FL7972LJ DEP07613</v>
      </c>
      <c r="M7" t="str">
        <f>IFERROR(__xludf.DUMMYFUNCTION("""COMPUTED_VALUE"""),"Ford F150 2015 (White) - DEP21448")</f>
        <v>Ford F150 2015 (White) - DEP21448</v>
      </c>
      <c r="N7" t="str">
        <f>IFERROR(__xludf.DUMMYFUNCTION("""COMPUTED_VALUE"""),"Kenneth Rainer, (936) 499-1853")</f>
        <v>Kenneth Rainer, (936) 499-1853</v>
      </c>
      <c r="O7" t="str">
        <f>IFERROR(__xludf.DUMMYFUNCTION("""COMPUTED_VALUE"""),"Ed McGinley")</f>
        <v>Ed McGinley</v>
      </c>
      <c r="P7" t="str">
        <f>IFERROR(__xludf.DUMMYFUNCTION("""COMPUTED_VALUE"""),"Kenneth Rainer, (936) 499-1853")</f>
        <v>Kenneth Rainer, (936) 499-1853</v>
      </c>
      <c r="AE7" s="11"/>
      <c r="AF7" t="s">
        <v>9</v>
      </c>
      <c r="AG7" s="18"/>
      <c r="AH7" s="12"/>
      <c r="AI7" s="12" t="s">
        <v>8</v>
      </c>
      <c r="AJ7" s="12" t="s">
        <v>8</v>
      </c>
      <c r="AK7" s="12" t="s">
        <v>8</v>
      </c>
      <c r="AL7" s="12" t="s">
        <v>8</v>
      </c>
    </row>
    <row r="8">
      <c r="A8" s="10">
        <f>IFERROR(__xludf.DUMMYFUNCTION("""COMPUTED_VALUE"""),42628.46103982639)</f>
        <v>42628.46104</v>
      </c>
      <c r="B8" s="11" t="str">
        <f>IFERROR(__xludf.DUMMYFUNCTION("""COMPUTED_VALUE"""),"Kenneth Rainer")</f>
        <v>Kenneth Rainer</v>
      </c>
      <c r="C8" t="str">
        <f>IFERROR(__xludf.DUMMYFUNCTION("""COMPUTED_VALUE"""),"Kenneth.Rainer@dep.state.fl.us")</f>
        <v>Kenneth.Rainer@dep.state.fl.us</v>
      </c>
      <c r="D8" t="str">
        <f>IFERROR(__xludf.DUMMYFUNCTION("""COMPUTED_VALUE"""),"Education")</f>
        <v>Education</v>
      </c>
      <c r="E8" t="str">
        <f>IFERROR(__xludf.DUMMYFUNCTION("""COMPUTED_VALUE"""),"Vilano Boat Ramp")</f>
        <v>Vilano Boat Ramp</v>
      </c>
      <c r="F8" s="13"/>
      <c r="G8" s="14">
        <f>IFERROR(__xludf.DUMMYFUNCTION("""COMPUTED_VALUE"""),42629.0)</f>
        <v>42629</v>
      </c>
      <c r="H8" t="str">
        <f>IFERROR(__xludf.DUMMYFUNCTION("""COMPUTED_VALUE"""),"Nekton Survey Sample Sites")</f>
        <v>Nekton Survey Sample Sites</v>
      </c>
      <c r="I8" s="15">
        <f>IFERROR(__xludf.DUMMYFUNCTION("""COMPUTED_VALUE"""),0.2916666666678793)</f>
        <v>0.2916666667</v>
      </c>
      <c r="J8" s="16">
        <f>IFERROR(__xludf.DUMMYFUNCTION("""COMPUTED_VALUE"""),42629.54166666667)</f>
        <v>42629.54167</v>
      </c>
      <c r="K8" t="str">
        <f>IFERROR(__xludf.DUMMYFUNCTION("""COMPUTED_VALUE"""),"23ft Skiff FL7972LJ DEP07613")</f>
        <v>23ft Skiff FL7972LJ DEP07613</v>
      </c>
      <c r="M8" t="str">
        <f>IFERROR(__xludf.DUMMYFUNCTION("""COMPUTED_VALUE"""),"Ford F150 2015 (White) - DEP21448")</f>
        <v>Ford F150 2015 (White) - DEP21448</v>
      </c>
      <c r="N8" t="str">
        <f>IFERROR(__xludf.DUMMYFUNCTION("""COMPUTED_VALUE"""),"Kenneth Rainer, (936) 499-1853")</f>
        <v>Kenneth Rainer, (936) 499-1853</v>
      </c>
      <c r="O8" t="str">
        <f>IFERROR(__xludf.DUMMYFUNCTION("""COMPUTED_VALUE"""),"Ed McGinley, Flagler Students")</f>
        <v>Ed McGinley, Flagler Students</v>
      </c>
      <c r="P8" t="str">
        <f>IFERROR(__xludf.DUMMYFUNCTION("""COMPUTED_VALUE"""),"Kenneth Rainer, (936) 499-1853")</f>
        <v>Kenneth Rainer, (936) 499-1853</v>
      </c>
      <c r="AE8" s="11"/>
      <c r="AF8" t="s">
        <v>9</v>
      </c>
      <c r="AG8" s="18"/>
      <c r="AH8" s="12"/>
      <c r="AI8" s="12" t="s">
        <v>8</v>
      </c>
      <c r="AJ8" s="12" t="s">
        <v>8</v>
      </c>
      <c r="AK8" s="12" t="s">
        <v>8</v>
      </c>
      <c r="AL8" s="12" t="s">
        <v>8</v>
      </c>
    </row>
    <row r="9">
      <c r="A9" s="10">
        <f>IFERROR(__xludf.DUMMYFUNCTION("""COMPUTED_VALUE"""),42642.617500659726)</f>
        <v>42642.6175</v>
      </c>
      <c r="B9" s="11" t="str">
        <f>IFERROR(__xludf.DUMMYFUNCTION("""COMPUTED_VALUE"""),"Kenneth Rainer")</f>
        <v>Kenneth Rainer</v>
      </c>
      <c r="C9" t="str">
        <f>IFERROR(__xludf.DUMMYFUNCTION("""COMPUTED_VALUE"""),"Kenneth.Rainer@dep.state.fl.us")</f>
        <v>Kenneth.Rainer@dep.state.fl.us</v>
      </c>
      <c r="D9" t="str">
        <f>IFERROR(__xludf.DUMMYFUNCTION("""COMPUTED_VALUE"""),"Education")</f>
        <v>Education</v>
      </c>
      <c r="E9" t="str">
        <f>IFERROR(__xludf.DUMMYFUNCTION("""COMPUTED_VALUE"""),"Vilano Boat Ramp")</f>
        <v>Vilano Boat Ramp</v>
      </c>
      <c r="F9" s="13"/>
      <c r="G9" s="14">
        <f>IFERROR(__xludf.DUMMYFUNCTION("""COMPUTED_VALUE"""),42643.0)</f>
        <v>42643</v>
      </c>
      <c r="H9" t="str">
        <f>IFERROR(__xludf.DUMMYFUNCTION("""COMPUTED_VALUE"""),"Nekton Survey (northern component)")</f>
        <v>Nekton Survey (northern component)</v>
      </c>
      <c r="I9" s="15">
        <f>IFERROR(__xludf.DUMMYFUNCTION("""COMPUTED_VALUE"""),0.3333333333321207)</f>
        <v>0.3333333333</v>
      </c>
      <c r="J9" s="16">
        <f>IFERROR(__xludf.DUMMYFUNCTION("""COMPUTED_VALUE"""),42643.5)</f>
        <v>42643.5</v>
      </c>
      <c r="K9" t="str">
        <f>IFERROR(__xludf.DUMMYFUNCTION("""COMPUTED_VALUE"""),"23ft Skiff FL7972LJ DEP07613")</f>
        <v>23ft Skiff FL7972LJ DEP07613</v>
      </c>
      <c r="M9" t="str">
        <f>IFERROR(__xludf.DUMMYFUNCTION("""COMPUTED_VALUE"""),"Ford F150 2015 (White) - DEP21448")</f>
        <v>Ford F150 2015 (White) - DEP21448</v>
      </c>
      <c r="N9" t="str">
        <f>IFERROR(__xludf.DUMMYFUNCTION("""COMPUTED_VALUE"""),"Kenneth Rainer, (936) 499-1853")</f>
        <v>Kenneth Rainer, (936) 499-1853</v>
      </c>
      <c r="O9" t="str">
        <f>IFERROR(__xludf.DUMMYFUNCTION("""COMPUTED_VALUE"""),"Ed McGinley, Molly Hoffman, Tim Mullen")</f>
        <v>Ed McGinley, Molly Hoffman, Tim Mullen</v>
      </c>
      <c r="P9" t="str">
        <f>IFERROR(__xludf.DUMMYFUNCTION("""COMPUTED_VALUE"""),"Kenneth Rainer, (936) 499-1853")</f>
        <v>Kenneth Rainer, (936) 499-1853</v>
      </c>
      <c r="AE9" s="11"/>
      <c r="AF9" t="s">
        <v>9</v>
      </c>
      <c r="AG9" s="18"/>
      <c r="AH9" s="12"/>
      <c r="AI9" s="12" t="s">
        <v>8</v>
      </c>
      <c r="AJ9" s="12" t="s">
        <v>8</v>
      </c>
      <c r="AK9" s="12" t="s">
        <v>8</v>
      </c>
      <c r="AL9" s="12" t="s">
        <v>8</v>
      </c>
    </row>
    <row r="10">
      <c r="A10" s="10">
        <f>IFERROR(__xludf.DUMMYFUNCTION("""COMPUTED_VALUE"""),42655.689032650465)</f>
        <v>42655.68903</v>
      </c>
      <c r="B10" s="11" t="str">
        <f>IFERROR(__xludf.DUMMYFUNCTION("""COMPUTED_VALUE"""),"Kenneth Rainer")</f>
        <v>Kenneth Rainer</v>
      </c>
      <c r="C10" t="str">
        <f>IFERROR(__xludf.DUMMYFUNCTION("""COMPUTED_VALUE"""),"Kenneth.Rainer@dep.state.fl.us")</f>
        <v>Kenneth.Rainer@dep.state.fl.us</v>
      </c>
      <c r="D10" t="str">
        <f>IFERROR(__xludf.DUMMYFUNCTION("""COMPUTED_VALUE"""),"Education")</f>
        <v>Education</v>
      </c>
      <c r="E10" t="str">
        <f>IFERROR(__xludf.DUMMYFUNCTION("""COMPUTED_VALUE"""),"Vilano Boat Ramp")</f>
        <v>Vilano Boat Ramp</v>
      </c>
      <c r="F10" s="13"/>
      <c r="G10" s="14">
        <f>IFERROR(__xludf.DUMMYFUNCTION("""COMPUTED_VALUE"""),42656.0)</f>
        <v>42656</v>
      </c>
      <c r="H10" t="str">
        <f>IFERROR(__xludf.DUMMYFUNCTION("""COMPUTED_VALUE"""),"Southern Component - Nekton Trawl")</f>
        <v>Southern Component - Nekton Trawl</v>
      </c>
      <c r="I10" s="15">
        <f>IFERROR(__xludf.DUMMYFUNCTION("""COMPUTED_VALUE"""),0.2708333333321207)</f>
        <v>0.2708333333</v>
      </c>
      <c r="J10" s="16">
        <f>IFERROR(__xludf.DUMMYFUNCTION("""COMPUTED_VALUE"""),42656.5)</f>
        <v>42656.5</v>
      </c>
      <c r="K10" t="str">
        <f>IFERROR(__xludf.DUMMYFUNCTION("""COMPUTED_VALUE"""),"23ft Skiff FL7972LJ DEP07613")</f>
        <v>23ft Skiff FL7972LJ DEP07613</v>
      </c>
      <c r="M10" t="str">
        <f>IFERROR(__xludf.DUMMYFUNCTION("""COMPUTED_VALUE"""),"Ford F150 2015 (White) - DEP21448")</f>
        <v>Ford F150 2015 (White) - DEP21448</v>
      </c>
      <c r="N10" t="str">
        <f>IFERROR(__xludf.DUMMYFUNCTION("""COMPUTED_VALUE"""),"Kenneth Rainer, (936) 499-1853")</f>
        <v>Kenneth Rainer, (936) 499-1853</v>
      </c>
      <c r="O10" t="str">
        <f>IFERROR(__xludf.DUMMYFUNCTION("""COMPUTED_VALUE"""),"Josephine Spearman, Nicholas Scheffer, Benjamin Rome, Ed McGinley")</f>
        <v>Josephine Spearman, Nicholas Scheffer, Benjamin Rome, Ed McGinley</v>
      </c>
      <c r="P10" t="str">
        <f>IFERROR(__xludf.DUMMYFUNCTION("""COMPUTED_VALUE"""),"Kenneth Rainer, (936) 499-1853")</f>
        <v>Kenneth Rainer, (936) 499-1853</v>
      </c>
      <c r="AE10" s="11"/>
      <c r="AF10" t="s">
        <v>9</v>
      </c>
      <c r="AG10" s="18"/>
      <c r="AH10" s="12"/>
      <c r="AI10" s="12" t="s">
        <v>8</v>
      </c>
      <c r="AJ10" s="12" t="s">
        <v>8</v>
      </c>
      <c r="AK10" s="12" t="s">
        <v>8</v>
      </c>
      <c r="AL10" s="12" t="s">
        <v>8</v>
      </c>
    </row>
    <row r="11">
      <c r="A11" s="10">
        <f>IFERROR(__xludf.DUMMYFUNCTION("""COMPUTED_VALUE"""),42710.56582446759)</f>
        <v>42710.56582</v>
      </c>
      <c r="B11" s="11" t="str">
        <f>IFERROR(__xludf.DUMMYFUNCTION("""COMPUTED_VALUE"""),"Kenneth Rainer")</f>
        <v>Kenneth Rainer</v>
      </c>
      <c r="C11" t="str">
        <f>IFERROR(__xludf.DUMMYFUNCTION("""COMPUTED_VALUE"""),"Kenneth.Rainer@dep.state.fl.us")</f>
        <v>Kenneth.Rainer@dep.state.fl.us</v>
      </c>
      <c r="D11" t="str">
        <f>IFERROR(__xludf.DUMMYFUNCTION("""COMPUTED_VALUE"""),"Education")</f>
        <v>Education</v>
      </c>
      <c r="E11" t="str">
        <f>IFERROR(__xludf.DUMMYFUNCTION("""COMPUTED_VALUE"""),"Vilano Boat Ramp")</f>
        <v>Vilano Boat Ramp</v>
      </c>
      <c r="F11" s="13"/>
      <c r="G11" s="14">
        <f>IFERROR(__xludf.DUMMYFUNCTION("""COMPUTED_VALUE"""),42711.0)</f>
        <v>42711</v>
      </c>
      <c r="H11" t="str">
        <f>IFERROR(__xludf.DUMMYFUNCTION("""COMPUTED_VALUE"""),"Nekton Sampling Sites")</f>
        <v>Nekton Sampling Sites</v>
      </c>
      <c r="I11" s="15">
        <f>IFERROR(__xludf.DUMMYFUNCTION("""COMPUTED_VALUE"""),0.5625)</f>
        <v>0.5625</v>
      </c>
      <c r="J11" s="16">
        <f>IFERROR(__xludf.DUMMYFUNCTION("""COMPUTED_VALUE"""),42711.70833333333)</f>
        <v>42711.70833</v>
      </c>
      <c r="K11" t="str">
        <f>IFERROR(__xludf.DUMMYFUNCTION("""COMPUTED_VALUE"""),"20ft Sea Ark FL5351SJ UNF 2015")</f>
        <v>20ft Sea Ark FL5351SJ UNF 2015</v>
      </c>
      <c r="M11" t="str">
        <f>IFERROR(__xludf.DUMMYFUNCTION("""COMPUTED_VALUE"""),"Ford F150 2015 (White) - DEP21448")</f>
        <v>Ford F150 2015 (White) - DEP21448</v>
      </c>
      <c r="N11" t="str">
        <f>IFERROR(__xludf.DUMMYFUNCTION("""COMPUTED_VALUE"""),"Kenneth Rainer, (936) 499-1853")</f>
        <v>Kenneth Rainer, (936) 499-1853</v>
      </c>
      <c r="O11" t="str">
        <f>IFERROR(__xludf.DUMMYFUNCTION("""COMPUTED_VALUE"""),"Ed McGinley")</f>
        <v>Ed McGinley</v>
      </c>
      <c r="P11" t="str">
        <f>IFERROR(__xludf.DUMMYFUNCTION("""COMPUTED_VALUE"""),"Kenneth Rainer, (936) 499-1853")</f>
        <v>Kenneth Rainer, (936) 499-1853</v>
      </c>
      <c r="AE11" s="11"/>
      <c r="AF11" t="s">
        <v>9</v>
      </c>
      <c r="AG11" s="18"/>
      <c r="AH11" s="12"/>
      <c r="AI11" s="12" t="s">
        <v>8</v>
      </c>
      <c r="AJ11" s="12" t="s">
        <v>8</v>
      </c>
      <c r="AK11" s="12" t="s">
        <v>8</v>
      </c>
      <c r="AL11" s="12" t="s">
        <v>8</v>
      </c>
    </row>
    <row r="12">
      <c r="A12" s="10">
        <f>IFERROR(__xludf.DUMMYFUNCTION("""COMPUTED_VALUE"""),42710.56651545139)</f>
        <v>42710.56652</v>
      </c>
      <c r="B12" s="11" t="str">
        <f>IFERROR(__xludf.DUMMYFUNCTION("""COMPUTED_VALUE"""),"Kenneth Rainer")</f>
        <v>Kenneth Rainer</v>
      </c>
      <c r="C12" t="str">
        <f>IFERROR(__xludf.DUMMYFUNCTION("""COMPUTED_VALUE"""),"Kenneth.Rainer@dep.state.fl.us")</f>
        <v>Kenneth.Rainer@dep.state.fl.us</v>
      </c>
      <c r="D12" t="str">
        <f>IFERROR(__xludf.DUMMYFUNCTION("""COMPUTED_VALUE"""),"Education")</f>
        <v>Education</v>
      </c>
      <c r="E12" t="str">
        <f>IFERROR(__xludf.DUMMYFUNCTION("""COMPUTED_VALUE"""),"Vilano Boat Ramp")</f>
        <v>Vilano Boat Ramp</v>
      </c>
      <c r="F12" s="13"/>
      <c r="G12" s="14">
        <f>IFERROR(__xludf.DUMMYFUNCTION("""COMPUTED_VALUE"""),42713.0)</f>
        <v>42713</v>
      </c>
      <c r="H12" t="str">
        <f>IFERROR(__xludf.DUMMYFUNCTION("""COMPUTED_VALUE"""),"Nekton Sampling Sites")</f>
        <v>Nekton Sampling Sites</v>
      </c>
      <c r="I12" s="15">
        <f>IFERROR(__xludf.DUMMYFUNCTION("""COMPUTED_VALUE"""),0.6458333333321207)</f>
        <v>0.6458333333</v>
      </c>
      <c r="J12" s="16">
        <f>IFERROR(__xludf.DUMMYFUNCTION("""COMPUTED_VALUE"""),42713.75)</f>
        <v>42713.75</v>
      </c>
      <c r="K12" t="str">
        <f>IFERROR(__xludf.DUMMYFUNCTION("""COMPUTED_VALUE"""),"20ft Sea Ark FL5351SJ UNF 2015")</f>
        <v>20ft Sea Ark FL5351SJ UNF 2015</v>
      </c>
      <c r="M12" t="str">
        <f>IFERROR(__xludf.DUMMYFUNCTION("""COMPUTED_VALUE"""),"Ford F150 2015 (White) - DEP21448")</f>
        <v>Ford F150 2015 (White) - DEP21448</v>
      </c>
      <c r="N12" t="str">
        <f>IFERROR(__xludf.DUMMYFUNCTION("""COMPUTED_VALUE"""),"Kenneth Rainer, (936) 499-1853")</f>
        <v>Kenneth Rainer, (936) 499-1853</v>
      </c>
      <c r="O12" t="str">
        <f>IFERROR(__xludf.DUMMYFUNCTION("""COMPUTED_VALUE"""),"Ed McGinley")</f>
        <v>Ed McGinley</v>
      </c>
      <c r="P12" t="str">
        <f>IFERROR(__xludf.DUMMYFUNCTION("""COMPUTED_VALUE"""),"Kenneth Rainer, (936) 499-1853")</f>
        <v>Kenneth Rainer, (936) 499-1853</v>
      </c>
      <c r="AE12" s="11"/>
      <c r="AF12" t="s">
        <v>9</v>
      </c>
      <c r="AG12" s="18"/>
      <c r="AH12" s="12"/>
      <c r="AI12" s="12" t="s">
        <v>8</v>
      </c>
      <c r="AJ12" s="12" t="s">
        <v>8</v>
      </c>
      <c r="AK12" s="12" t="s">
        <v>8</v>
      </c>
      <c r="AL12" s="12" t="s">
        <v>8</v>
      </c>
    </row>
    <row r="13">
      <c r="A13" s="10">
        <f>IFERROR(__xludf.DUMMYFUNCTION("""COMPUTED_VALUE"""),42775.52267298611)</f>
        <v>42775.52267</v>
      </c>
      <c r="B13" s="11" t="str">
        <f>IFERROR(__xludf.DUMMYFUNCTION("""COMPUTED_VALUE"""),"Kenneth Rainer")</f>
        <v>Kenneth Rainer</v>
      </c>
      <c r="C13" t="str">
        <f>IFERROR(__xludf.DUMMYFUNCTION("""COMPUTED_VALUE"""),"Kenneth.Rainer@dep.state.fl.us")</f>
        <v>Kenneth.Rainer@dep.state.fl.us</v>
      </c>
      <c r="D13" t="str">
        <f>IFERROR(__xludf.DUMMYFUNCTION("""COMPUTED_VALUE"""),"Education")</f>
        <v>Education</v>
      </c>
      <c r="E13" t="str">
        <f>IFERROR(__xludf.DUMMYFUNCTION("""COMPUTED_VALUE"""),"Vilano Boat Ramp")</f>
        <v>Vilano Boat Ramp</v>
      </c>
      <c r="F13" s="13"/>
      <c r="G13" s="14">
        <f>IFERROR(__xludf.DUMMYFUNCTION("""COMPUTED_VALUE"""),42776.0)</f>
        <v>42776</v>
      </c>
      <c r="H13" t="str">
        <f>IFERROR(__xludf.DUMMYFUNCTION("""COMPUTED_VALUE"""),"Southern Component")</f>
        <v>Southern Component</v>
      </c>
      <c r="I13" s="15">
        <f>IFERROR(__xludf.DUMMYFUNCTION("""COMPUTED_VALUE"""),0.3020833333321207)</f>
        <v>0.3020833333</v>
      </c>
      <c r="J13" s="16">
        <f>IFERROR(__xludf.DUMMYFUNCTION("""COMPUTED_VALUE"""),42776.5)</f>
        <v>42776.5</v>
      </c>
      <c r="M13" t="str">
        <f>IFERROR(__xludf.DUMMYFUNCTION("""COMPUTED_VALUE"""),"Ford F150 2015 (White) - DEP21448")</f>
        <v>Ford F150 2015 (White) - DEP21448</v>
      </c>
      <c r="N13" t="str">
        <f>IFERROR(__xludf.DUMMYFUNCTION("""COMPUTED_VALUE"""),"Kenneth Rainer, (936) 499-1853")</f>
        <v>Kenneth Rainer, (936) 499-1853</v>
      </c>
      <c r="O13" t="str">
        <f>IFERROR(__xludf.DUMMYFUNCTION("""COMPUTED_VALUE"""),"Lia Sansom, Ed McGinley, Two Flagler Students")</f>
        <v>Lia Sansom, Ed McGinley, Two Flagler Students</v>
      </c>
      <c r="P13" t="str">
        <f>IFERROR(__xludf.DUMMYFUNCTION("""COMPUTED_VALUE"""),"Kenneth Rainer, (936) 499-1853")</f>
        <v>Kenneth Rainer, (936) 499-1853</v>
      </c>
      <c r="AE13" s="11"/>
      <c r="AF13" t="s">
        <v>9</v>
      </c>
      <c r="AG13" s="18"/>
      <c r="AH13" s="12"/>
      <c r="AI13" s="12" t="s">
        <v>8</v>
      </c>
      <c r="AJ13" s="12" t="s">
        <v>8</v>
      </c>
      <c r="AK13" s="12" t="s">
        <v>8</v>
      </c>
      <c r="AL13" s="12" t="s">
        <v>8</v>
      </c>
    </row>
    <row r="14">
      <c r="A14" s="10">
        <f>IFERROR(__xludf.DUMMYFUNCTION("""COMPUTED_VALUE"""),42789.423990752315)</f>
        <v>42789.42399</v>
      </c>
      <c r="B14" s="11" t="str">
        <f>IFERROR(__xludf.DUMMYFUNCTION("""COMPUTED_VALUE"""),"Kenneth Rainer")</f>
        <v>Kenneth Rainer</v>
      </c>
      <c r="C14" t="str">
        <f>IFERROR(__xludf.DUMMYFUNCTION("""COMPUTED_VALUE"""),"Kenneth.Rainer@dep.state.fl.us")</f>
        <v>Kenneth.Rainer@dep.state.fl.us</v>
      </c>
      <c r="D14" t="str">
        <f>IFERROR(__xludf.DUMMYFUNCTION("""COMPUTED_VALUE"""),"Education")</f>
        <v>Education</v>
      </c>
      <c r="E14" t="str">
        <f>IFERROR(__xludf.DUMMYFUNCTION("""COMPUTED_VALUE"""),"Vilano Boat Ramp")</f>
        <v>Vilano Boat Ramp</v>
      </c>
      <c r="F14" s="13"/>
      <c r="G14" s="14">
        <f>IFERROR(__xludf.DUMMYFUNCTION("""COMPUTED_VALUE"""),42790.0)</f>
        <v>42790</v>
      </c>
      <c r="H14" t="str">
        <f>IFERROR(__xludf.DUMMYFUNCTION("""COMPUTED_VALUE"""),"Northern Component for Nekton Survey")</f>
        <v>Northern Component for Nekton Survey</v>
      </c>
      <c r="I14" s="15">
        <f>IFERROR(__xludf.DUMMYFUNCTION("""COMPUTED_VALUE"""),0.26388888889050577)</f>
        <v>0.2638888889</v>
      </c>
      <c r="J14" s="16">
        <f>IFERROR(__xludf.DUMMYFUNCTION("""COMPUTED_VALUE"""),42790.5)</f>
        <v>42790.5</v>
      </c>
      <c r="K14" t="str">
        <f>IFERROR(__xludf.DUMMYFUNCTION("""COMPUTED_VALUE"""),"23ft Skiff FL7972LJ DEP07613")</f>
        <v>23ft Skiff FL7972LJ DEP07613</v>
      </c>
      <c r="M14" t="str">
        <f>IFERROR(__xludf.DUMMYFUNCTION("""COMPUTED_VALUE"""),"Ford F150 2015 (White) - DEP21448")</f>
        <v>Ford F150 2015 (White) - DEP21448</v>
      </c>
      <c r="N14" t="str">
        <f>IFERROR(__xludf.DUMMYFUNCTION("""COMPUTED_VALUE"""),"Kenneth Rainer, (936) 499-1853")</f>
        <v>Kenneth Rainer, (936) 499-1853</v>
      </c>
      <c r="O14" t="str">
        <f>IFERROR(__xludf.DUMMYFUNCTION("""COMPUTED_VALUE"""),"Ed McGinley, 3 Flagler Students")</f>
        <v>Ed McGinley, 3 Flagler Students</v>
      </c>
      <c r="P14" t="str">
        <f>IFERROR(__xludf.DUMMYFUNCTION("""COMPUTED_VALUE"""),"Kenneth Rainer, (936) 499-1853")</f>
        <v>Kenneth Rainer, (936) 499-1853</v>
      </c>
      <c r="AE14" s="11"/>
      <c r="AF14" t="s">
        <v>9</v>
      </c>
      <c r="AG14" s="18"/>
      <c r="AH14" s="12"/>
      <c r="AI14" s="12" t="s">
        <v>8</v>
      </c>
      <c r="AJ14" s="12" t="s">
        <v>8</v>
      </c>
      <c r="AK14" s="12" t="s">
        <v>8</v>
      </c>
      <c r="AL14" s="12" t="s">
        <v>8</v>
      </c>
    </row>
    <row r="15">
      <c r="A15" s="10">
        <f>IFERROR(__xludf.DUMMYFUNCTION("""COMPUTED_VALUE"""),42804.322415208335)</f>
        <v>42804.32242</v>
      </c>
      <c r="B15" s="11" t="str">
        <f>IFERROR(__xludf.DUMMYFUNCTION("""COMPUTED_VALUE"""),"Kenneth Rainer")</f>
        <v>Kenneth Rainer</v>
      </c>
      <c r="C15" t="str">
        <f>IFERROR(__xludf.DUMMYFUNCTION("""COMPUTED_VALUE"""),"Kenneth.Rainer@dep.state.fl.us")</f>
        <v>Kenneth.Rainer@dep.state.fl.us</v>
      </c>
      <c r="D15" t="str">
        <f>IFERROR(__xludf.DUMMYFUNCTION("""COMPUTED_VALUE"""),"Education")</f>
        <v>Education</v>
      </c>
      <c r="E15" t="str">
        <f>IFERROR(__xludf.DUMMYFUNCTION("""COMPUTED_VALUE"""),"Usina Boat Ramp")</f>
        <v>Usina Boat Ramp</v>
      </c>
      <c r="F15" s="13"/>
      <c r="G15" s="14">
        <f>IFERROR(__xludf.DUMMYFUNCTION("""COMPUTED_VALUE"""),42804.0)</f>
        <v>42804</v>
      </c>
      <c r="H15" t="str">
        <f>IFERROR(__xludf.DUMMYFUNCTION("""COMPUTED_VALUE"""),"Northern Component of GTM")</f>
        <v>Northern Component of GTM</v>
      </c>
      <c r="I15" s="15">
        <f>IFERROR(__xludf.DUMMYFUNCTION("""COMPUTED_VALUE"""),0.3541666666678793)</f>
        <v>0.3541666667</v>
      </c>
      <c r="J15" s="16">
        <f>IFERROR(__xludf.DUMMYFUNCTION("""COMPUTED_VALUE"""),42804.54166666667)</f>
        <v>42804.54167</v>
      </c>
      <c r="K15" t="str">
        <f>IFERROR(__xludf.DUMMYFUNCTION("""COMPUTED_VALUE"""),"23ft Skiff FL7972LJ DEP07613")</f>
        <v>23ft Skiff FL7972LJ DEP07613</v>
      </c>
      <c r="N15" t="str">
        <f>IFERROR(__xludf.DUMMYFUNCTION("""COMPUTED_VALUE"""),"Kenneth Rainer, (936) 499-1853")</f>
        <v>Kenneth Rainer, (936) 499-1853</v>
      </c>
      <c r="O15" t="str">
        <f>IFERROR(__xludf.DUMMYFUNCTION("""COMPUTED_VALUE"""),"Kenneth Rainer, (936) 499-1853, McCoy students and teachers")</f>
        <v>Kenneth Rainer, (936) 499-1853, McCoy students and teachers</v>
      </c>
      <c r="P15" t="str">
        <f>IFERROR(__xludf.DUMMYFUNCTION("""COMPUTED_VALUE"""),"Kenneth Rainer, (936) 499-1853")</f>
        <v>Kenneth Rainer, (936) 499-1853</v>
      </c>
      <c r="AE15" s="11"/>
      <c r="AF15" t="s">
        <v>9</v>
      </c>
      <c r="AG15" s="18"/>
      <c r="AH15" s="12"/>
      <c r="AI15" s="12" t="s">
        <v>8</v>
      </c>
      <c r="AJ15" s="12" t="s">
        <v>8</v>
      </c>
      <c r="AK15" s="12" t="s">
        <v>8</v>
      </c>
      <c r="AL15" s="12" t="s">
        <v>8</v>
      </c>
    </row>
    <row r="16">
      <c r="A16" s="10">
        <f>IFERROR(__xludf.DUMMYFUNCTION("""COMPUTED_VALUE"""),42838.392366643515)</f>
        <v>42838.39237</v>
      </c>
      <c r="B16" s="11" t="str">
        <f>IFERROR(__xludf.DUMMYFUNCTION("""COMPUTED_VALUE"""),"Kenneth Rainer")</f>
        <v>Kenneth Rainer</v>
      </c>
      <c r="C16" t="str">
        <f>IFERROR(__xludf.DUMMYFUNCTION("""COMPUTED_VALUE"""),"Kenneth.Rainer@dep.state.fl.us")</f>
        <v>Kenneth.Rainer@dep.state.fl.us</v>
      </c>
      <c r="D16" t="str">
        <f>IFERROR(__xludf.DUMMYFUNCTION("""COMPUTED_VALUE"""),"Education")</f>
        <v>Education</v>
      </c>
      <c r="E16" t="str">
        <f>IFERROR(__xludf.DUMMYFUNCTION("""COMPUTED_VALUE"""),"Vilano Boat Ramp")</f>
        <v>Vilano Boat Ramp</v>
      </c>
      <c r="F16" s="13"/>
      <c r="G16" s="14">
        <f>IFERROR(__xludf.DUMMYFUNCTION("""COMPUTED_VALUE"""),42840.0)</f>
        <v>42840</v>
      </c>
      <c r="H16" t="str">
        <f>IFERROR(__xludf.DUMMYFUNCTION("""COMPUTED_VALUE"""),"Northern Component")</f>
        <v>Northern Component</v>
      </c>
      <c r="I16" s="15">
        <f>IFERROR(__xludf.DUMMYFUNCTION("""COMPUTED_VALUE"""),0.3333333333321207)</f>
        <v>0.3333333333</v>
      </c>
      <c r="J16" s="16">
        <f>IFERROR(__xludf.DUMMYFUNCTION("""COMPUTED_VALUE"""),42842.33333333333)</f>
        <v>42842.33333</v>
      </c>
      <c r="K16" t="str">
        <f>IFERROR(__xludf.DUMMYFUNCTION("""COMPUTED_VALUE"""),"23ft Skiff FL7972LJ DEP07613")</f>
        <v>23ft Skiff FL7972LJ DEP07613</v>
      </c>
      <c r="M16" t="str">
        <f>IFERROR(__xludf.DUMMYFUNCTION("""COMPUTED_VALUE"""),"Ford F150 2015 (White) - DEP21448")</f>
        <v>Ford F150 2015 (White) - DEP21448</v>
      </c>
      <c r="N16" t="str">
        <f>IFERROR(__xludf.DUMMYFUNCTION("""COMPUTED_VALUE"""),"Kenneth Rainer, (936) 499-1853")</f>
        <v>Kenneth Rainer, (936) 499-1853</v>
      </c>
      <c r="O16" t="str">
        <f>IFERROR(__xludf.DUMMYFUNCTION("""COMPUTED_VALUE"""),"Joe McCoy; Nancy Watson; Mary Turner; Michael Chen; Matthew Petty; Isabella Cioffi; Kaleb Cowart")</f>
        <v>Joe McCoy; Nancy Watson; Mary Turner; Michael Chen; Matthew Petty; Isabella Cioffi; Kaleb Cowart</v>
      </c>
      <c r="P16" t="str">
        <f>IFERROR(__xludf.DUMMYFUNCTION("""COMPUTED_VALUE"""),"Kenneth Rainer, (936) 499-1853")</f>
        <v>Kenneth Rainer, (936) 499-1853</v>
      </c>
      <c r="AE16" s="11"/>
      <c r="AF16" t="s">
        <v>9</v>
      </c>
      <c r="AG16" s="18"/>
      <c r="AH16" s="12"/>
      <c r="AI16" s="12" t="s">
        <v>8</v>
      </c>
      <c r="AJ16" s="12" t="s">
        <v>8</v>
      </c>
      <c r="AK16" s="12" t="s">
        <v>8</v>
      </c>
      <c r="AL16" s="12" t="s">
        <v>8</v>
      </c>
    </row>
    <row r="17">
      <c r="A17" s="10">
        <f>IFERROR(__xludf.DUMMYFUNCTION("""COMPUTED_VALUE"""),42845.52479333334)</f>
        <v>42845.52479</v>
      </c>
      <c r="B17" s="11" t="str">
        <f>IFERROR(__xludf.DUMMYFUNCTION("""COMPUTED_VALUE"""),"Kenneth Rainer")</f>
        <v>Kenneth Rainer</v>
      </c>
      <c r="C17" t="str">
        <f>IFERROR(__xludf.DUMMYFUNCTION("""COMPUTED_VALUE"""),"Kenneth.Rainer@dep.state.fl.us")</f>
        <v>Kenneth.Rainer@dep.state.fl.us</v>
      </c>
      <c r="D17" t="str">
        <f>IFERROR(__xludf.DUMMYFUNCTION("""COMPUTED_VALUE"""),"Education")</f>
        <v>Education</v>
      </c>
      <c r="E17" t="str">
        <f>IFERROR(__xludf.DUMMYFUNCTION("""COMPUTED_VALUE"""),"Vilano Boat Ramp")</f>
        <v>Vilano Boat Ramp</v>
      </c>
      <c r="F17" s="13"/>
      <c r="G17" s="14">
        <f>IFERROR(__xludf.DUMMYFUNCTION("""COMPUTED_VALUE"""),42846.0)</f>
        <v>42846</v>
      </c>
      <c r="H17" t="str">
        <f>IFERROR(__xludf.DUMMYFUNCTION("""COMPUTED_VALUE"""),"Northern Component")</f>
        <v>Northern Component</v>
      </c>
      <c r="I17" s="15">
        <f>IFERROR(__xludf.DUMMYFUNCTION("""COMPUTED_VALUE"""),0.2708333333321207)</f>
        <v>0.2708333333</v>
      </c>
      <c r="J17" s="16">
        <f>IFERROR(__xludf.DUMMYFUNCTION("""COMPUTED_VALUE"""),42846.54166666667)</f>
        <v>42846.54167</v>
      </c>
      <c r="K17" t="str">
        <f>IFERROR(__xludf.DUMMYFUNCTION("""COMPUTED_VALUE"""),"20ft Sea Ark FL5351SJ UNF 2015")</f>
        <v>20ft Sea Ark FL5351SJ UNF 2015</v>
      </c>
      <c r="M17" t="str">
        <f>IFERROR(__xludf.DUMMYFUNCTION("""COMPUTED_VALUE"""),"Ford F150 2015 (White) - DEP21448")</f>
        <v>Ford F150 2015 (White) - DEP21448</v>
      </c>
      <c r="N17" t="str">
        <f>IFERROR(__xludf.DUMMYFUNCTION("""COMPUTED_VALUE"""),"Kenneth Rainer, (936) 499-1853")</f>
        <v>Kenneth Rainer, (936) 499-1853</v>
      </c>
      <c r="O17" t="str">
        <f>IFERROR(__xludf.DUMMYFUNCTION("""COMPUTED_VALUE"""),"Nikki Dix, (352) 219-4079, Matt Monroe, Ed McGinley")</f>
        <v>Nikki Dix, (352) 219-4079, Matt Monroe, Ed McGinley</v>
      </c>
      <c r="P17" t="str">
        <f>IFERROR(__xludf.DUMMYFUNCTION("""COMPUTED_VALUE"""),"Kenneth Rainer, (936) 499-1853")</f>
        <v>Kenneth Rainer, (936) 499-1853</v>
      </c>
      <c r="AE17" s="11"/>
      <c r="AF17" t="s">
        <v>9</v>
      </c>
      <c r="AG17" s="18"/>
      <c r="AH17" s="12"/>
      <c r="AI17" s="12" t="s">
        <v>8</v>
      </c>
      <c r="AJ17" s="12" t="s">
        <v>8</v>
      </c>
      <c r="AK17" s="12" t="s">
        <v>8</v>
      </c>
      <c r="AL17" s="12" t="s">
        <v>8</v>
      </c>
    </row>
    <row r="18">
      <c r="A18" s="10">
        <f>IFERROR(__xludf.DUMMYFUNCTION("""COMPUTED_VALUE"""),42852.416892210655)</f>
        <v>42852.41689</v>
      </c>
      <c r="B18" s="11" t="str">
        <f>IFERROR(__xludf.DUMMYFUNCTION("""COMPUTED_VALUE"""),"Kenneth Rainer")</f>
        <v>Kenneth Rainer</v>
      </c>
      <c r="C18" t="str">
        <f>IFERROR(__xludf.DUMMYFUNCTION("""COMPUTED_VALUE"""),"Kenneth.Rainer@dep.state.fl.us")</f>
        <v>Kenneth.Rainer@dep.state.fl.us</v>
      </c>
      <c r="D18" t="str">
        <f>IFERROR(__xludf.DUMMYFUNCTION("""COMPUTED_VALUE"""),"Education")</f>
        <v>Education</v>
      </c>
      <c r="E18" t="str">
        <f>IFERROR(__xludf.DUMMYFUNCTION("""COMPUTED_VALUE"""),"Vilano Boat Ramp")</f>
        <v>Vilano Boat Ramp</v>
      </c>
      <c r="F18" s="13"/>
      <c r="G18" s="14">
        <f>IFERROR(__xludf.DUMMYFUNCTION("""COMPUTED_VALUE"""),42853.0)</f>
        <v>42853</v>
      </c>
      <c r="H18" t="str">
        <f>IFERROR(__xludf.DUMMYFUNCTION("""COMPUTED_VALUE"""),"Southern Component")</f>
        <v>Southern Component</v>
      </c>
      <c r="I18" s="15">
        <f>IFERROR(__xludf.DUMMYFUNCTION("""COMPUTED_VALUE"""),0.4166666666678793)</f>
        <v>0.4166666667</v>
      </c>
      <c r="J18" s="16">
        <f>IFERROR(__xludf.DUMMYFUNCTION("""COMPUTED_VALUE"""),42853.58333333333)</f>
        <v>42853.58333</v>
      </c>
      <c r="K18" t="str">
        <f>IFERROR(__xludf.DUMMYFUNCTION("""COMPUTED_VALUE"""),"23ft Skiff FL7972LJ DEP07613")</f>
        <v>23ft Skiff FL7972LJ DEP07613</v>
      </c>
      <c r="M18" t="str">
        <f>IFERROR(__xludf.DUMMYFUNCTION("""COMPUTED_VALUE"""),"Ford F150 2015 (White) - DEP21448")</f>
        <v>Ford F150 2015 (White) - DEP21448</v>
      </c>
      <c r="N18" t="str">
        <f>IFERROR(__xludf.DUMMYFUNCTION("""COMPUTED_VALUE"""),"Kenneth Rainer, (936) 499-1853")</f>
        <v>Kenneth Rainer, (936) 499-1853</v>
      </c>
      <c r="O18" t="str">
        <f>IFERROR(__xludf.DUMMYFUNCTION("""COMPUTED_VALUE"""),"Matt Monroe, Ed McGinley")</f>
        <v>Matt Monroe, Ed McGinley</v>
      </c>
      <c r="AE18" s="11"/>
      <c r="AF18" t="s">
        <v>9</v>
      </c>
      <c r="AG18" s="18"/>
      <c r="AH18" s="12"/>
      <c r="AI18" s="12" t="s">
        <v>8</v>
      </c>
      <c r="AJ18" s="12" t="s">
        <v>8</v>
      </c>
      <c r="AK18" s="12" t="s">
        <v>8</v>
      </c>
      <c r="AL18" s="12" t="s">
        <v>8</v>
      </c>
    </row>
    <row r="19">
      <c r="A19" s="10">
        <f>IFERROR(__xludf.DUMMYFUNCTION("""COMPUTED_VALUE"""),42858.394262442125)</f>
        <v>42858.39426</v>
      </c>
      <c r="B19" s="11" t="str">
        <f>IFERROR(__xludf.DUMMYFUNCTION("""COMPUTED_VALUE"""),"Kenneth Rainer")</f>
        <v>Kenneth Rainer</v>
      </c>
      <c r="C19" t="str">
        <f>IFERROR(__xludf.DUMMYFUNCTION("""COMPUTED_VALUE"""),"Kenneth.Rainer@dep.state.fl.us")</f>
        <v>Kenneth.Rainer@dep.state.fl.us</v>
      </c>
      <c r="D19" t="str">
        <f>IFERROR(__xludf.DUMMYFUNCTION("""COMPUTED_VALUE"""),"Education")</f>
        <v>Education</v>
      </c>
      <c r="E19" t="str">
        <f>IFERROR(__xludf.DUMMYFUNCTION("""COMPUTED_VALUE"""),"Usina Boat Ramp")</f>
        <v>Usina Boat Ramp</v>
      </c>
      <c r="F19" s="13"/>
      <c r="G19" s="14">
        <f>IFERROR(__xludf.DUMMYFUNCTION("""COMPUTED_VALUE"""),42860.0)</f>
        <v>42860</v>
      </c>
      <c r="H19" t="str">
        <f>IFERROR(__xludf.DUMMYFUNCTION("""COMPUTED_VALUE"""),"Northern Portion of GTM NERR")</f>
        <v>Northern Portion of GTM NERR</v>
      </c>
      <c r="I19" s="15">
        <f>IFERROR(__xludf.DUMMYFUNCTION("""COMPUTED_VALUE"""),0.2916666666678793)</f>
        <v>0.2916666667</v>
      </c>
      <c r="J19" s="16">
        <f>IFERROR(__xludf.DUMMYFUNCTION("""COMPUTED_VALUE"""),42860.58333333333)</f>
        <v>42860.58333</v>
      </c>
      <c r="K19" t="str">
        <f>IFERROR(__xludf.DUMMYFUNCTION("""COMPUTED_VALUE"""),"23ft Skiff FL7972LJ DEP07613")</f>
        <v>23ft Skiff FL7972LJ DEP07613</v>
      </c>
      <c r="M19" t="str">
        <f>IFERROR(__xludf.DUMMYFUNCTION("""COMPUTED_VALUE"""),"Ford F150 2015 (White) - DEP21448")</f>
        <v>Ford F150 2015 (White) - DEP21448</v>
      </c>
      <c r="N19" t="str">
        <f>IFERROR(__xludf.DUMMYFUNCTION("""COMPUTED_VALUE"""),"Kenneth Rainer, (936) 499-1853")</f>
        <v>Kenneth Rainer, (936) 499-1853</v>
      </c>
      <c r="O19" t="str">
        <f>IFERROR(__xludf.DUMMYFUNCTION("""COMPUTED_VALUE"""),"Emma Hanson")</f>
        <v>Emma Hanson</v>
      </c>
      <c r="P19" t="str">
        <f>IFERROR(__xludf.DUMMYFUNCTION("""COMPUTED_VALUE"""),"Kenneth Rainer, (936) 499-1853")</f>
        <v>Kenneth Rainer, (936) 499-1853</v>
      </c>
      <c r="AE19" s="11"/>
      <c r="AF19" t="s">
        <v>9</v>
      </c>
      <c r="AG19" s="18"/>
      <c r="AH19" s="12"/>
      <c r="AI19" s="12" t="s">
        <v>8</v>
      </c>
      <c r="AJ19" s="12" t="s">
        <v>8</v>
      </c>
      <c r="AK19" s="12" t="s">
        <v>8</v>
      </c>
      <c r="AL19" s="12" t="s">
        <v>8</v>
      </c>
    </row>
    <row r="20">
      <c r="A20" s="10">
        <f>IFERROR(__xludf.DUMMYFUNCTION("""COMPUTED_VALUE"""),42891.496738761576)</f>
        <v>42891.49674</v>
      </c>
      <c r="B20" s="11" t="str">
        <f>IFERROR(__xludf.DUMMYFUNCTION("""COMPUTED_VALUE"""),"Kenneth Rainer")</f>
        <v>Kenneth Rainer</v>
      </c>
      <c r="C20" t="str">
        <f>IFERROR(__xludf.DUMMYFUNCTION("""COMPUTED_VALUE"""),"Kenneth.Rainer@dep.state.fl.us")</f>
        <v>Kenneth.Rainer@dep.state.fl.us</v>
      </c>
      <c r="D20" t="str">
        <f>IFERROR(__xludf.DUMMYFUNCTION("""COMPUTED_VALUE"""),"Education")</f>
        <v>Education</v>
      </c>
      <c r="F20" s="13"/>
      <c r="G20" s="14">
        <f>IFERROR(__xludf.DUMMYFUNCTION("""COMPUTED_VALUE"""),42894.0)</f>
        <v>42894</v>
      </c>
      <c r="I20" s="15">
        <f>IFERROR(__xludf.DUMMYFUNCTION("""COMPUTED_VALUE"""),0.3333333333321207)</f>
        <v>0.3333333333</v>
      </c>
      <c r="J20" s="16">
        <f>IFERROR(__xludf.DUMMYFUNCTION("""COMPUTED_VALUE"""),42894.58333333333)</f>
        <v>42894.58333</v>
      </c>
      <c r="K20" t="str">
        <f>IFERROR(__xludf.DUMMYFUNCTION("""COMPUTED_VALUE"""),"23ft Skiff FL7972LJ DEP07613")</f>
        <v>23ft Skiff FL7972LJ DEP07613</v>
      </c>
      <c r="M20" t="str">
        <f>IFERROR(__xludf.DUMMYFUNCTION("""COMPUTED_VALUE"""),"Ford F150 2015 (White) - DEP21448")</f>
        <v>Ford F150 2015 (White) - DEP21448</v>
      </c>
      <c r="N20" t="str">
        <f>IFERROR(__xludf.DUMMYFUNCTION("""COMPUTED_VALUE"""),"Kenneth Rainer, (936) 499-1853")</f>
        <v>Kenneth Rainer, (936) 499-1853</v>
      </c>
      <c r="O20" t="str">
        <f>IFERROR(__xludf.DUMMYFUNCTION("""COMPUTED_VALUE"""),"Kenneth Rainer, (936) 499-1853")</f>
        <v>Kenneth Rainer, (936) 499-1853</v>
      </c>
      <c r="P20" t="str">
        <f>IFERROR(__xludf.DUMMYFUNCTION("""COMPUTED_VALUE"""),"Kenneth Rainer, (936) 499-1853")</f>
        <v>Kenneth Rainer, (936) 499-1853</v>
      </c>
      <c r="AE20" s="11"/>
      <c r="AF20" t="s">
        <v>9</v>
      </c>
      <c r="AG20" s="18"/>
      <c r="AH20" s="12"/>
      <c r="AI20" s="12" t="s">
        <v>8</v>
      </c>
      <c r="AJ20" s="12" t="s">
        <v>8</v>
      </c>
      <c r="AK20" s="12" t="s">
        <v>8</v>
      </c>
      <c r="AL20" s="12" t="s">
        <v>8</v>
      </c>
    </row>
    <row r="21">
      <c r="A21" s="10">
        <f>IFERROR(__xludf.DUMMYFUNCTION("""COMPUTED_VALUE"""),42891.49732659722)</f>
        <v>42891.49733</v>
      </c>
      <c r="B21" s="11" t="str">
        <f>IFERROR(__xludf.DUMMYFUNCTION("""COMPUTED_VALUE"""),"Kenneth Rainer")</f>
        <v>Kenneth Rainer</v>
      </c>
      <c r="C21" t="str">
        <f>IFERROR(__xludf.DUMMYFUNCTION("""COMPUTED_VALUE"""),"Kenneth.Rainer@dep.state.fl.us")</f>
        <v>Kenneth.Rainer@dep.state.fl.us</v>
      </c>
      <c r="D21" t="str">
        <f>IFERROR(__xludf.DUMMYFUNCTION("""COMPUTED_VALUE"""),"Education")</f>
        <v>Education</v>
      </c>
      <c r="F21" s="13"/>
      <c r="G21" s="14">
        <f>IFERROR(__xludf.DUMMYFUNCTION("""COMPUTED_VALUE"""),42895.0)</f>
        <v>42895</v>
      </c>
      <c r="I21" s="15">
        <f>IFERROR(__xludf.DUMMYFUNCTION("""COMPUTED_VALUE"""),0.3333333333321207)</f>
        <v>0.3333333333</v>
      </c>
      <c r="J21" s="16">
        <f>IFERROR(__xludf.DUMMYFUNCTION("""COMPUTED_VALUE"""),42895.58333333333)</f>
        <v>42895.58333</v>
      </c>
      <c r="K21" t="str">
        <f>IFERROR(__xludf.DUMMYFUNCTION("""COMPUTED_VALUE"""),"23ft Skiff FL7972LJ DEP07613")</f>
        <v>23ft Skiff FL7972LJ DEP07613</v>
      </c>
      <c r="M21" t="str">
        <f>IFERROR(__xludf.DUMMYFUNCTION("""COMPUTED_VALUE"""),"Ford F150 2015 (White) - DEP21448")</f>
        <v>Ford F150 2015 (White) - DEP21448</v>
      </c>
      <c r="N21" t="str">
        <f>IFERROR(__xludf.DUMMYFUNCTION("""COMPUTED_VALUE"""),"Kenneth Rainer, (936) 499-1853")</f>
        <v>Kenneth Rainer, (936) 499-1853</v>
      </c>
      <c r="O21" t="str">
        <f>IFERROR(__xludf.DUMMYFUNCTION("""COMPUTED_VALUE"""),"Kenneth Rainer, (936) 499-1853")</f>
        <v>Kenneth Rainer, (936) 499-1853</v>
      </c>
      <c r="P21" t="str">
        <f>IFERROR(__xludf.DUMMYFUNCTION("""COMPUTED_VALUE"""),"Kenneth Rainer, (936) 499-1853")</f>
        <v>Kenneth Rainer, (936) 499-1853</v>
      </c>
      <c r="AE21" s="11"/>
      <c r="AF21" t="s">
        <v>9</v>
      </c>
      <c r="AG21" s="18"/>
      <c r="AH21" s="12"/>
      <c r="AI21" s="12" t="s">
        <v>8</v>
      </c>
      <c r="AJ21" s="12" t="s">
        <v>8</v>
      </c>
      <c r="AK21" s="12" t="s">
        <v>8</v>
      </c>
      <c r="AL21" s="12" t="s">
        <v>8</v>
      </c>
    </row>
    <row r="22">
      <c r="A22" s="10">
        <f>IFERROR(__xludf.DUMMYFUNCTION("""COMPUTED_VALUE"""),42899.43015910879)</f>
        <v>42899.43016</v>
      </c>
      <c r="B22" s="11" t="str">
        <f>IFERROR(__xludf.DUMMYFUNCTION("""COMPUTED_VALUE"""),"Kenneth Rainer")</f>
        <v>Kenneth Rainer</v>
      </c>
      <c r="C22" t="str">
        <f>IFERROR(__xludf.DUMMYFUNCTION("""COMPUTED_VALUE"""),"Kenneth.Rainer@dep.state.fl.us")</f>
        <v>Kenneth.Rainer@dep.state.fl.us</v>
      </c>
      <c r="D22" t="str">
        <f>IFERROR(__xludf.DUMMYFUNCTION("""COMPUTED_VALUE"""),"Education")</f>
        <v>Education</v>
      </c>
      <c r="E22" t="str">
        <f>IFERROR(__xludf.DUMMYFUNCTION("""COMPUTED_VALUE"""),"Aunt Kate's")</f>
        <v>Aunt Kate's</v>
      </c>
      <c r="F22" s="13"/>
      <c r="G22" s="14">
        <f>IFERROR(__xludf.DUMMYFUNCTION("""COMPUTED_VALUE"""),42900.0)</f>
        <v>42900</v>
      </c>
      <c r="H22" t="str">
        <f>IFERROR(__xludf.DUMMYFUNCTION("""COMPUTED_VALUE"""),"Guana Peninsula")</f>
        <v>Guana Peninsula</v>
      </c>
      <c r="I22" s="15">
        <f>IFERROR(__xludf.DUMMYFUNCTION("""COMPUTED_VALUE"""),0.375)</f>
        <v>0.375</v>
      </c>
      <c r="J22" s="16">
        <f>IFERROR(__xludf.DUMMYFUNCTION("""COMPUTED_VALUE"""),42900.54166666667)</f>
        <v>42900.54167</v>
      </c>
      <c r="K22" t="str">
        <f>IFERROR(__xludf.DUMMYFUNCTION("""COMPUTED_VALUE"""),"23ft Skiff FL7972LJ DEP07613")</f>
        <v>23ft Skiff FL7972LJ DEP07613</v>
      </c>
      <c r="M22" t="str">
        <f>IFERROR(__xludf.DUMMYFUNCTION("""COMPUTED_VALUE"""),"Ford F150 2015 (White) - DEP21448")</f>
        <v>Ford F150 2015 (White) - DEP21448</v>
      </c>
      <c r="N22" t="str">
        <f>IFERROR(__xludf.DUMMYFUNCTION("""COMPUTED_VALUE"""),"Kenneth Rainer, (936) 499-1853")</f>
        <v>Kenneth Rainer, (936) 499-1853</v>
      </c>
      <c r="O22" t="str">
        <f>IFERROR(__xludf.DUMMYFUNCTION("""COMPUTED_VALUE"""),"Kenneth Rainer, (936) 499-1853")</f>
        <v>Kenneth Rainer, (936) 499-1853</v>
      </c>
      <c r="P22" t="str">
        <f>IFERROR(__xludf.DUMMYFUNCTION("""COMPUTED_VALUE"""),"Kenneth Rainer, (936) 499-1853")</f>
        <v>Kenneth Rainer, (936) 499-1853</v>
      </c>
      <c r="AD22" t="str">
        <f>IFERROR(__xludf.DUMMYFUNCTION("""COMPUTED_VALUE"""),"Weather at 9:00 A.M. - 78F, 51% rain, 3mph S")</f>
        <v>Weather at 9:00 A.M. - 78F, 51% rain, 3mph S</v>
      </c>
      <c r="AE22" s="11" t="str">
        <f>IFERROR(__xludf.DUMMYFUNCTION("""COMPUTED_VALUE"""),"Tides: Low at 6:31 A.M. and High at 12:34 P.M.")</f>
        <v>Tides: Low at 6:31 A.M. and High at 12:34 P.M.</v>
      </c>
      <c r="AF22" t="s">
        <v>9</v>
      </c>
      <c r="AG22" s="18"/>
      <c r="AH22" s="12"/>
      <c r="AI22" s="12" t="s">
        <v>8</v>
      </c>
      <c r="AJ22" s="12" t="s">
        <v>8</v>
      </c>
      <c r="AK22" s="12" t="s">
        <v>8</v>
      </c>
      <c r="AL22" s="12" t="s">
        <v>8</v>
      </c>
    </row>
    <row r="23">
      <c r="A23" s="10">
        <f>IFERROR(__xludf.DUMMYFUNCTION("""COMPUTED_VALUE"""),42906.52277644676)</f>
        <v>42906.52278</v>
      </c>
      <c r="B23" s="11" t="str">
        <f>IFERROR(__xludf.DUMMYFUNCTION("""COMPUTED_VALUE"""),"Kenneth Rainer")</f>
        <v>Kenneth Rainer</v>
      </c>
      <c r="C23" t="str">
        <f>IFERROR(__xludf.DUMMYFUNCTION("""COMPUTED_VALUE"""),"Kenneth.Rainer@dep.state.fl.us")</f>
        <v>Kenneth.Rainer@dep.state.fl.us</v>
      </c>
      <c r="D23" t="str">
        <f>IFERROR(__xludf.DUMMYFUNCTION("""COMPUTED_VALUE"""),"Education")</f>
        <v>Education</v>
      </c>
      <c r="E23" t="str">
        <f>IFERROR(__xludf.DUMMYFUNCTION("""COMPUTED_VALUE"""),"Aunt Kate's Boat Ramp")</f>
        <v>Aunt Kate's Boat Ramp</v>
      </c>
      <c r="F23" s="13"/>
      <c r="G23" s="14">
        <f>IFERROR(__xludf.DUMMYFUNCTION("""COMPUTED_VALUE"""),42907.0)</f>
        <v>42907</v>
      </c>
      <c r="H23" t="str">
        <f>IFERROR(__xludf.DUMMYFUNCTION("""COMPUTED_VALUE"""),"Northern Component (along Guana peninsula)")</f>
        <v>Northern Component (along Guana peninsula)</v>
      </c>
      <c r="I23" s="15">
        <f>IFERROR(__xludf.DUMMYFUNCTION("""COMPUTED_VALUE"""),0.3541666666678793)</f>
        <v>0.3541666667</v>
      </c>
      <c r="J23" s="16">
        <f>IFERROR(__xludf.DUMMYFUNCTION("""COMPUTED_VALUE"""),42907.5625)</f>
        <v>42907.5625</v>
      </c>
      <c r="K23" t="str">
        <f>IFERROR(__xludf.DUMMYFUNCTION("""COMPUTED_VALUE"""),"23ft Skiff FL7972LJ DEP07613")</f>
        <v>23ft Skiff FL7972LJ DEP07613</v>
      </c>
      <c r="M23" t="str">
        <f>IFERROR(__xludf.DUMMYFUNCTION("""COMPUTED_VALUE"""),"Ford F150 2015 (White) - DEP21448")</f>
        <v>Ford F150 2015 (White) - DEP21448</v>
      </c>
      <c r="N23" t="str">
        <f>IFERROR(__xludf.DUMMYFUNCTION("""COMPUTED_VALUE"""),"Kenneth Rainer, (936) 499-1853")</f>
        <v>Kenneth Rainer, (936) 499-1853</v>
      </c>
      <c r="O23" t="str">
        <f>IFERROR(__xludf.DUMMYFUNCTION("""COMPUTED_VALUE"""),"Kenneth Rainer, (936) 499-1853")</f>
        <v>Kenneth Rainer, (936) 499-1853</v>
      </c>
      <c r="P23" t="str">
        <f>IFERROR(__xludf.DUMMYFUNCTION("""COMPUTED_VALUE"""),"Kenneth Rainer, (936) 499-1853")</f>
        <v>Kenneth Rainer, (936) 499-1853</v>
      </c>
      <c r="AD23" t="str">
        <f>IFERROR(__xludf.DUMMYFUNCTION("""COMPUTED_VALUE"""),"Weather: 8AM, 78F, 15% chance rain, 8mph SSE")</f>
        <v>Weather: 8AM, 78F, 15% chance rain, 8mph SSE</v>
      </c>
      <c r="AE23" s="11" t="str">
        <f>IFERROR(__xludf.DUMMYFUNCTION("""COMPUTED_VALUE"""),"Tides: High is 6:26AM, Low is 12:38PM")</f>
        <v>Tides: High is 6:26AM, Low is 12:38PM</v>
      </c>
      <c r="AF23" t="s">
        <v>9</v>
      </c>
      <c r="AG23" s="18"/>
      <c r="AH23" s="12"/>
      <c r="AI23" s="12" t="s">
        <v>8</v>
      </c>
      <c r="AJ23" s="12" t="s">
        <v>8</v>
      </c>
      <c r="AK23" s="12" t="s">
        <v>8</v>
      </c>
      <c r="AL23" s="12" t="s">
        <v>8</v>
      </c>
    </row>
    <row r="24">
      <c r="A24" s="10">
        <f>IFERROR(__xludf.DUMMYFUNCTION("""COMPUTED_VALUE"""),42927.4307686574)</f>
        <v>42927.43077</v>
      </c>
      <c r="B24" s="11" t="str">
        <f>IFERROR(__xludf.DUMMYFUNCTION("""COMPUTED_VALUE"""),"Kenneth Rainer")</f>
        <v>Kenneth Rainer</v>
      </c>
      <c r="C24" t="str">
        <f>IFERROR(__xludf.DUMMYFUNCTION("""COMPUTED_VALUE"""),"Kenneth.Rainer@dep.state.fl.us")</f>
        <v>Kenneth.Rainer@dep.state.fl.us</v>
      </c>
      <c r="D24" t="str">
        <f>IFERROR(__xludf.DUMMYFUNCTION("""COMPUTED_VALUE"""),"Education")</f>
        <v>Education</v>
      </c>
      <c r="E24" t="str">
        <f>IFERROR(__xludf.DUMMYFUNCTION("""COMPUTED_VALUE"""),"Usina Boat Ramp")</f>
        <v>Usina Boat Ramp</v>
      </c>
      <c r="F24" s="13"/>
      <c r="G24" s="14">
        <f>IFERROR(__xludf.DUMMYFUNCTION("""COMPUTED_VALUE"""),42928.0)</f>
        <v>42928</v>
      </c>
      <c r="H24" t="str">
        <f>IFERROR(__xludf.DUMMYFUNCTION("""COMPUTED_VALUE"""),"Northern Component")</f>
        <v>Northern Component</v>
      </c>
      <c r="I24" s="15">
        <f>IFERROR(__xludf.DUMMYFUNCTION("""COMPUTED_VALUE"""),0.3541666666678793)</f>
        <v>0.3541666667</v>
      </c>
      <c r="J24" s="16">
        <f>IFERROR(__xludf.DUMMYFUNCTION("""COMPUTED_VALUE"""),42928.54166666667)</f>
        <v>42928.54167</v>
      </c>
      <c r="K24" t="str">
        <f>IFERROR(__xludf.DUMMYFUNCTION("""COMPUTED_VALUE"""),"23ft Skiff FL7972LJ DEP07613")</f>
        <v>23ft Skiff FL7972LJ DEP07613</v>
      </c>
      <c r="M24" t="str">
        <f>IFERROR(__xludf.DUMMYFUNCTION("""COMPUTED_VALUE"""),"Ford F150 2015 (White) - DEP21448")</f>
        <v>Ford F150 2015 (White) - DEP21448</v>
      </c>
      <c r="N24" t="str">
        <f>IFERROR(__xludf.DUMMYFUNCTION("""COMPUTED_VALUE"""),"Kenneth Rainer, (936) 499-1853")</f>
        <v>Kenneth Rainer, (936) 499-1853</v>
      </c>
      <c r="O24" t="str">
        <f>IFERROR(__xludf.DUMMYFUNCTION("""COMPUTED_VALUE"""),"7-9yr Summer Campers, Taylor, Silvia, Ashton, Emma")</f>
        <v>7-9yr Summer Campers, Taylor, Silvia, Ashton, Emma</v>
      </c>
      <c r="P24" t="str">
        <f>IFERROR(__xludf.DUMMYFUNCTION("""COMPUTED_VALUE"""),"Kenneth Rainer, (936) 499-1853")</f>
        <v>Kenneth Rainer, (936) 499-1853</v>
      </c>
      <c r="AD24" t="str">
        <f>IFERROR(__xludf.DUMMYFUNCTION("""COMPUTED_VALUE"""),"Weather (9am): 82F, 7% chance rain, 3mph ESE")</f>
        <v>Weather (9am): 82F, 7% chance rain, 3mph ESE</v>
      </c>
      <c r="AE24" s="11" t="str">
        <f>IFERROR(__xludf.DUMMYFUNCTION("""COMPUTED_VALUE"""),"Tides: Low Tide 5:22AM; High Tide 11:28pm (incoming tide)")</f>
        <v>Tides: Low Tide 5:22AM; High Tide 11:28pm (incoming tide)</v>
      </c>
      <c r="AF24" t="s">
        <v>9</v>
      </c>
      <c r="AG24" s="18"/>
      <c r="AH24" s="12"/>
      <c r="AI24" s="12" t="s">
        <v>8</v>
      </c>
      <c r="AJ24" s="12" t="s">
        <v>8</v>
      </c>
      <c r="AK24" s="12" t="s">
        <v>8</v>
      </c>
      <c r="AL24" s="12" t="s">
        <v>8</v>
      </c>
    </row>
    <row r="25">
      <c r="A25" s="10">
        <f>IFERROR(__xludf.DUMMYFUNCTION("""COMPUTED_VALUE"""),42928.63136636574)</f>
        <v>42928.63137</v>
      </c>
      <c r="B25" s="11" t="str">
        <f>IFERROR(__xludf.DUMMYFUNCTION("""COMPUTED_VALUE"""),"Josephine Spearman")</f>
        <v>Josephine Spearman</v>
      </c>
      <c r="C25" t="str">
        <f>IFERROR(__xludf.DUMMYFUNCTION("""COMPUTED_VALUE"""),"Josephine.Spearman@dep.state.fl.us")</f>
        <v>Josephine.Spearman@dep.state.fl.us</v>
      </c>
      <c r="D25" t="str">
        <f>IFERROR(__xludf.DUMMYFUNCTION("""COMPUTED_VALUE"""),"Education")</f>
        <v>Education</v>
      </c>
      <c r="E25" t="str">
        <f>IFERROR(__xludf.DUMMYFUNCTION("""COMPUTED_VALUE"""),"Guana Dam")</f>
        <v>Guana Dam</v>
      </c>
      <c r="F25" s="13"/>
      <c r="G25" s="14">
        <f>IFERROR(__xludf.DUMMYFUNCTION("""COMPUTED_VALUE"""),42929.0)</f>
        <v>42929</v>
      </c>
      <c r="H25" t="str">
        <f>IFERROR(__xludf.DUMMYFUNCTION("""COMPUTED_VALUE"""),"Guana Lake")</f>
        <v>Guana Lake</v>
      </c>
      <c r="I25" s="15">
        <f>IFERROR(__xludf.DUMMYFUNCTION("""COMPUTED_VALUE"""),0.375)</f>
        <v>0.375</v>
      </c>
      <c r="J25" s="16">
        <f>IFERROR(__xludf.DUMMYFUNCTION("""COMPUTED_VALUE"""),42929.54166666667)</f>
        <v>42929.54167</v>
      </c>
      <c r="K25" t="str">
        <f>IFERROR(__xludf.DUMMYFUNCTION("""COMPUTED_VALUE"""),"Kayak(s)")</f>
        <v>Kayak(s)</v>
      </c>
      <c r="L25">
        <f>IFERROR(__xludf.DUMMYFUNCTION("""COMPUTED_VALUE"""),7.0)</f>
        <v>7</v>
      </c>
      <c r="M25" t="str">
        <f>IFERROR(__xludf.DUMMYFUNCTION("""COMPUTED_VALUE"""),"Ford F150 2015 (White) - DEP21448")</f>
        <v>Ford F150 2015 (White) - DEP21448</v>
      </c>
      <c r="N25" t="str">
        <f>IFERROR(__xludf.DUMMYFUNCTION("""COMPUTED_VALUE"""),"Josephine Spearman")</f>
        <v>Josephine Spearman</v>
      </c>
      <c r="O25" t="str">
        <f>IFERROR(__xludf.DUMMYFUNCTION("""COMPUTED_VALUE"""),"7-9yr Campers, Ashton, Emma, Taylor, Sylvia")</f>
        <v>7-9yr Campers, Ashton, Emma, Taylor, Sylvia</v>
      </c>
      <c r="P25" t="str">
        <f>IFERROR(__xludf.DUMMYFUNCTION("""COMPUTED_VALUE"""),"Josephine Spearman")</f>
        <v>Josephine Spearman</v>
      </c>
      <c r="AD25" t="str">
        <f>IFERROR(__xludf.DUMMYFUNCTION("""COMPUTED_VALUE"""),"Weather (@9am): 82F, 15% chance rain, 6mph ENE")</f>
        <v>Weather (@9am): 82F, 15% chance rain, 6mph ENE</v>
      </c>
      <c r="AE25" s="11"/>
      <c r="AF25" t="s">
        <v>9</v>
      </c>
      <c r="AG25" s="18"/>
      <c r="AH25" s="12"/>
      <c r="AI25" s="12" t="s">
        <v>8</v>
      </c>
      <c r="AJ25" s="12" t="s">
        <v>8</v>
      </c>
      <c r="AK25" s="12" t="s">
        <v>8</v>
      </c>
      <c r="AL25" s="12" t="s">
        <v>8</v>
      </c>
    </row>
    <row r="26">
      <c r="A26" s="10">
        <f>IFERROR(__xludf.DUMMYFUNCTION("""COMPUTED_VALUE"""),42935.510615416664)</f>
        <v>42935.51062</v>
      </c>
      <c r="B26" s="11" t="str">
        <f>IFERROR(__xludf.DUMMYFUNCTION("""COMPUTED_VALUE"""),"Kenneth Rainer")</f>
        <v>Kenneth Rainer</v>
      </c>
      <c r="C26" t="str">
        <f>IFERROR(__xludf.DUMMYFUNCTION("""COMPUTED_VALUE"""),"Kenneth.Rainer@dep.state.fl.us")</f>
        <v>Kenneth.Rainer@dep.state.fl.us</v>
      </c>
      <c r="D26" t="str">
        <f>IFERROR(__xludf.DUMMYFUNCTION("""COMPUTED_VALUE"""),"Education")</f>
        <v>Education</v>
      </c>
      <c r="E26" t="str">
        <f>IFERROR(__xludf.DUMMYFUNCTION("""COMPUTED_VALUE"""),"Usina Boat Ramp")</f>
        <v>Usina Boat Ramp</v>
      </c>
      <c r="F26" s="13"/>
      <c r="G26" s="14">
        <f>IFERROR(__xludf.DUMMYFUNCTION("""COMPUTED_VALUE"""),42936.0)</f>
        <v>42936</v>
      </c>
      <c r="H26" t="str">
        <f>IFERROR(__xludf.DUMMYFUNCTION("""COMPUTED_VALUE"""),"Northern Component")</f>
        <v>Northern Component</v>
      </c>
      <c r="I26" s="15">
        <f>IFERROR(__xludf.DUMMYFUNCTION("""COMPUTED_VALUE"""),0.3333333333321207)</f>
        <v>0.3333333333</v>
      </c>
      <c r="J26" s="16">
        <f>IFERROR(__xludf.DUMMYFUNCTION("""COMPUTED_VALUE"""),42936.54166666667)</f>
        <v>42936.54167</v>
      </c>
      <c r="K26" t="str">
        <f>IFERROR(__xludf.DUMMYFUNCTION("""COMPUTED_VALUE"""),"23ft Skiff FL7972LJ DEP07613")</f>
        <v>23ft Skiff FL7972LJ DEP07613</v>
      </c>
      <c r="M26" t="str">
        <f>IFERROR(__xludf.DUMMYFUNCTION("""COMPUTED_VALUE"""),"Ford F150 2015 (White) - DEP21448")</f>
        <v>Ford F150 2015 (White) - DEP21448</v>
      </c>
      <c r="N26" t="str">
        <f>IFERROR(__xludf.DUMMYFUNCTION("""COMPUTED_VALUE"""),"Kenneth Rainer, (936) 499-1853")</f>
        <v>Kenneth Rainer, (936) 499-1853</v>
      </c>
      <c r="O26" t="str">
        <f>IFERROR(__xludf.DUMMYFUNCTION("""COMPUTED_VALUE"""),"Ashton, Taylor, Sylvia, 10-12yr Campers")</f>
        <v>Ashton, Taylor, Sylvia, 10-12yr Campers</v>
      </c>
      <c r="P26" t="str">
        <f>IFERROR(__xludf.DUMMYFUNCTION("""COMPUTED_VALUE"""),"Kenneth Rainer, (936) 499-1853")</f>
        <v>Kenneth Rainer, (936) 499-1853</v>
      </c>
      <c r="AD26" t="str">
        <f>IFERROR(__xludf.DUMMYFUNCTION("""COMPUTED_VALUE"""),"Weather: 9am 81F, 6% chance rain, 4mph WNW")</f>
        <v>Weather: 9am 81F, 6% chance rain, 4mph WNW</v>
      </c>
      <c r="AE26" s="11" t="str">
        <f>IFERROR(__xludf.DUMMYFUNCTION("""COMPUTED_VALUE"""),"Tides: High Tide (6:04 a.m.), Low Tide (12:16 p.m.)")</f>
        <v>Tides: High Tide (6:04 a.m.), Low Tide (12:16 p.m.)</v>
      </c>
      <c r="AF26" t="s">
        <v>9</v>
      </c>
      <c r="AG26" s="18"/>
      <c r="AH26" s="12"/>
      <c r="AI26" s="12" t="s">
        <v>8</v>
      </c>
      <c r="AJ26" s="12" t="s">
        <v>8</v>
      </c>
      <c r="AK26" s="12" t="s">
        <v>8</v>
      </c>
      <c r="AL26" s="12" t="s">
        <v>8</v>
      </c>
    </row>
    <row r="27">
      <c r="A27" s="10">
        <f>IFERROR(__xludf.DUMMYFUNCTION("""COMPUTED_VALUE"""),43166.42401879629)</f>
        <v>43166.42402</v>
      </c>
      <c r="B27" s="11" t="str">
        <f>IFERROR(__xludf.DUMMYFUNCTION("""COMPUTED_VALUE"""),"Trey Tester")</f>
        <v>Trey Tester</v>
      </c>
      <c r="C27" t="str">
        <f>IFERROR(__xludf.DUMMYFUNCTION("""COMPUTED_VALUE"""),"Kenneth.Rainer@floridadep.gov")</f>
        <v>Kenneth.Rainer@floridadep.gov</v>
      </c>
      <c r="D27" t="str">
        <f>IFERROR(__xludf.DUMMYFUNCTION("""COMPUTED_VALUE"""),"Education")</f>
        <v>Education</v>
      </c>
      <c r="E27" t="str">
        <f>IFERROR(__xludf.DUMMYFUNCTION("""COMPUTED_VALUE"""),"Usina Boat Ramp")</f>
        <v>Usina Boat Ramp</v>
      </c>
      <c r="F27" s="13"/>
      <c r="G27" s="14">
        <f>IFERROR(__xludf.DUMMYFUNCTION("""COMPUTED_VALUE"""),43166.0)</f>
        <v>43166</v>
      </c>
      <c r="H27" t="str">
        <f>IFERROR(__xludf.DUMMYFUNCTION("""COMPUTED_VALUE"""),"Angelini Project")</f>
        <v>Angelini Project</v>
      </c>
      <c r="I27" s="15">
        <f>IFERROR(__xludf.DUMMYFUNCTION("""COMPUTED_VALUE"""),0.125)</f>
        <v>0.125</v>
      </c>
      <c r="J27" s="16">
        <f>IFERROR(__xludf.DUMMYFUNCTION("""COMPUTED_VALUE"""),43166.70833333333)</f>
        <v>43166.70833</v>
      </c>
      <c r="K27" t="str">
        <f>IFERROR(__xludf.DUMMYFUNCTION("""COMPUTED_VALUE"""),"F 20ft Sea Ark (Easy 200) FL8534PY DEP21451")</f>
        <v>F 20ft Sea Ark (Easy 200) FL8534PY DEP21451</v>
      </c>
      <c r="M27" t="str">
        <f>IFERROR(__xludf.DUMMYFUNCTION("""COMPUTED_VALUE"""),"Ford F150 2005 (Blue Bomber) - DEP06139")</f>
        <v>Ford F150 2005 (Blue Bomber) - DEP06139</v>
      </c>
      <c r="N27" t="str">
        <f>IFERROR(__xludf.DUMMYFUNCTION("""COMPUTED_VALUE"""),"Kenneth Rainer, (936) 499-1853")</f>
        <v>Kenneth Rainer, (936) 499-1853</v>
      </c>
      <c r="O27" t="str">
        <f>IFERROR(__xludf.DUMMYFUNCTION("""COMPUTED_VALUE"""),"Silas Tanner, Scott Eastman, Joseph Burgess, Josie Spearman")</f>
        <v>Silas Tanner, Scott Eastman, Joseph Burgess, Josie Spearman</v>
      </c>
      <c r="P27" t="str">
        <f>IFERROR(__xludf.DUMMYFUNCTION("""COMPUTED_VALUE"""),"Kenneth Rainer")</f>
        <v>Kenneth Rainer</v>
      </c>
      <c r="Q27" t="str">
        <f>IFERROR(__xludf.DUMMYFUNCTION("""COMPUTED_VALUE"""),"Good")</f>
        <v>Good</v>
      </c>
      <c r="R27" t="str">
        <f>IFERROR(__xludf.DUMMYFUNCTION("""COMPUTED_VALUE"""),"Good")</f>
        <v>Good</v>
      </c>
      <c r="S27" t="str">
        <f>IFERROR(__xludf.DUMMYFUNCTION("""COMPUTED_VALUE"""),"Good")</f>
        <v>Good</v>
      </c>
      <c r="T27" t="str">
        <f>IFERROR(__xludf.DUMMYFUNCTION("""COMPUTED_VALUE"""),"Good")</f>
        <v>Good</v>
      </c>
      <c r="U27" t="str">
        <f>IFERROR(__xludf.DUMMYFUNCTION("""COMPUTED_VALUE"""),"Good")</f>
        <v>Good</v>
      </c>
      <c r="V27" t="str">
        <f>IFERROR(__xludf.DUMMYFUNCTION("""COMPUTED_VALUE"""),"Good")</f>
        <v>Good</v>
      </c>
      <c r="W27" t="str">
        <f>IFERROR(__xludf.DUMMYFUNCTION("""COMPUTED_VALUE"""),"Good")</f>
        <v>Good</v>
      </c>
      <c r="X27" t="str">
        <f>IFERROR(__xludf.DUMMYFUNCTION("""COMPUTED_VALUE"""),"Good")</f>
        <v>Good</v>
      </c>
      <c r="Y27" t="str">
        <f>IFERROR(__xludf.DUMMYFUNCTION("""COMPUTED_VALUE"""),"Good")</f>
        <v>Good</v>
      </c>
      <c r="Z27" t="str">
        <f>IFERROR(__xludf.DUMMYFUNCTION("""COMPUTED_VALUE"""),"Good")</f>
        <v>Good</v>
      </c>
      <c r="AA27" t="str">
        <f>IFERROR(__xludf.DUMMYFUNCTION("""COMPUTED_VALUE"""),"Good")</f>
        <v>Good</v>
      </c>
      <c r="AB27" t="str">
        <f>IFERROR(__xludf.DUMMYFUNCTION("""COMPUTED_VALUE"""),"Good")</f>
        <v>Good</v>
      </c>
      <c r="AC27" t="str">
        <f>IFERROR(__xludf.DUMMYFUNCTION("""COMPUTED_VALUE"""),"Good")</f>
        <v>Good</v>
      </c>
      <c r="AD27" t="str">
        <f>IFERROR(__xludf.DUMMYFUNCTION("""COMPUTED_VALUE"""),"Beautiful")</f>
        <v>Beautiful</v>
      </c>
      <c r="AE27" s="11" t="str">
        <f>IFERROR(__xludf.DUMMYFUNCTION("""COMPUTED_VALUE"""),"Very Very High")</f>
        <v>Very Very High</v>
      </c>
      <c r="AF27" s="12" t="s">
        <v>9</v>
      </c>
      <c r="AG27" s="17" t="s">
        <v>7</v>
      </c>
      <c r="AH27" s="12"/>
      <c r="AI27" s="12" t="s">
        <v>10</v>
      </c>
      <c r="AJ27" s="19" t="s">
        <v>11</v>
      </c>
      <c r="AK27" s="20" t="str">
        <f>HYPERLINK("https://drive.google.com/a/gtmnerr.org/file/d/1-xBJcM5t4rp1kF8CtiHFHCGIYOyemNCh/view?usp=drivesdk","Trey Tester - 3/7/2018")</f>
        <v>Trey Tester - 3/7/2018</v>
      </c>
      <c r="AL27" s="12" t="s">
        <v>12</v>
      </c>
    </row>
    <row r="28">
      <c r="A28" s="10">
        <f>IFERROR(__xludf.DUMMYFUNCTION("""COMPUTED_VALUE"""),43175.39909888889)</f>
        <v>43175.3991</v>
      </c>
      <c r="B28" s="11" t="str">
        <f>IFERROR(__xludf.DUMMYFUNCTION("""COMPUTED_VALUE"""),"Pamela Marcum")</f>
        <v>Pamela Marcum</v>
      </c>
      <c r="C28" t="str">
        <f>IFERROR(__xludf.DUMMYFUNCTION("""COMPUTED_VALUE"""),"Pamela.Marcum@Dep.state.fl.us")</f>
        <v>Pamela.Marcum@Dep.state.fl.us</v>
      </c>
      <c r="D28" t="str">
        <f>IFERROR(__xludf.DUMMYFUNCTION("""COMPUTED_VALUE"""),"Research")</f>
        <v>Research</v>
      </c>
      <c r="E28" t="str">
        <f>IFERROR(__xludf.DUMMYFUNCTION("""COMPUTED_VALUE"""),"Bing's Landing")</f>
        <v>Bing's Landing</v>
      </c>
      <c r="F28" s="13"/>
      <c r="G28" s="14">
        <f>IFERROR(__xludf.DUMMYFUNCTION("""COMPUTED_VALUE"""),43175.0)</f>
        <v>43175</v>
      </c>
      <c r="H28" t="str">
        <f>IFERROR(__xludf.DUMMYFUNCTION("""COMPUTED_VALUE"""),"Matanzas River &amp; Jordan Island")</f>
        <v>Matanzas River &amp; Jordan Island</v>
      </c>
      <c r="I28" s="15">
        <f>IFERROR(__xludf.DUMMYFUNCTION("""COMPUTED_VALUE"""),0.6458333333321207)</f>
        <v>0.6458333333</v>
      </c>
      <c r="J28" s="16">
        <f>IFERROR(__xludf.DUMMYFUNCTION("""COMPUTED_VALUE"""),43175.6875)</f>
        <v>43175.6875</v>
      </c>
      <c r="K28" t="str">
        <f>IFERROR(__xludf.DUMMYFUNCTION("""COMPUTED_VALUE"""),"23ft Skiff (Bertha) FL7972LJ DEP07613")</f>
        <v>23ft Skiff (Bertha) FL7972LJ DEP07613</v>
      </c>
      <c r="M28" t="str">
        <f>IFERROR(__xludf.DUMMYFUNCTION("""COMPUTED_VALUE"""),"Ford F150 2008 - DEP18041 (ML)")</f>
        <v>Ford F150 2008 - DEP18041 (ML)</v>
      </c>
      <c r="N28" t="str">
        <f>IFERROR(__xludf.DUMMYFUNCTION("""COMPUTED_VALUE"""),"Pam Marcum, (480) 332-5414")</f>
        <v>Pam Marcum, (480) 332-5414</v>
      </c>
      <c r="O28" t="str">
        <f>IFERROR(__xludf.DUMMYFUNCTION("""COMPUTED_VALUE"""),"Ben Mowbray, Weslty Woodward")</f>
        <v>Ben Mowbray, Weslty Woodward</v>
      </c>
      <c r="P28" t="str">
        <f>IFERROR(__xludf.DUMMYFUNCTION("""COMPUTED_VALUE"""),"Pam")</f>
        <v>Pam</v>
      </c>
      <c r="Q28" t="str">
        <f>IFERROR(__xludf.DUMMYFUNCTION("""COMPUTED_VALUE"""),"Good")</f>
        <v>Good</v>
      </c>
      <c r="R28" t="str">
        <f>IFERROR(__xludf.DUMMYFUNCTION("""COMPUTED_VALUE"""),"Good")</f>
        <v>Good</v>
      </c>
      <c r="S28" t="str">
        <f>IFERROR(__xludf.DUMMYFUNCTION("""COMPUTED_VALUE"""),"Good")</f>
        <v>Good</v>
      </c>
      <c r="T28" t="str">
        <f>IFERROR(__xludf.DUMMYFUNCTION("""COMPUTED_VALUE"""),"Good")</f>
        <v>Good</v>
      </c>
      <c r="U28" t="str">
        <f>IFERROR(__xludf.DUMMYFUNCTION("""COMPUTED_VALUE"""),"Good")</f>
        <v>Good</v>
      </c>
      <c r="V28" t="str">
        <f>IFERROR(__xludf.DUMMYFUNCTION("""COMPUTED_VALUE"""),"Good")</f>
        <v>Good</v>
      </c>
      <c r="W28" t="str">
        <f>IFERROR(__xludf.DUMMYFUNCTION("""COMPUTED_VALUE"""),"Good")</f>
        <v>Good</v>
      </c>
      <c r="X28" t="str">
        <f>IFERROR(__xludf.DUMMYFUNCTION("""COMPUTED_VALUE"""),"Good")</f>
        <v>Good</v>
      </c>
      <c r="Y28" t="str">
        <f>IFERROR(__xludf.DUMMYFUNCTION("""COMPUTED_VALUE"""),"Good")</f>
        <v>Good</v>
      </c>
      <c r="Z28" t="str">
        <f>IFERROR(__xludf.DUMMYFUNCTION("""COMPUTED_VALUE"""),"Good")</f>
        <v>Good</v>
      </c>
      <c r="AA28" t="str">
        <f>IFERROR(__xludf.DUMMYFUNCTION("""COMPUTED_VALUE"""),"Good")</f>
        <v>Good</v>
      </c>
      <c r="AB28" t="str">
        <f>IFERROR(__xludf.DUMMYFUNCTION("""COMPUTED_VALUE"""),"Good")</f>
        <v>Good</v>
      </c>
      <c r="AC28" t="str">
        <f>IFERROR(__xludf.DUMMYFUNCTION("""COMPUTED_VALUE"""),"Good")</f>
        <v>Good</v>
      </c>
      <c r="AD28" t="str">
        <f>IFERROR(__xludf.DUMMYFUNCTION("""COMPUTED_VALUE"""),"OK")</f>
        <v>OK</v>
      </c>
      <c r="AE28" s="11"/>
      <c r="AF28" s="12" t="b">
        <v>0</v>
      </c>
      <c r="AG28" s="17" t="s">
        <v>14</v>
      </c>
      <c r="AH28" s="12"/>
      <c r="AI28" s="12" t="s">
        <v>15</v>
      </c>
      <c r="AJ28" s="19" t="s">
        <v>16</v>
      </c>
      <c r="AK28" s="20" t="str">
        <f>HYPERLINK("https://drive.google.com/a/gtmnerr.org/file/d/1PoGr328HmybT9p6Khc3j48PbR5wcYaea/view?usp=drivesdk","Pamela Marcum - 3/16/2018")</f>
        <v>Pamela Marcum - 3/16/2018</v>
      </c>
      <c r="AL28" s="12" t="s">
        <v>17</v>
      </c>
    </row>
    <row r="29">
      <c r="A29" s="10">
        <f>IFERROR(__xludf.DUMMYFUNCTION("""COMPUTED_VALUE"""),43182.36099422454)</f>
        <v>43182.36099</v>
      </c>
      <c r="B29" s="11" t="str">
        <f>IFERROR(__xludf.DUMMYFUNCTION("""COMPUTED_VALUE"""),"Pamela Marcum")</f>
        <v>Pamela Marcum</v>
      </c>
      <c r="C29" t="str">
        <f>IFERROR(__xludf.DUMMYFUNCTION("""COMPUTED_VALUE"""),"Pamela.Marcum@dep.state.fl.us")</f>
        <v>Pamela.Marcum@dep.state.fl.us</v>
      </c>
      <c r="D29" t="str">
        <f>IFERROR(__xludf.DUMMYFUNCTION("""COMPUTED_VALUE"""),"Research")</f>
        <v>Research</v>
      </c>
      <c r="F29" s="13"/>
      <c r="G29" s="14">
        <f>IFERROR(__xludf.DUMMYFUNCTION("""COMPUTED_VALUE"""),43181.0)</f>
        <v>43181</v>
      </c>
      <c r="H29" t="str">
        <f>IFERROR(__xludf.DUMMYFUNCTION("""COMPUTED_VALUE"""),"Upper Pellicer Creek")</f>
        <v>Upper Pellicer Creek</v>
      </c>
      <c r="I29" s="15">
        <f>IFERROR(__xludf.DUMMYFUNCTION("""COMPUTED_VALUE"""),0.625)</f>
        <v>0.625</v>
      </c>
      <c r="J29" s="16">
        <f>IFERROR(__xludf.DUMMYFUNCTION("""COMPUTED_VALUE"""),43181.6875)</f>
        <v>43181.6875</v>
      </c>
      <c r="K29" t="str">
        <f>IFERROR(__xludf.DUMMYFUNCTION("""COMPUTED_VALUE"""),"23ft Skiff (Bertha) FL7972LJ DEP07613")</f>
        <v>23ft Skiff (Bertha) FL7972LJ DEP07613</v>
      </c>
      <c r="M29" t="str">
        <f>IFERROR(__xludf.DUMMYFUNCTION("""COMPUTED_VALUE"""),"Ford F150 2008 - DEP18041 (ML)")</f>
        <v>Ford F150 2008 - DEP18041 (ML)</v>
      </c>
      <c r="N29" t="str">
        <f>IFERROR(__xludf.DUMMYFUNCTION("""COMPUTED_VALUE"""),"Pam Marcum, (480) 332-5414, Remo Mondazzi")</f>
        <v>Pam Marcum, (480) 332-5414, Remo Mondazzi</v>
      </c>
      <c r="O29" t="str">
        <f>IFERROR(__xludf.DUMMYFUNCTION("""COMPUTED_VALUE"""),"Ben Mowbray")</f>
        <v>Ben Mowbray</v>
      </c>
      <c r="P29" t="str">
        <f>IFERROR(__xludf.DUMMYFUNCTION("""COMPUTED_VALUE"""),"Pamela Marcum")</f>
        <v>Pamela Marcum</v>
      </c>
      <c r="Q29" t="str">
        <f>IFERROR(__xludf.DUMMYFUNCTION("""COMPUTED_VALUE"""),"Good")</f>
        <v>Good</v>
      </c>
      <c r="R29" t="str">
        <f>IFERROR(__xludf.DUMMYFUNCTION("""COMPUTED_VALUE"""),"Good")</f>
        <v>Good</v>
      </c>
      <c r="S29" t="str">
        <f>IFERROR(__xludf.DUMMYFUNCTION("""COMPUTED_VALUE"""),"Good")</f>
        <v>Good</v>
      </c>
      <c r="T29" t="str">
        <f>IFERROR(__xludf.DUMMYFUNCTION("""COMPUTED_VALUE"""),"Good")</f>
        <v>Good</v>
      </c>
      <c r="U29" t="str">
        <f>IFERROR(__xludf.DUMMYFUNCTION("""COMPUTED_VALUE"""),"Good")</f>
        <v>Good</v>
      </c>
      <c r="V29" t="str">
        <f>IFERROR(__xludf.DUMMYFUNCTION("""COMPUTED_VALUE"""),"Good")</f>
        <v>Good</v>
      </c>
      <c r="W29" t="str">
        <f>IFERROR(__xludf.DUMMYFUNCTION("""COMPUTED_VALUE"""),"Good")</f>
        <v>Good</v>
      </c>
      <c r="X29" t="str">
        <f>IFERROR(__xludf.DUMMYFUNCTION("""COMPUTED_VALUE"""),"Good")</f>
        <v>Good</v>
      </c>
      <c r="Y29" t="str">
        <f>IFERROR(__xludf.DUMMYFUNCTION("""COMPUTED_VALUE"""),"Good")</f>
        <v>Good</v>
      </c>
      <c r="Z29" t="str">
        <f>IFERROR(__xludf.DUMMYFUNCTION("""COMPUTED_VALUE"""),"Good")</f>
        <v>Good</v>
      </c>
      <c r="AA29" t="str">
        <f>IFERROR(__xludf.DUMMYFUNCTION("""COMPUTED_VALUE"""),"Good")</f>
        <v>Good</v>
      </c>
      <c r="AB29" t="str">
        <f>IFERROR(__xludf.DUMMYFUNCTION("""COMPUTED_VALUE"""),"Good")</f>
        <v>Good</v>
      </c>
      <c r="AC29" t="str">
        <f>IFERROR(__xludf.DUMMYFUNCTION("""COMPUTED_VALUE"""),"Good")</f>
        <v>Good</v>
      </c>
      <c r="AE29" s="11"/>
      <c r="AF29" s="12" t="b">
        <v>0</v>
      </c>
      <c r="AG29" s="17" t="s">
        <v>18</v>
      </c>
      <c r="AH29" s="12"/>
      <c r="AI29" s="12" t="s">
        <v>19</v>
      </c>
      <c r="AJ29" s="19" t="s">
        <v>20</v>
      </c>
      <c r="AK29" s="20" t="str">
        <f>HYPERLINK("https://drive.google.com/a/gtmnerr.org/file/d/1lZDSHrj3qsq_O52lhKl_J8Ol3Ppm2wpf/view?usp=drivesdk","Pamela Marcum - 3/22/2018")</f>
        <v>Pamela Marcum - 3/22/2018</v>
      </c>
      <c r="AL29" s="12" t="s">
        <v>21</v>
      </c>
    </row>
    <row r="30">
      <c r="A30" s="10">
        <f>IFERROR(__xludf.DUMMYFUNCTION("""COMPUTED_VALUE"""),43183.37221592592)</f>
        <v>43183.37222</v>
      </c>
      <c r="B30" s="11" t="str">
        <f>IFERROR(__xludf.DUMMYFUNCTION("""COMPUTED_VALUE"""),"Pamela Marcum")</f>
        <v>Pamela Marcum</v>
      </c>
      <c r="C30" t="str">
        <f>IFERROR(__xludf.DUMMYFUNCTION("""COMPUTED_VALUE"""),"Pamela.Marcum@Dep.state.fl.us")</f>
        <v>Pamela.Marcum@Dep.state.fl.us</v>
      </c>
      <c r="D30" t="str">
        <f>IFERROR(__xludf.DUMMYFUNCTION("""COMPUTED_VALUE"""),"Research")</f>
        <v>Research</v>
      </c>
      <c r="E30" t="str">
        <f>IFERROR(__xludf.DUMMYFUNCTION("""COMPUTED_VALUE"""),"Faver-Dykes")</f>
        <v>Faver-Dykes</v>
      </c>
      <c r="F30" s="13"/>
      <c r="G30" s="14">
        <f>IFERROR(__xludf.DUMMYFUNCTION("""COMPUTED_VALUE"""),43183.0)</f>
        <v>43183</v>
      </c>
      <c r="H30" t="str">
        <f>IFERROR(__xludf.DUMMYFUNCTION("""COMPUTED_VALUE"""),"Middle Pellicer Creek")</f>
        <v>Middle Pellicer Creek</v>
      </c>
      <c r="I30" s="15">
        <f>IFERROR(__xludf.DUMMYFUNCTION("""COMPUTED_VALUE"""),0.625)</f>
        <v>0.625</v>
      </c>
      <c r="J30" s="16">
        <f>IFERROR(__xludf.DUMMYFUNCTION("""COMPUTED_VALUE"""),43183.6875)</f>
        <v>43183.6875</v>
      </c>
      <c r="K30" t="str">
        <f>IFERROR(__xludf.DUMMYFUNCTION("""COMPUTED_VALUE"""),"23ft Skiff (Bertha) FL7972LJ DEP07613")</f>
        <v>23ft Skiff (Bertha) FL7972LJ DEP07613</v>
      </c>
      <c r="M30" t="str">
        <f>IFERROR(__xludf.DUMMYFUNCTION("""COMPUTED_VALUE"""),"Ford F150 2008 - DEP18041 (ML)")</f>
        <v>Ford F150 2008 - DEP18041 (ML)</v>
      </c>
      <c r="N30" t="str">
        <f>IFERROR(__xludf.DUMMYFUNCTION("""COMPUTED_VALUE"""),"Pam Marcum, (480) 332-5414")</f>
        <v>Pam Marcum, (480) 332-5414</v>
      </c>
      <c r="O30" t="str">
        <f>IFERROR(__xludf.DUMMYFUNCTION("""COMPUTED_VALUE"""),"Greg Hornsby")</f>
        <v>Greg Hornsby</v>
      </c>
      <c r="P30" t="str">
        <f>IFERROR(__xludf.DUMMYFUNCTION("""COMPUTED_VALUE"""),"Pamela Marcum")</f>
        <v>Pamela Marcum</v>
      </c>
      <c r="Q30" t="str">
        <f>IFERROR(__xludf.DUMMYFUNCTION("""COMPUTED_VALUE"""),"Good")</f>
        <v>Good</v>
      </c>
      <c r="R30" t="str">
        <f>IFERROR(__xludf.DUMMYFUNCTION("""COMPUTED_VALUE"""),"Good")</f>
        <v>Good</v>
      </c>
      <c r="S30" t="str">
        <f>IFERROR(__xludf.DUMMYFUNCTION("""COMPUTED_VALUE"""),"Good")</f>
        <v>Good</v>
      </c>
      <c r="T30" t="str">
        <f>IFERROR(__xludf.DUMMYFUNCTION("""COMPUTED_VALUE"""),"Good")</f>
        <v>Good</v>
      </c>
      <c r="U30" t="str">
        <f>IFERROR(__xludf.DUMMYFUNCTION("""COMPUTED_VALUE"""),"Good")</f>
        <v>Good</v>
      </c>
      <c r="V30" t="str">
        <f>IFERROR(__xludf.DUMMYFUNCTION("""COMPUTED_VALUE"""),"Good")</f>
        <v>Good</v>
      </c>
      <c r="W30" t="str">
        <f>IFERROR(__xludf.DUMMYFUNCTION("""COMPUTED_VALUE"""),"Good")</f>
        <v>Good</v>
      </c>
      <c r="X30" t="str">
        <f>IFERROR(__xludf.DUMMYFUNCTION("""COMPUTED_VALUE"""),"Good")</f>
        <v>Good</v>
      </c>
      <c r="Y30" t="str">
        <f>IFERROR(__xludf.DUMMYFUNCTION("""COMPUTED_VALUE"""),"Good")</f>
        <v>Good</v>
      </c>
      <c r="Z30" t="str">
        <f>IFERROR(__xludf.DUMMYFUNCTION("""COMPUTED_VALUE"""),"Good")</f>
        <v>Good</v>
      </c>
      <c r="AA30" t="str">
        <f>IFERROR(__xludf.DUMMYFUNCTION("""COMPUTED_VALUE"""),"Good")</f>
        <v>Good</v>
      </c>
      <c r="AB30" t="str">
        <f>IFERROR(__xludf.DUMMYFUNCTION("""COMPUTED_VALUE"""),"Good")</f>
        <v>Good</v>
      </c>
      <c r="AC30" t="str">
        <f>IFERROR(__xludf.DUMMYFUNCTION("""COMPUTED_VALUE"""),"Good")</f>
        <v>Good</v>
      </c>
      <c r="AE30" s="11"/>
      <c r="AF30" s="12" t="b">
        <v>0</v>
      </c>
      <c r="AG30" s="17" t="s">
        <v>22</v>
      </c>
      <c r="AH30" s="12"/>
      <c r="AI30" s="12" t="s">
        <v>23</v>
      </c>
      <c r="AJ30" s="19" t="s">
        <v>24</v>
      </c>
      <c r="AK30" s="20" t="str">
        <f>HYPERLINK("https://drive.google.com/a/gtmnerr.org/file/d/1QvAZ7R1p5_SFBt5mF93Am43VNlxMzFTn/view?usp=drivesdk","Pamela Marcum - 3/24/2018")</f>
        <v>Pamela Marcum - 3/24/2018</v>
      </c>
      <c r="AL30" s="12" t="s">
        <v>25</v>
      </c>
    </row>
    <row r="31">
      <c r="A31" s="10">
        <f>IFERROR(__xludf.DUMMYFUNCTION("""COMPUTED_VALUE"""),43185.58520390047)</f>
        <v>43185.5852</v>
      </c>
      <c r="B31" s="11" t="str">
        <f>IFERROR(__xludf.DUMMYFUNCTION("""COMPUTED_VALUE"""),"Silas Tanner")</f>
        <v>Silas Tanner</v>
      </c>
      <c r="C31" t="str">
        <f>IFERROR(__xludf.DUMMYFUNCTION("""COMPUTED_VALUE"""),"silas.tanner@floridadep.gov")</f>
        <v>silas.tanner@floridadep.gov</v>
      </c>
      <c r="D31" t="str">
        <f>IFERROR(__xludf.DUMMYFUNCTION("""COMPUTED_VALUE"""),"Research")</f>
        <v>Research</v>
      </c>
      <c r="E31" t="str">
        <f>IFERROR(__xludf.DUMMYFUNCTION("""COMPUTED_VALUE"""),"Usina Boat Ramp")</f>
        <v>Usina Boat Ramp</v>
      </c>
      <c r="F31" s="13"/>
      <c r="G31" s="14">
        <f>IFERROR(__xludf.DUMMYFUNCTION("""COMPUTED_VALUE"""),43186.0)</f>
        <v>43186</v>
      </c>
      <c r="H31" t="str">
        <f>IFERROR(__xludf.DUMMYFUNCTION("""COMPUTED_VALUE"""),"ICW around Pine Island")</f>
        <v>ICW around Pine Island</v>
      </c>
      <c r="I31" s="15">
        <f>IFERROR(__xludf.DUMMYFUNCTION("""COMPUTED_VALUE"""),0.9791666666678793)</f>
        <v>0.9791666667</v>
      </c>
      <c r="J31" s="16">
        <f>IFERROR(__xludf.DUMMYFUNCTION("""COMPUTED_VALUE"""),43186.98958333333)</f>
        <v>43186.98958</v>
      </c>
      <c r="K31" t="str">
        <f>IFERROR(__xludf.DUMMYFUNCTION("""COMPUTED_VALUE"""),"23ft Skiff (Bertha) FL7972LJ DEP07613")</f>
        <v>23ft Skiff (Bertha) FL7972LJ DEP07613</v>
      </c>
      <c r="M31" t="str">
        <f>IFERROR(__xludf.DUMMYFUNCTION("""COMPUTED_VALUE"""),"Ford F250 2017 (Moby Dix) - DEP0021578")</f>
        <v>Ford F250 2017 (Moby Dix) - DEP0021578</v>
      </c>
      <c r="N31" t="str">
        <f>IFERROR(__xludf.DUMMYFUNCTION("""COMPUTED_VALUE"""),"Silas Tanner, Jimmy Tomazinis")</f>
        <v>Silas Tanner, Jimmy Tomazinis</v>
      </c>
      <c r="O31" t="str">
        <f>IFERROR(__xludf.DUMMYFUNCTION("""COMPUTED_VALUE"""),"Adam Rosenblatt, Courtney Lanasa, Mason Thackston")</f>
        <v>Adam Rosenblatt, Courtney Lanasa, Mason Thackston</v>
      </c>
      <c r="P31" t="str">
        <f>IFERROR(__xludf.DUMMYFUNCTION("""COMPUTED_VALUE"""),"Silas Tanner")</f>
        <v>Silas Tanner</v>
      </c>
      <c r="Q31" t="str">
        <f>IFERROR(__xludf.DUMMYFUNCTION("""COMPUTED_VALUE"""),"Good")</f>
        <v>Good</v>
      </c>
      <c r="R31" t="str">
        <f>IFERROR(__xludf.DUMMYFUNCTION("""COMPUTED_VALUE"""),"Good")</f>
        <v>Good</v>
      </c>
      <c r="S31" t="str">
        <f>IFERROR(__xludf.DUMMYFUNCTION("""COMPUTED_VALUE"""),"Good")</f>
        <v>Good</v>
      </c>
      <c r="T31" t="str">
        <f>IFERROR(__xludf.DUMMYFUNCTION("""COMPUTED_VALUE"""),"Good")</f>
        <v>Good</v>
      </c>
      <c r="U31" t="str">
        <f>IFERROR(__xludf.DUMMYFUNCTION("""COMPUTED_VALUE"""),"Good")</f>
        <v>Good</v>
      </c>
      <c r="V31" t="str">
        <f>IFERROR(__xludf.DUMMYFUNCTION("""COMPUTED_VALUE"""),"Good")</f>
        <v>Good</v>
      </c>
      <c r="W31" t="str">
        <f>IFERROR(__xludf.DUMMYFUNCTION("""COMPUTED_VALUE"""),"Good")</f>
        <v>Good</v>
      </c>
      <c r="X31" t="str">
        <f>IFERROR(__xludf.DUMMYFUNCTION("""COMPUTED_VALUE"""),"Good")</f>
        <v>Good</v>
      </c>
      <c r="Y31" t="str">
        <f>IFERROR(__xludf.DUMMYFUNCTION("""COMPUTED_VALUE"""),"Good")</f>
        <v>Good</v>
      </c>
      <c r="Z31" t="str">
        <f>IFERROR(__xludf.DUMMYFUNCTION("""COMPUTED_VALUE"""),"Good")</f>
        <v>Good</v>
      </c>
      <c r="AA31" t="str">
        <f>IFERROR(__xludf.DUMMYFUNCTION("""COMPUTED_VALUE"""),"Good")</f>
        <v>Good</v>
      </c>
      <c r="AB31" t="str">
        <f>IFERROR(__xludf.DUMMYFUNCTION("""COMPUTED_VALUE"""),"Good")</f>
        <v>Good</v>
      </c>
      <c r="AC31" t="str">
        <f>IFERROR(__xludf.DUMMYFUNCTION("""COMPUTED_VALUE"""),"Good")</f>
        <v>Good</v>
      </c>
      <c r="AE31" s="11"/>
      <c r="AF31" s="12" t="b">
        <v>0</v>
      </c>
      <c r="AG31" s="17" t="s">
        <v>22</v>
      </c>
      <c r="AH31" s="12"/>
      <c r="AI31" s="12" t="s">
        <v>26</v>
      </c>
      <c r="AJ31" s="19" t="s">
        <v>27</v>
      </c>
      <c r="AK31" s="20" t="str">
        <f>HYPERLINK("https://drive.google.com/a/gtmnerr.org/file/d/1YinwlBsrG6skh50eUb96HFs4ROS8w5Vd/view?usp=drivesdk","Silas Tanner - 3/27/2018")</f>
        <v>Silas Tanner - 3/27/2018</v>
      </c>
      <c r="AL31" s="12" t="s">
        <v>28</v>
      </c>
    </row>
    <row r="32">
      <c r="A32" s="10">
        <f>IFERROR(__xludf.DUMMYFUNCTION("""COMPUTED_VALUE"""),43185.587777546294)</f>
        <v>43185.58778</v>
      </c>
      <c r="B32" s="11" t="str">
        <f>IFERROR(__xludf.DUMMYFUNCTION("""COMPUTED_VALUE"""),"Silas Tanner")</f>
        <v>Silas Tanner</v>
      </c>
      <c r="C32" t="str">
        <f>IFERROR(__xludf.DUMMYFUNCTION("""COMPUTED_VALUE"""),"silas.tanner@floridadep.gov")</f>
        <v>silas.tanner@floridadep.gov</v>
      </c>
      <c r="D32" t="str">
        <f>IFERROR(__xludf.DUMMYFUNCTION("""COMPUTED_VALUE"""),"Research")</f>
        <v>Research</v>
      </c>
      <c r="E32" t="str">
        <f>IFERROR(__xludf.DUMMYFUNCTION("""COMPUTED_VALUE"""),"Vilano County Ramp")</f>
        <v>Vilano County Ramp</v>
      </c>
      <c r="F32" s="13"/>
      <c r="G32" s="14">
        <f>IFERROR(__xludf.DUMMYFUNCTION("""COMPUTED_VALUE"""),43186.0)</f>
        <v>43186</v>
      </c>
      <c r="H32" t="str">
        <f>IFERROR(__xludf.DUMMYFUNCTION("""COMPUTED_VALUE"""),"ICW: SWMP sites")</f>
        <v>ICW: SWMP sites</v>
      </c>
      <c r="I32" s="15">
        <f>IFERROR(__xludf.DUMMYFUNCTION("""COMPUTED_VALUE"""),0.5625)</f>
        <v>0.5625</v>
      </c>
      <c r="J32" s="16">
        <f>IFERROR(__xludf.DUMMYFUNCTION("""COMPUTED_VALUE"""),43186.57291666667)</f>
        <v>43186.57292</v>
      </c>
      <c r="K32" t="str">
        <f>IFERROR(__xludf.DUMMYFUNCTION("""COMPUTED_VALUE"""),"23ft Skiff (Bertha) FL7972LJ DEP07613")</f>
        <v>23ft Skiff (Bertha) FL7972LJ DEP07613</v>
      </c>
      <c r="M32" t="str">
        <f>IFERROR(__xludf.DUMMYFUNCTION("""COMPUTED_VALUE"""),"Ford F250 2017 (Moby Dix) - DEP0021578")</f>
        <v>Ford F250 2017 (Moby Dix) - DEP0021578</v>
      </c>
      <c r="N32" t="str">
        <f>IFERROR(__xludf.DUMMYFUNCTION("""COMPUTED_VALUE"""),"Silas Tanner, Jimmy Tomazinis")</f>
        <v>Silas Tanner, Jimmy Tomazinis</v>
      </c>
      <c r="O32" t="str">
        <f>IFERROR(__xludf.DUMMYFUNCTION("""COMPUTED_VALUE"""),"Matthew Sturchio")</f>
        <v>Matthew Sturchio</v>
      </c>
      <c r="P32" t="str">
        <f>IFERROR(__xludf.DUMMYFUNCTION("""COMPUTED_VALUE"""),"Silas Tanner")</f>
        <v>Silas Tanner</v>
      </c>
      <c r="Q32" t="str">
        <f>IFERROR(__xludf.DUMMYFUNCTION("""COMPUTED_VALUE"""),"Good")</f>
        <v>Good</v>
      </c>
      <c r="R32" t="str">
        <f>IFERROR(__xludf.DUMMYFUNCTION("""COMPUTED_VALUE"""),"Good")</f>
        <v>Good</v>
      </c>
      <c r="S32" t="str">
        <f>IFERROR(__xludf.DUMMYFUNCTION("""COMPUTED_VALUE"""),"Good")</f>
        <v>Good</v>
      </c>
      <c r="T32" t="str">
        <f>IFERROR(__xludf.DUMMYFUNCTION("""COMPUTED_VALUE"""),"Good")</f>
        <v>Good</v>
      </c>
      <c r="U32" t="str">
        <f>IFERROR(__xludf.DUMMYFUNCTION("""COMPUTED_VALUE"""),"Good")</f>
        <v>Good</v>
      </c>
      <c r="V32" t="str">
        <f>IFERROR(__xludf.DUMMYFUNCTION("""COMPUTED_VALUE"""),"Good")</f>
        <v>Good</v>
      </c>
      <c r="W32" t="str">
        <f>IFERROR(__xludf.DUMMYFUNCTION("""COMPUTED_VALUE"""),"Good")</f>
        <v>Good</v>
      </c>
      <c r="X32" t="str">
        <f>IFERROR(__xludf.DUMMYFUNCTION("""COMPUTED_VALUE"""),"Good")</f>
        <v>Good</v>
      </c>
      <c r="Y32" t="str">
        <f>IFERROR(__xludf.DUMMYFUNCTION("""COMPUTED_VALUE"""),"Good")</f>
        <v>Good</v>
      </c>
      <c r="Z32" t="str">
        <f>IFERROR(__xludf.DUMMYFUNCTION("""COMPUTED_VALUE"""),"Good")</f>
        <v>Good</v>
      </c>
      <c r="AA32" t="str">
        <f>IFERROR(__xludf.DUMMYFUNCTION("""COMPUTED_VALUE"""),"Good")</f>
        <v>Good</v>
      </c>
      <c r="AB32" t="str">
        <f>IFERROR(__xludf.DUMMYFUNCTION("""COMPUTED_VALUE"""),"Good")</f>
        <v>Good</v>
      </c>
      <c r="AC32" t="str">
        <f>IFERROR(__xludf.DUMMYFUNCTION("""COMPUTED_VALUE"""),"Good")</f>
        <v>Good</v>
      </c>
      <c r="AE32" s="11"/>
      <c r="AF32" s="12" t="b">
        <v>0</v>
      </c>
      <c r="AG32" s="17" t="s">
        <v>18</v>
      </c>
      <c r="AH32" s="12"/>
      <c r="AI32" s="12" t="s">
        <v>29</v>
      </c>
      <c r="AJ32" s="19" t="s">
        <v>30</v>
      </c>
      <c r="AK32" s="20" t="str">
        <f>HYPERLINK("https://drive.google.com/a/gtmnerr.org/file/d/1UDcTZ57HVMirRLXojC9fGFCmlWToZDMk/view?usp=drivesdk","Silas Tanner - 3/27/2018")</f>
        <v>Silas Tanner - 3/27/2018</v>
      </c>
      <c r="AL32" s="12" t="s">
        <v>31</v>
      </c>
    </row>
    <row r="33">
      <c r="A33" s="10">
        <f>IFERROR(__xludf.DUMMYFUNCTION("""COMPUTED_VALUE"""),43187.317305231474)</f>
        <v>43187.31731</v>
      </c>
      <c r="B33" s="11" t="str">
        <f>IFERROR(__xludf.DUMMYFUNCTION("""COMPUTED_VALUE"""),"James Tomazinis")</f>
        <v>James Tomazinis</v>
      </c>
      <c r="C33" t="str">
        <f>IFERROR(__xludf.DUMMYFUNCTION("""COMPUTED_VALUE"""),"james.tomazinis@floridadep.gov")</f>
        <v>james.tomazinis@floridadep.gov</v>
      </c>
      <c r="D33" t="str">
        <f>IFERROR(__xludf.DUMMYFUNCTION("""COMPUTED_VALUE"""),"Stewardship (Aquatic)")</f>
        <v>Stewardship (Aquatic)</v>
      </c>
      <c r="E33" t="str">
        <f>IFERROR(__xludf.DUMMYFUNCTION("""COMPUTED_VALUE"""),"Guana Dam")</f>
        <v>Guana Dam</v>
      </c>
      <c r="F33" s="13"/>
      <c r="G33" s="14">
        <f>IFERROR(__xludf.DUMMYFUNCTION("""COMPUTED_VALUE"""),43187.0)</f>
        <v>43187</v>
      </c>
      <c r="H33" t="str">
        <f>IFERROR(__xludf.DUMMYFUNCTION("""COMPUTED_VALUE"""),"Guana Nutrient sites")</f>
        <v>Guana Nutrient sites</v>
      </c>
      <c r="I33" s="15">
        <f>IFERROR(__xludf.DUMMYFUNCTION("""COMPUTED_VALUE"""),0.5)</f>
        <v>0.5</v>
      </c>
      <c r="J33" s="16">
        <f>IFERROR(__xludf.DUMMYFUNCTION("""COMPUTED_VALUE"""),43187.01041666667)</f>
        <v>43187.01042</v>
      </c>
      <c r="K33" t="str">
        <f>IFERROR(__xludf.DUMMYFUNCTION("""COMPUTED_VALUE"""),"Jon Boat FL0484NP DEP06819")</f>
        <v>Jon Boat FL0484NP DEP06819</v>
      </c>
      <c r="M33" t="str">
        <f>IFERROR(__xludf.DUMMYFUNCTION("""COMPUTED_VALUE"""),"Ford F150 2008 - DEP18041 (ML)")</f>
        <v>Ford F150 2008 - DEP18041 (ML)</v>
      </c>
      <c r="N33" t="str">
        <f>IFERROR(__xludf.DUMMYFUNCTION("""COMPUTED_VALUE"""),"Silas Tanner, Jimmy Tomazinis")</f>
        <v>Silas Tanner, Jimmy Tomazinis</v>
      </c>
      <c r="P33" t="str">
        <f>IFERROR(__xludf.DUMMYFUNCTION("""COMPUTED_VALUE"""),"James Tomazinis")</f>
        <v>James Tomazinis</v>
      </c>
      <c r="Q33" t="str">
        <f>IFERROR(__xludf.DUMMYFUNCTION("""COMPUTED_VALUE"""),"Good")</f>
        <v>Good</v>
      </c>
      <c r="R33" t="str">
        <f>IFERROR(__xludf.DUMMYFUNCTION("""COMPUTED_VALUE"""),"Good")</f>
        <v>Good</v>
      </c>
      <c r="S33" t="str">
        <f>IFERROR(__xludf.DUMMYFUNCTION("""COMPUTED_VALUE"""),"Good")</f>
        <v>Good</v>
      </c>
      <c r="T33" t="str">
        <f>IFERROR(__xludf.DUMMYFUNCTION("""COMPUTED_VALUE"""),"Good")</f>
        <v>Good</v>
      </c>
      <c r="U33" t="str">
        <f>IFERROR(__xludf.DUMMYFUNCTION("""COMPUTED_VALUE"""),"Good")</f>
        <v>Good</v>
      </c>
      <c r="V33" t="str">
        <f>IFERROR(__xludf.DUMMYFUNCTION("""COMPUTED_VALUE"""),"Good")</f>
        <v>Good</v>
      </c>
      <c r="W33" t="str">
        <f>IFERROR(__xludf.DUMMYFUNCTION("""COMPUTED_VALUE"""),"Good")</f>
        <v>Good</v>
      </c>
      <c r="X33" t="str">
        <f>IFERROR(__xludf.DUMMYFUNCTION("""COMPUTED_VALUE"""),"Good")</f>
        <v>Good</v>
      </c>
      <c r="Y33" t="str">
        <f>IFERROR(__xludf.DUMMYFUNCTION("""COMPUTED_VALUE"""),"Good")</f>
        <v>Good</v>
      </c>
      <c r="Z33" t="str">
        <f>IFERROR(__xludf.DUMMYFUNCTION("""COMPUTED_VALUE"""),"Good")</f>
        <v>Good</v>
      </c>
      <c r="AA33" t="str">
        <f>IFERROR(__xludf.DUMMYFUNCTION("""COMPUTED_VALUE"""),"Good")</f>
        <v>Good</v>
      </c>
      <c r="AB33" t="str">
        <f>IFERROR(__xludf.DUMMYFUNCTION("""COMPUTED_VALUE"""),"Good")</f>
        <v>Good</v>
      </c>
      <c r="AC33" t="str">
        <f>IFERROR(__xludf.DUMMYFUNCTION("""COMPUTED_VALUE"""),"Good")</f>
        <v>Good</v>
      </c>
      <c r="AE33" s="11"/>
      <c r="AF33" s="12" t="s">
        <v>32</v>
      </c>
      <c r="AG33" s="17" t="s">
        <v>18</v>
      </c>
      <c r="AH33" s="12"/>
      <c r="AI33" s="12" t="s">
        <v>33</v>
      </c>
      <c r="AJ33" s="19" t="s">
        <v>34</v>
      </c>
      <c r="AK33" s="20" t="str">
        <f>HYPERLINK("https://drive.google.com/a/gtmnerr.org/file/d/1jgjcWdO9z2WyqZPvktwTx42rtdLSC_0a/view?usp=drivesdk","James Tomazinis - 3/28/2018")</f>
        <v>James Tomazinis - 3/28/2018</v>
      </c>
      <c r="AL33" s="12" t="s">
        <v>35</v>
      </c>
    </row>
    <row r="34">
      <c r="A34" s="10">
        <f>IFERROR(__xludf.DUMMYFUNCTION("""COMPUTED_VALUE"""),43188.36082784722)</f>
        <v>43188.36083</v>
      </c>
      <c r="B34" s="11" t="str">
        <f>IFERROR(__xludf.DUMMYFUNCTION("""COMPUTED_VALUE"""),"James Tomazinis")</f>
        <v>James Tomazinis</v>
      </c>
      <c r="C34" t="str">
        <f>IFERROR(__xludf.DUMMYFUNCTION("""COMPUTED_VALUE"""),"james.tomazinis@floridadep.gov")</f>
        <v>james.tomazinis@floridadep.gov</v>
      </c>
      <c r="D34" t="str">
        <f>IFERROR(__xludf.DUMMYFUNCTION("""COMPUTED_VALUE"""),"Stewardship (Aquatic)")</f>
        <v>Stewardship (Aquatic)</v>
      </c>
      <c r="E34" t="str">
        <f>IFERROR(__xludf.DUMMYFUNCTION("""COMPUTED_VALUE"""),"Aunt Kates")</f>
        <v>Aunt Kates</v>
      </c>
      <c r="F34" s="13"/>
      <c r="G34" s="14">
        <f>IFERROR(__xludf.DUMMYFUNCTION("""COMPUTED_VALUE"""),43188.0)</f>
        <v>43188</v>
      </c>
      <c r="H34" t="str">
        <f>IFERROR(__xludf.DUMMYFUNCTION("""COMPUTED_VALUE"""),"Angelini Sites")</f>
        <v>Angelini Sites</v>
      </c>
      <c r="I34" s="15">
        <f>IFERROR(__xludf.DUMMYFUNCTION("""COMPUTED_VALUE"""),0.7083333333321207)</f>
        <v>0.7083333333</v>
      </c>
      <c r="J34" s="16">
        <f>IFERROR(__xludf.DUMMYFUNCTION("""COMPUTED_VALUE"""),43188.71875)</f>
        <v>43188.71875</v>
      </c>
      <c r="K34" t="str">
        <f>IFERROR(__xludf.DUMMYFUNCTION("""COMPUTED_VALUE"""),"23ft Skiff (Bertha) FL7972LJ DEP07613")</f>
        <v>23ft Skiff (Bertha) FL7972LJ DEP07613</v>
      </c>
      <c r="M34" t="str">
        <f>IFERROR(__xludf.DUMMYFUNCTION("""COMPUTED_VALUE"""),"Ford F250 2017 (Moby Dix) - DEP0021578")</f>
        <v>Ford F250 2017 (Moby Dix) - DEP0021578</v>
      </c>
      <c r="N34" t="str">
        <f>IFERROR(__xludf.DUMMYFUNCTION("""COMPUTED_VALUE"""),"Jimmy Tomazinis")</f>
        <v>Jimmy Tomazinis</v>
      </c>
      <c r="O34" t="str">
        <f>IFERROR(__xludf.DUMMYFUNCTION("""COMPUTED_VALUE"""),"Greg")</f>
        <v>Greg</v>
      </c>
      <c r="P34" t="str">
        <f>IFERROR(__xludf.DUMMYFUNCTION("""COMPUTED_VALUE"""),"Jimmy")</f>
        <v>Jimmy</v>
      </c>
      <c r="Q34" t="str">
        <f>IFERROR(__xludf.DUMMYFUNCTION("""COMPUTED_VALUE"""),"Good")</f>
        <v>Good</v>
      </c>
      <c r="R34" t="str">
        <f>IFERROR(__xludf.DUMMYFUNCTION("""COMPUTED_VALUE"""),"Good")</f>
        <v>Good</v>
      </c>
      <c r="S34" t="str">
        <f>IFERROR(__xludf.DUMMYFUNCTION("""COMPUTED_VALUE"""),"Good")</f>
        <v>Good</v>
      </c>
      <c r="T34" t="str">
        <f>IFERROR(__xludf.DUMMYFUNCTION("""COMPUTED_VALUE"""),"Good")</f>
        <v>Good</v>
      </c>
      <c r="U34" t="str">
        <f>IFERROR(__xludf.DUMMYFUNCTION("""COMPUTED_VALUE"""),"Good")</f>
        <v>Good</v>
      </c>
      <c r="V34" t="str">
        <f>IFERROR(__xludf.DUMMYFUNCTION("""COMPUTED_VALUE"""),"Good")</f>
        <v>Good</v>
      </c>
      <c r="W34" t="str">
        <f>IFERROR(__xludf.DUMMYFUNCTION("""COMPUTED_VALUE"""),"Good")</f>
        <v>Good</v>
      </c>
      <c r="X34" t="str">
        <f>IFERROR(__xludf.DUMMYFUNCTION("""COMPUTED_VALUE"""),"Good")</f>
        <v>Good</v>
      </c>
      <c r="Y34" t="str">
        <f>IFERROR(__xludf.DUMMYFUNCTION("""COMPUTED_VALUE"""),"Good")</f>
        <v>Good</v>
      </c>
      <c r="Z34" t="str">
        <f>IFERROR(__xludf.DUMMYFUNCTION("""COMPUTED_VALUE"""),"Good")</f>
        <v>Good</v>
      </c>
      <c r="AA34" t="str">
        <f>IFERROR(__xludf.DUMMYFUNCTION("""COMPUTED_VALUE"""),"Good")</f>
        <v>Good</v>
      </c>
      <c r="AB34" t="str">
        <f>IFERROR(__xludf.DUMMYFUNCTION("""COMPUTED_VALUE"""),"Good")</f>
        <v>Good</v>
      </c>
      <c r="AC34" t="str">
        <f>IFERROR(__xludf.DUMMYFUNCTION("""COMPUTED_VALUE"""),"Good")</f>
        <v>Good</v>
      </c>
      <c r="AE34" s="11"/>
      <c r="AF34" s="12" t="s">
        <v>32</v>
      </c>
      <c r="AG34" s="17" t="s">
        <v>22</v>
      </c>
      <c r="AH34" s="12"/>
      <c r="AI34" s="12" t="s">
        <v>36</v>
      </c>
      <c r="AJ34" s="19" t="s">
        <v>37</v>
      </c>
      <c r="AK34" s="20" t="str">
        <f>HYPERLINK("https://drive.google.com/a/gtmnerr.org/file/d/1xdZPUxBQL3Q04nu9hZKEqU5OAwvcXjY4/view?usp=drivesdk","James Tomazinis - 3/29/2018")</f>
        <v>James Tomazinis - 3/29/2018</v>
      </c>
      <c r="AL34" s="12" t="s">
        <v>38</v>
      </c>
    </row>
    <row r="35">
      <c r="A35" s="10">
        <f>IFERROR(__xludf.DUMMYFUNCTION("""COMPUTED_VALUE"""),43189.49478293981)</f>
        <v>43189.49478</v>
      </c>
      <c r="B35" s="11" t="str">
        <f>IFERROR(__xludf.DUMMYFUNCTION("""COMPUTED_VALUE"""),"Kenneth Rainer")</f>
        <v>Kenneth Rainer</v>
      </c>
      <c r="C35" t="str">
        <f>IFERROR(__xludf.DUMMYFUNCTION("""COMPUTED_VALUE"""),"Kenneth.Rainer@dep.state.fl.us")</f>
        <v>Kenneth.Rainer@dep.state.fl.us</v>
      </c>
      <c r="D35" t="str">
        <f>IFERROR(__xludf.DUMMYFUNCTION("""COMPUTED_VALUE"""),"Education")</f>
        <v>Education</v>
      </c>
      <c r="E35" t="str">
        <f>IFERROR(__xludf.DUMMYFUNCTION("""COMPUTED_VALUE"""),"Frank Butler West Boat Ramp")</f>
        <v>Frank Butler West Boat Ramp</v>
      </c>
      <c r="F35" s="13"/>
      <c r="G35" s="14">
        <f>IFERROR(__xludf.DUMMYFUNCTION("""COMPUTED_VALUE"""),43190.0)</f>
        <v>43190</v>
      </c>
      <c r="H35" t="str">
        <f>IFERROR(__xludf.DUMMYFUNCTION("""COMPUTED_VALUE"""),"Southern Component (Matanzas River)")</f>
        <v>Southern Component (Matanzas River)</v>
      </c>
      <c r="I35" s="15">
        <f>IFERROR(__xludf.DUMMYFUNCTION("""COMPUTED_VALUE"""),0.5416666666678793)</f>
        <v>0.5416666667</v>
      </c>
      <c r="J35" s="16">
        <f>IFERROR(__xludf.DUMMYFUNCTION("""COMPUTED_VALUE"""),43190.70833333333)</f>
        <v>43190.70833</v>
      </c>
      <c r="K35" t="str">
        <f>IFERROR(__xludf.DUMMYFUNCTION("""COMPUTED_VALUE"""),"23ft Skiff (Bertha) FL7972LJ DEP07613")</f>
        <v>23ft Skiff (Bertha) FL7972LJ DEP07613</v>
      </c>
      <c r="M35" t="str">
        <f>IFERROR(__xludf.DUMMYFUNCTION("""COMPUTED_VALUE"""),"Ford F250 2017 (Moby Dix) - DEP0021578")</f>
        <v>Ford F250 2017 (Moby Dix) - DEP0021578</v>
      </c>
      <c r="N35" t="str">
        <f>IFERROR(__xludf.DUMMYFUNCTION("""COMPUTED_VALUE"""),"Kenneth Rainer, (936) 499-1853")</f>
        <v>Kenneth Rainer, (936) 499-1853</v>
      </c>
      <c r="O35" t="str">
        <f>IFERROR(__xludf.DUMMYFUNCTION("""COMPUTED_VALUE"""),"Joe McCoy, Five High School Students (provided DEP release waivers)")</f>
        <v>Joe McCoy, Five High School Students (provided DEP release waivers)</v>
      </c>
      <c r="P35" t="str">
        <f>IFERROR(__xludf.DUMMYFUNCTION("""COMPUTED_VALUE"""),"Kenneth Rainer")</f>
        <v>Kenneth Rainer</v>
      </c>
      <c r="Q35" t="str">
        <f>IFERROR(__xludf.DUMMYFUNCTION("""COMPUTED_VALUE"""),"Good")</f>
        <v>Good</v>
      </c>
      <c r="R35" t="str">
        <f>IFERROR(__xludf.DUMMYFUNCTION("""COMPUTED_VALUE"""),"Good")</f>
        <v>Good</v>
      </c>
      <c r="S35" t="str">
        <f>IFERROR(__xludf.DUMMYFUNCTION("""COMPUTED_VALUE"""),"Good")</f>
        <v>Good</v>
      </c>
      <c r="T35" t="str">
        <f>IFERROR(__xludf.DUMMYFUNCTION("""COMPUTED_VALUE"""),"Good")</f>
        <v>Good</v>
      </c>
      <c r="U35" t="str">
        <f>IFERROR(__xludf.DUMMYFUNCTION("""COMPUTED_VALUE"""),"Good")</f>
        <v>Good</v>
      </c>
      <c r="V35" t="str">
        <f>IFERROR(__xludf.DUMMYFUNCTION("""COMPUTED_VALUE"""),"Good")</f>
        <v>Good</v>
      </c>
      <c r="W35" t="str">
        <f>IFERROR(__xludf.DUMMYFUNCTION("""COMPUTED_VALUE"""),"Good")</f>
        <v>Good</v>
      </c>
      <c r="X35" t="str">
        <f>IFERROR(__xludf.DUMMYFUNCTION("""COMPUTED_VALUE"""),"Good")</f>
        <v>Good</v>
      </c>
      <c r="Y35" t="str">
        <f>IFERROR(__xludf.DUMMYFUNCTION("""COMPUTED_VALUE"""),"Good")</f>
        <v>Good</v>
      </c>
      <c r="Z35" t="str">
        <f>IFERROR(__xludf.DUMMYFUNCTION("""COMPUTED_VALUE"""),"Good")</f>
        <v>Good</v>
      </c>
      <c r="AA35" t="str">
        <f>IFERROR(__xludf.DUMMYFUNCTION("""COMPUTED_VALUE"""),"Good")</f>
        <v>Good</v>
      </c>
      <c r="AB35" t="str">
        <f>IFERROR(__xludf.DUMMYFUNCTION("""COMPUTED_VALUE"""),"Good")</f>
        <v>Good</v>
      </c>
      <c r="AC35" t="str">
        <f>IFERROR(__xludf.DUMMYFUNCTION("""COMPUTED_VALUE"""),"Good")</f>
        <v>Good</v>
      </c>
      <c r="AD35" t="str">
        <f>IFERROR(__xludf.DUMMYFUNCTION("""COMPUTED_VALUE"""),"Partly Cloudy, High 72 F, 16% rain, wind is 10mph NNW")</f>
        <v>Partly Cloudy, High 72 F, 16% rain, wind is 10mph NNW</v>
      </c>
      <c r="AE35" s="11" t="str">
        <f>IFERROR(__xludf.DUMMYFUNCTION("""COMPUTED_VALUE"""),"High Tide (4.8') 10:07 AM; Low Tide (-0.2') 4:34 PM")</f>
        <v>High Tide (4.8') 10:07 AM; Low Tide (-0.2') 4:34 PM</v>
      </c>
      <c r="AF35" s="12" t="s">
        <v>9</v>
      </c>
      <c r="AG35" s="17" t="s">
        <v>39</v>
      </c>
      <c r="AH35" s="12"/>
      <c r="AI35" s="12" t="s">
        <v>40</v>
      </c>
      <c r="AJ35" s="19" t="s">
        <v>41</v>
      </c>
      <c r="AK35" s="20" t="str">
        <f>HYPERLINK("https://drive.google.com/a/gtmnerr.org/file/d/1CqRffsFMJFT8y9LOWdRzM3m5rD9ZeP2D/view?usp=drivesdk","Kenneth Rainer - 3/31/2018")</f>
        <v>Kenneth Rainer - 3/31/2018</v>
      </c>
      <c r="AL35" s="12" t="s">
        <v>42</v>
      </c>
    </row>
    <row r="36">
      <c r="A36" s="10">
        <f>IFERROR(__xludf.DUMMYFUNCTION("""COMPUTED_VALUE"""),43193.314899652774)</f>
        <v>43193.3149</v>
      </c>
      <c r="B36" s="11" t="str">
        <f>IFERROR(__xludf.DUMMYFUNCTION("""COMPUTED_VALUE"""),"Pamela Marcum")</f>
        <v>Pamela Marcum</v>
      </c>
      <c r="C36" t="str">
        <f>IFERROR(__xludf.DUMMYFUNCTION("""COMPUTED_VALUE"""),"Pamela.Marcum@dep.state.fl.us")</f>
        <v>Pamela.Marcum@dep.state.fl.us</v>
      </c>
      <c r="D36" t="str">
        <f>IFERROR(__xludf.DUMMYFUNCTION("""COMPUTED_VALUE"""),"Research")</f>
        <v>Research</v>
      </c>
      <c r="E36" t="str">
        <f>IFERROR(__xludf.DUMMYFUNCTION("""COMPUTED_VALUE"""),"Aunt Kate's/Usina")</f>
        <v>Aunt Kate's/Usina</v>
      </c>
      <c r="F36" s="13"/>
      <c r="G36" s="14">
        <f>IFERROR(__xludf.DUMMYFUNCTION("""COMPUTED_VALUE"""),43193.0)</f>
        <v>43193</v>
      </c>
      <c r="H36" t="str">
        <f>IFERROR(__xludf.DUMMYFUNCTION("""COMPUTED_VALUE"""),"Spat Run, Marsh Platforms, Angelini Site")</f>
        <v>Spat Run, Marsh Platforms, Angelini Site</v>
      </c>
      <c r="I36" s="15">
        <f>IFERROR(__xludf.DUMMYFUNCTION("""COMPUTED_VALUE"""),0.6458333333321207)</f>
        <v>0.6458333333</v>
      </c>
      <c r="J36" s="16">
        <f>IFERROR(__xludf.DUMMYFUNCTION("""COMPUTED_VALUE"""),43193.66666666667)</f>
        <v>43193.66667</v>
      </c>
      <c r="K36" t="str">
        <f>IFERROR(__xludf.DUMMYFUNCTION("""COMPUTED_VALUE"""),"23ft Skiff (Bertha) FL7972LJ DEP07613")</f>
        <v>23ft Skiff (Bertha) FL7972LJ DEP07613</v>
      </c>
      <c r="M36" t="str">
        <f>IFERROR(__xludf.DUMMYFUNCTION("""COMPUTED_VALUE"""),"Ford F150 2008 - DEP18041 (ML)")</f>
        <v>Ford F150 2008 - DEP18041 (ML)</v>
      </c>
      <c r="N36" t="str">
        <f>IFERROR(__xludf.DUMMYFUNCTION("""COMPUTED_VALUE"""),"Pam Marcum, (480) 332-5414")</f>
        <v>Pam Marcum, (480) 332-5414</v>
      </c>
      <c r="O36" t="str">
        <f>IFERROR(__xludf.DUMMYFUNCTION("""COMPUTED_VALUE"""),"Ben Mowbray")</f>
        <v>Ben Mowbray</v>
      </c>
      <c r="P36" t="str">
        <f>IFERROR(__xludf.DUMMYFUNCTION("""COMPUTED_VALUE"""),"Pam ")</f>
        <v>Pam </v>
      </c>
      <c r="Q36" t="str">
        <f>IFERROR(__xludf.DUMMYFUNCTION("""COMPUTED_VALUE"""),"Good")</f>
        <v>Good</v>
      </c>
      <c r="R36" t="str">
        <f>IFERROR(__xludf.DUMMYFUNCTION("""COMPUTED_VALUE"""),"Good")</f>
        <v>Good</v>
      </c>
      <c r="S36" t="str">
        <f>IFERROR(__xludf.DUMMYFUNCTION("""COMPUTED_VALUE"""),"Good")</f>
        <v>Good</v>
      </c>
      <c r="T36" t="str">
        <f>IFERROR(__xludf.DUMMYFUNCTION("""COMPUTED_VALUE"""),"Good")</f>
        <v>Good</v>
      </c>
      <c r="U36" t="str">
        <f>IFERROR(__xludf.DUMMYFUNCTION("""COMPUTED_VALUE"""),"Good")</f>
        <v>Good</v>
      </c>
      <c r="V36" t="str">
        <f>IFERROR(__xludf.DUMMYFUNCTION("""COMPUTED_VALUE"""),"Good")</f>
        <v>Good</v>
      </c>
      <c r="W36" t="str">
        <f>IFERROR(__xludf.DUMMYFUNCTION("""COMPUTED_VALUE"""),"Good")</f>
        <v>Good</v>
      </c>
      <c r="X36" t="str">
        <f>IFERROR(__xludf.DUMMYFUNCTION("""COMPUTED_VALUE"""),"Good")</f>
        <v>Good</v>
      </c>
      <c r="Y36" t="str">
        <f>IFERROR(__xludf.DUMMYFUNCTION("""COMPUTED_VALUE"""),"Good")</f>
        <v>Good</v>
      </c>
      <c r="Z36" t="str">
        <f>IFERROR(__xludf.DUMMYFUNCTION("""COMPUTED_VALUE"""),"Good")</f>
        <v>Good</v>
      </c>
      <c r="AA36" t="str">
        <f>IFERROR(__xludf.DUMMYFUNCTION("""COMPUTED_VALUE"""),"Good")</f>
        <v>Good</v>
      </c>
      <c r="AB36" t="str">
        <f>IFERROR(__xludf.DUMMYFUNCTION("""COMPUTED_VALUE"""),"Good")</f>
        <v>Good</v>
      </c>
      <c r="AC36" t="str">
        <f>IFERROR(__xludf.DUMMYFUNCTION("""COMPUTED_VALUE"""),"Good")</f>
        <v>Good</v>
      </c>
      <c r="AE36" s="11"/>
      <c r="AF36" s="12" t="b">
        <v>0</v>
      </c>
      <c r="AG36" s="17" t="s">
        <v>43</v>
      </c>
      <c r="AH36" s="12"/>
      <c r="AI36" s="12" t="s">
        <v>44</v>
      </c>
      <c r="AJ36" s="19" t="s">
        <v>45</v>
      </c>
      <c r="AK36" s="20" t="str">
        <f>HYPERLINK("https://drive.google.com/a/gtmnerr.org/file/d/1VQkdorZRbfabc3AEa7o8ja86ZuyLfsIJ/view?usp=drivesdk","Pamela Marcum - 4/3/2018")</f>
        <v>Pamela Marcum - 4/3/2018</v>
      </c>
      <c r="AL36" s="12" t="s">
        <v>46</v>
      </c>
    </row>
    <row r="37">
      <c r="A37" s="10">
        <f>IFERROR(__xludf.DUMMYFUNCTION("""COMPUTED_VALUE"""),43195.325308298605)</f>
        <v>43195.32531</v>
      </c>
      <c r="B37" s="11" t="str">
        <f>IFERROR(__xludf.DUMMYFUNCTION("""COMPUTED_VALUE"""),"Pam Marcum")</f>
        <v>Pam Marcum</v>
      </c>
      <c r="C37" t="str">
        <f>IFERROR(__xludf.DUMMYFUNCTION("""COMPUTED_VALUE"""),"Pamela.Marcum@dep.state.fl.us")</f>
        <v>Pamela.Marcum@dep.state.fl.us</v>
      </c>
      <c r="D37" t="str">
        <f>IFERROR(__xludf.DUMMYFUNCTION("""COMPUTED_VALUE"""),"Research")</f>
        <v>Research</v>
      </c>
      <c r="E37" t="str">
        <f>IFERROR(__xludf.DUMMYFUNCTION("""COMPUTED_VALUE"""),"Usina")</f>
        <v>Usina</v>
      </c>
      <c r="F37" s="13"/>
      <c r="G37" s="14">
        <f>IFERROR(__xludf.DUMMYFUNCTION("""COMPUTED_VALUE"""),43195.0)</f>
        <v>43195</v>
      </c>
      <c r="H37" t="str">
        <f>IFERROR(__xludf.DUMMYFUNCTION("""COMPUTED_VALUE"""),"Guana River")</f>
        <v>Guana River</v>
      </c>
      <c r="I37" s="15">
        <f>IFERROR(__xludf.DUMMYFUNCTION("""COMPUTED_VALUE"""),0.4375)</f>
        <v>0.4375</v>
      </c>
      <c r="J37" s="16">
        <f>IFERROR(__xludf.DUMMYFUNCTION("""COMPUTED_VALUE"""),43195.45833333333)</f>
        <v>43195.45833</v>
      </c>
      <c r="K37" t="str">
        <f>IFERROR(__xludf.DUMMYFUNCTION("""COMPUTED_VALUE"""),"23ft Skiff (Bertha) FL7972LJ DEP07613")</f>
        <v>23ft Skiff (Bertha) FL7972LJ DEP07613</v>
      </c>
      <c r="M37" t="str">
        <f>IFERROR(__xludf.DUMMYFUNCTION("""COMPUTED_VALUE"""),"Ford F150 2008 - DEP18041 (ML)")</f>
        <v>Ford F150 2008 - DEP18041 (ML)</v>
      </c>
      <c r="N37" t="str">
        <f>IFERROR(__xludf.DUMMYFUNCTION("""COMPUTED_VALUE"""),"Pam Marcum, (480) 332-5414")</f>
        <v>Pam Marcum, (480) 332-5414</v>
      </c>
      <c r="O37" t="str">
        <f>IFERROR(__xludf.DUMMYFUNCTION("""COMPUTED_VALUE"""),"Ben Mowbray (407) 962-8782")</f>
        <v>Ben Mowbray (407) 962-8782</v>
      </c>
      <c r="P37" t="str">
        <f>IFERROR(__xludf.DUMMYFUNCTION("""COMPUTED_VALUE"""),"Pam Marcum")</f>
        <v>Pam Marcum</v>
      </c>
      <c r="Q37" t="str">
        <f>IFERROR(__xludf.DUMMYFUNCTION("""COMPUTED_VALUE"""),"Good")</f>
        <v>Good</v>
      </c>
      <c r="R37" t="str">
        <f>IFERROR(__xludf.DUMMYFUNCTION("""COMPUTED_VALUE"""),"Good")</f>
        <v>Good</v>
      </c>
      <c r="S37" t="str">
        <f>IFERROR(__xludf.DUMMYFUNCTION("""COMPUTED_VALUE"""),"Good")</f>
        <v>Good</v>
      </c>
      <c r="T37" t="str">
        <f>IFERROR(__xludf.DUMMYFUNCTION("""COMPUTED_VALUE"""),"Good")</f>
        <v>Good</v>
      </c>
      <c r="U37" t="str">
        <f>IFERROR(__xludf.DUMMYFUNCTION("""COMPUTED_VALUE"""),"Good")</f>
        <v>Good</v>
      </c>
      <c r="V37" t="str">
        <f>IFERROR(__xludf.DUMMYFUNCTION("""COMPUTED_VALUE"""),"Good")</f>
        <v>Good</v>
      </c>
      <c r="W37" t="str">
        <f>IFERROR(__xludf.DUMMYFUNCTION("""COMPUTED_VALUE"""),"Good")</f>
        <v>Good</v>
      </c>
      <c r="X37" t="str">
        <f>IFERROR(__xludf.DUMMYFUNCTION("""COMPUTED_VALUE"""),"Good")</f>
        <v>Good</v>
      </c>
      <c r="Y37" t="str">
        <f>IFERROR(__xludf.DUMMYFUNCTION("""COMPUTED_VALUE"""),"Good")</f>
        <v>Good</v>
      </c>
      <c r="Z37" t="str">
        <f>IFERROR(__xludf.DUMMYFUNCTION("""COMPUTED_VALUE"""),"Good")</f>
        <v>Good</v>
      </c>
      <c r="AA37" t="str">
        <f>IFERROR(__xludf.DUMMYFUNCTION("""COMPUTED_VALUE"""),"Good")</f>
        <v>Good</v>
      </c>
      <c r="AB37" t="str">
        <f>IFERROR(__xludf.DUMMYFUNCTION("""COMPUTED_VALUE"""),"Good")</f>
        <v>Good</v>
      </c>
      <c r="AC37" t="str">
        <f>IFERROR(__xludf.DUMMYFUNCTION("""COMPUTED_VALUE"""),"Good")</f>
        <v>Good</v>
      </c>
      <c r="AE37" s="11"/>
      <c r="AF37" s="12" t="b">
        <v>0</v>
      </c>
      <c r="AG37" s="17" t="s">
        <v>18</v>
      </c>
      <c r="AH37" s="12"/>
      <c r="AI37" s="12" t="s">
        <v>47</v>
      </c>
      <c r="AJ37" s="19" t="s">
        <v>48</v>
      </c>
      <c r="AK37" s="20" t="str">
        <f>HYPERLINK("https://drive.google.com/a/gtmnerr.org/file/d/1wwbmFLgI3rXytEVbNoq8P0VpSeSlZpZt/view?usp=drivesdk","Pam Marcum - 4/5/2018")</f>
        <v>Pam Marcum - 4/5/2018</v>
      </c>
      <c r="AL37" s="12" t="s">
        <v>49</v>
      </c>
    </row>
    <row r="38">
      <c r="A38" s="10">
        <f>IFERROR(__xludf.DUMMYFUNCTION("""COMPUTED_VALUE"""),43197.37090658565)</f>
        <v>43197.37091</v>
      </c>
      <c r="B38" s="11" t="str">
        <f>IFERROR(__xludf.DUMMYFUNCTION("""COMPUTED_VALUE"""),"Benjamin E Mowbray")</f>
        <v>Benjamin E Mowbray</v>
      </c>
      <c r="C38" t="str">
        <f>IFERROR(__xludf.DUMMYFUNCTION("""COMPUTED_VALUE"""),"mowbraybenjamin@gmail.com")</f>
        <v>mowbraybenjamin@gmail.com</v>
      </c>
      <c r="D38" t="str">
        <f>IFERROR(__xludf.DUMMYFUNCTION("""COMPUTED_VALUE"""),"Research")</f>
        <v>Research</v>
      </c>
      <c r="E38" t="str">
        <f>IFERROR(__xludf.DUMMYFUNCTION("""COMPUTED_VALUE"""),"Usina")</f>
        <v>Usina</v>
      </c>
      <c r="F38" s="13"/>
      <c r="G38" s="14">
        <f>IFERROR(__xludf.DUMMYFUNCTION("""COMPUTED_VALUE"""),43197.0)</f>
        <v>43197</v>
      </c>
      <c r="H38" t="str">
        <f>IFERROR(__xludf.DUMMYFUNCTION("""COMPUTED_VALUE"""),"Wright's landing")</f>
        <v>Wright's landing</v>
      </c>
      <c r="I38" s="15">
        <f>IFERROR(__xludf.DUMMYFUNCTION("""COMPUTED_VALUE"""),0.4930555555547471)</f>
        <v>0.4930555556</v>
      </c>
      <c r="J38" s="16">
        <f>IFERROR(__xludf.DUMMYFUNCTION("""COMPUTED_VALUE"""),43197.52083333333)</f>
        <v>43197.52083</v>
      </c>
      <c r="K38" t="str">
        <f>IFERROR(__xludf.DUMMYFUNCTION("""COMPUTED_VALUE"""),"23ft Skiff (Bertha) FL7972LJ DEP07613")</f>
        <v>23ft Skiff (Bertha) FL7972LJ DEP07613</v>
      </c>
      <c r="M38" t="str">
        <f>IFERROR(__xludf.DUMMYFUNCTION("""COMPUTED_VALUE"""),"Ford F250 2017 (Moby Dix) - DEP0021578")</f>
        <v>Ford F250 2017 (Moby Dix) - DEP0021578</v>
      </c>
      <c r="N38" t="str">
        <f>IFERROR(__xludf.DUMMYFUNCTION("""COMPUTED_VALUE"""),"Jimmy Tomazinis")</f>
        <v>Jimmy Tomazinis</v>
      </c>
      <c r="O38" t="str">
        <f>IFERROR(__xludf.DUMMYFUNCTION("""COMPUTED_VALUE"""),"Ben Mowbray")</f>
        <v>Ben Mowbray</v>
      </c>
      <c r="P38" t="str">
        <f>IFERROR(__xludf.DUMMYFUNCTION("""COMPUTED_VALUE"""),"Jimmy")</f>
        <v>Jimmy</v>
      </c>
      <c r="Q38" t="str">
        <f>IFERROR(__xludf.DUMMYFUNCTION("""COMPUTED_VALUE"""),"Good")</f>
        <v>Good</v>
      </c>
      <c r="R38" t="str">
        <f>IFERROR(__xludf.DUMMYFUNCTION("""COMPUTED_VALUE"""),"Good")</f>
        <v>Good</v>
      </c>
      <c r="S38" t="str">
        <f>IFERROR(__xludf.DUMMYFUNCTION("""COMPUTED_VALUE"""),"Good")</f>
        <v>Good</v>
      </c>
      <c r="T38" t="str">
        <f>IFERROR(__xludf.DUMMYFUNCTION("""COMPUTED_VALUE"""),"Good")</f>
        <v>Good</v>
      </c>
      <c r="U38" t="str">
        <f>IFERROR(__xludf.DUMMYFUNCTION("""COMPUTED_VALUE"""),"Good")</f>
        <v>Good</v>
      </c>
      <c r="V38" t="str">
        <f>IFERROR(__xludf.DUMMYFUNCTION("""COMPUTED_VALUE"""),"Good")</f>
        <v>Good</v>
      </c>
      <c r="W38" t="str">
        <f>IFERROR(__xludf.DUMMYFUNCTION("""COMPUTED_VALUE"""),"Good")</f>
        <v>Good</v>
      </c>
      <c r="X38" t="str">
        <f>IFERROR(__xludf.DUMMYFUNCTION("""COMPUTED_VALUE"""),"Good")</f>
        <v>Good</v>
      </c>
      <c r="Y38" t="str">
        <f>IFERROR(__xludf.DUMMYFUNCTION("""COMPUTED_VALUE"""),"Good")</f>
        <v>Good</v>
      </c>
      <c r="Z38" t="str">
        <f>IFERROR(__xludf.DUMMYFUNCTION("""COMPUTED_VALUE"""),"Good")</f>
        <v>Good</v>
      </c>
      <c r="AA38" t="str">
        <f>IFERROR(__xludf.DUMMYFUNCTION("""COMPUTED_VALUE"""),"Good")</f>
        <v>Good</v>
      </c>
      <c r="AB38" t="str">
        <f>IFERROR(__xludf.DUMMYFUNCTION("""COMPUTED_VALUE"""),"Good")</f>
        <v>Good</v>
      </c>
      <c r="AC38" t="str">
        <f>IFERROR(__xludf.DUMMYFUNCTION("""COMPUTED_VALUE"""),"Good")</f>
        <v>Good</v>
      </c>
      <c r="AE38" s="11"/>
      <c r="AF38" s="12" t="b">
        <v>0</v>
      </c>
      <c r="AG38" s="17" t="s">
        <v>43</v>
      </c>
      <c r="AH38" s="12"/>
      <c r="AI38" s="12" t="s">
        <v>50</v>
      </c>
      <c r="AJ38" s="19" t="s">
        <v>51</v>
      </c>
      <c r="AK38" s="20" t="str">
        <f>HYPERLINK("https://drive.google.com/a/gtmnerr.org/file/d/1PS5YPza6b0J9agPHBVTnWxTfvhLIFch7/view?usp=drivesdk","Benjamin E Mowbray - 4/7/2018")</f>
        <v>Benjamin E Mowbray - 4/7/2018</v>
      </c>
      <c r="AL38" s="12" t="s">
        <v>52</v>
      </c>
    </row>
    <row r="39">
      <c r="A39" s="10">
        <f>IFERROR(__xludf.DUMMYFUNCTION("""COMPUTED_VALUE"""),43197.37217358796)</f>
        <v>43197.37217</v>
      </c>
      <c r="B39" s="11" t="str">
        <f>IFERROR(__xludf.DUMMYFUNCTION("""COMPUTED_VALUE"""),"Ben Mowbray")</f>
        <v>Ben Mowbray</v>
      </c>
      <c r="C39" t="str">
        <f>IFERROR(__xludf.DUMMYFUNCTION("""COMPUTED_VALUE"""),"mowbraybenjamin@gmail.com")</f>
        <v>mowbraybenjamin@gmail.com</v>
      </c>
      <c r="D39" t="str">
        <f>IFERROR(__xludf.DUMMYFUNCTION("""COMPUTED_VALUE"""),"Research")</f>
        <v>Research</v>
      </c>
      <c r="E39" t="str">
        <f>IFERROR(__xludf.DUMMYFUNCTION("""COMPUTED_VALUE"""),"Usina")</f>
        <v>Usina</v>
      </c>
      <c r="F39" s="13"/>
      <c r="G39" s="14">
        <f>IFERROR(__xludf.DUMMYFUNCTION("""COMPUTED_VALUE"""),43197.0)</f>
        <v>43197</v>
      </c>
      <c r="H39" t="str">
        <f>IFERROR(__xludf.DUMMYFUNCTION("""COMPUTED_VALUE"""),"Wright's landing")</f>
        <v>Wright's landing</v>
      </c>
      <c r="I39" s="15">
        <f>IFERROR(__xludf.DUMMYFUNCTION("""COMPUTED_VALUE"""),0.4930555555547471)</f>
        <v>0.4930555556</v>
      </c>
      <c r="J39" s="16">
        <f>IFERROR(__xludf.DUMMYFUNCTION("""COMPUTED_VALUE"""),43197.52083333333)</f>
        <v>43197.52083</v>
      </c>
      <c r="K39" t="str">
        <f>IFERROR(__xludf.DUMMYFUNCTION("""COMPUTED_VALUE"""),"20ft Sea Ark FL5351SJ UNF 2015")</f>
        <v>20ft Sea Ark FL5351SJ UNF 2015</v>
      </c>
      <c r="M39" t="str">
        <f>IFERROR(__xludf.DUMMYFUNCTION("""COMPUTED_VALUE"""),"Ford F150 2008 - DEP18041 (ML)")</f>
        <v>Ford F150 2008 - DEP18041 (ML)</v>
      </c>
      <c r="N39" t="str">
        <f>IFERROR(__xludf.DUMMYFUNCTION("""COMPUTED_VALUE"""),"Pam Marcum, (480) 332-5414, Gabriela Canas")</f>
        <v>Pam Marcum, (480) 332-5414, Gabriela Canas</v>
      </c>
      <c r="P39" t="str">
        <f>IFERROR(__xludf.DUMMYFUNCTION("""COMPUTED_VALUE"""),"Pam")</f>
        <v>Pam</v>
      </c>
      <c r="Q39" t="str">
        <f>IFERROR(__xludf.DUMMYFUNCTION("""COMPUTED_VALUE"""),"Good")</f>
        <v>Good</v>
      </c>
      <c r="R39" t="str">
        <f>IFERROR(__xludf.DUMMYFUNCTION("""COMPUTED_VALUE"""),"Good")</f>
        <v>Good</v>
      </c>
      <c r="S39" t="str">
        <f>IFERROR(__xludf.DUMMYFUNCTION("""COMPUTED_VALUE"""),"Good")</f>
        <v>Good</v>
      </c>
      <c r="T39" t="str">
        <f>IFERROR(__xludf.DUMMYFUNCTION("""COMPUTED_VALUE"""),"Good")</f>
        <v>Good</v>
      </c>
      <c r="U39" t="str">
        <f>IFERROR(__xludf.DUMMYFUNCTION("""COMPUTED_VALUE"""),"Good")</f>
        <v>Good</v>
      </c>
      <c r="V39" t="str">
        <f>IFERROR(__xludf.DUMMYFUNCTION("""COMPUTED_VALUE"""),"Good")</f>
        <v>Good</v>
      </c>
      <c r="W39" t="str">
        <f>IFERROR(__xludf.DUMMYFUNCTION("""COMPUTED_VALUE"""),"Good")</f>
        <v>Good</v>
      </c>
      <c r="X39" t="str">
        <f>IFERROR(__xludf.DUMMYFUNCTION("""COMPUTED_VALUE"""),"Good")</f>
        <v>Good</v>
      </c>
      <c r="Y39" t="str">
        <f>IFERROR(__xludf.DUMMYFUNCTION("""COMPUTED_VALUE"""),"Good")</f>
        <v>Good</v>
      </c>
      <c r="Z39" t="str">
        <f>IFERROR(__xludf.DUMMYFUNCTION("""COMPUTED_VALUE"""),"Good")</f>
        <v>Good</v>
      </c>
      <c r="AA39" t="str">
        <f>IFERROR(__xludf.DUMMYFUNCTION("""COMPUTED_VALUE"""),"Good")</f>
        <v>Good</v>
      </c>
      <c r="AB39" t="str">
        <f>IFERROR(__xludf.DUMMYFUNCTION("""COMPUTED_VALUE"""),"Good")</f>
        <v>Good</v>
      </c>
      <c r="AC39" t="str">
        <f>IFERROR(__xludf.DUMMYFUNCTION("""COMPUTED_VALUE"""),"Good")</f>
        <v>Good</v>
      </c>
      <c r="AE39" s="11"/>
      <c r="AF39" s="12" t="b">
        <v>0</v>
      </c>
      <c r="AG39" s="17" t="s">
        <v>43</v>
      </c>
      <c r="AH39" s="12"/>
      <c r="AI39" s="12" t="s">
        <v>53</v>
      </c>
      <c r="AJ39" s="19" t="s">
        <v>54</v>
      </c>
      <c r="AK39" s="20" t="str">
        <f>HYPERLINK("https://drive.google.com/a/gtmnerr.org/file/d/1xtziDCcDw8NcS5SRk_17AU3Q8TKpQ1Z4/view?usp=drivesdk","Ben Mowbray - 4/7/2018")</f>
        <v>Ben Mowbray - 4/7/2018</v>
      </c>
      <c r="AL39" s="12" t="s">
        <v>55</v>
      </c>
    </row>
    <row r="40">
      <c r="A40" s="10">
        <f>IFERROR(__xludf.DUMMYFUNCTION("""COMPUTED_VALUE"""),43199.5246040625)</f>
        <v>43199.5246</v>
      </c>
      <c r="B40" s="11" t="str">
        <f>IFERROR(__xludf.DUMMYFUNCTION("""COMPUTED_VALUE"""),"Silas Tanner")</f>
        <v>Silas Tanner</v>
      </c>
      <c r="C40" t="str">
        <f>IFERROR(__xludf.DUMMYFUNCTION("""COMPUTED_VALUE"""),"silas.tanner@floridadep.gov")</f>
        <v>silas.tanner@floridadep.gov</v>
      </c>
      <c r="D40" t="str">
        <f>IFERROR(__xludf.DUMMYFUNCTION("""COMPUTED_VALUE"""),"Research")</f>
        <v>Research</v>
      </c>
      <c r="E40" t="str">
        <f>IFERROR(__xludf.DUMMYFUNCTION("""COMPUTED_VALUE"""),"Vilano County Ramp")</f>
        <v>Vilano County Ramp</v>
      </c>
      <c r="F40" s="13"/>
      <c r="G40" s="14">
        <f>IFERROR(__xludf.DUMMYFUNCTION("""COMPUTED_VALUE"""),43201.0)</f>
        <v>43201</v>
      </c>
      <c r="H40" t="str">
        <f>IFERROR(__xludf.DUMMYFUNCTION("""COMPUTED_VALUE"""),"ICW: SWMP sites")</f>
        <v>ICW: SWMP sites</v>
      </c>
      <c r="I40" s="15">
        <f>IFERROR(__xludf.DUMMYFUNCTION("""COMPUTED_VALUE"""),0.5625)</f>
        <v>0.5625</v>
      </c>
      <c r="J40" s="16">
        <f>IFERROR(__xludf.DUMMYFUNCTION("""COMPUTED_VALUE"""),43201.57291666667)</f>
        <v>43201.57292</v>
      </c>
      <c r="K40" t="str">
        <f>IFERROR(__xludf.DUMMYFUNCTION("""COMPUTED_VALUE"""),"23ft Skiff (Bertha) FL7972LJ DEP07613")</f>
        <v>23ft Skiff (Bertha) FL7972LJ DEP07613</v>
      </c>
      <c r="M40" t="str">
        <f>IFERROR(__xludf.DUMMYFUNCTION("""COMPUTED_VALUE"""),"Ford F250 2017 (Moby Dix) - DEP0021578")</f>
        <v>Ford F250 2017 (Moby Dix) - DEP0021578</v>
      </c>
      <c r="N40" t="str">
        <f>IFERROR(__xludf.DUMMYFUNCTION("""COMPUTED_VALUE"""),"Silas Tanner, Jimmy Tomazinis")</f>
        <v>Silas Tanner, Jimmy Tomazinis</v>
      </c>
      <c r="O40" t="str">
        <f>IFERROR(__xludf.DUMMYFUNCTION("""COMPUTED_VALUE"""),"Ben Mowbray, Jeff Finnan")</f>
        <v>Ben Mowbray, Jeff Finnan</v>
      </c>
      <c r="P40" t="str">
        <f>IFERROR(__xludf.DUMMYFUNCTION("""COMPUTED_VALUE"""),"Silas Tanner")</f>
        <v>Silas Tanner</v>
      </c>
      <c r="Q40" t="str">
        <f>IFERROR(__xludf.DUMMYFUNCTION("""COMPUTED_VALUE"""),"Good")</f>
        <v>Good</v>
      </c>
      <c r="R40" t="str">
        <f>IFERROR(__xludf.DUMMYFUNCTION("""COMPUTED_VALUE"""),"Good")</f>
        <v>Good</v>
      </c>
      <c r="S40" t="str">
        <f>IFERROR(__xludf.DUMMYFUNCTION("""COMPUTED_VALUE"""),"Good")</f>
        <v>Good</v>
      </c>
      <c r="T40" t="str">
        <f>IFERROR(__xludf.DUMMYFUNCTION("""COMPUTED_VALUE"""),"Good")</f>
        <v>Good</v>
      </c>
      <c r="U40" t="str">
        <f>IFERROR(__xludf.DUMMYFUNCTION("""COMPUTED_VALUE"""),"Good")</f>
        <v>Good</v>
      </c>
      <c r="V40" t="str">
        <f>IFERROR(__xludf.DUMMYFUNCTION("""COMPUTED_VALUE"""),"Good")</f>
        <v>Good</v>
      </c>
      <c r="W40" t="str">
        <f>IFERROR(__xludf.DUMMYFUNCTION("""COMPUTED_VALUE"""),"Good")</f>
        <v>Good</v>
      </c>
      <c r="X40" t="str">
        <f>IFERROR(__xludf.DUMMYFUNCTION("""COMPUTED_VALUE"""),"Good")</f>
        <v>Good</v>
      </c>
      <c r="Y40" t="str">
        <f>IFERROR(__xludf.DUMMYFUNCTION("""COMPUTED_VALUE"""),"Good")</f>
        <v>Good</v>
      </c>
      <c r="Z40" t="str">
        <f>IFERROR(__xludf.DUMMYFUNCTION("""COMPUTED_VALUE"""),"Good")</f>
        <v>Good</v>
      </c>
      <c r="AA40" t="str">
        <f>IFERROR(__xludf.DUMMYFUNCTION("""COMPUTED_VALUE"""),"Good")</f>
        <v>Good</v>
      </c>
      <c r="AB40" t="str">
        <f>IFERROR(__xludf.DUMMYFUNCTION("""COMPUTED_VALUE"""),"Good")</f>
        <v>Good</v>
      </c>
      <c r="AC40" t="str">
        <f>IFERROR(__xludf.DUMMYFUNCTION("""COMPUTED_VALUE"""),"Good")</f>
        <v>Good</v>
      </c>
      <c r="AD40" t="str">
        <f>IFERROR(__xludf.DUMMYFUNCTION("""COMPUTED_VALUE"""),"Good, clear")</f>
        <v>Good, clear</v>
      </c>
      <c r="AE40" s="11" t="str">
        <f>IFERROR(__xludf.DUMMYFUNCTION("""COMPUTED_VALUE"""),"Good, high outgoing")</f>
        <v>Good, high outgoing</v>
      </c>
      <c r="AF40" s="12" t="b">
        <v>0</v>
      </c>
      <c r="AG40" s="21" t="s">
        <v>56</v>
      </c>
      <c r="AH40" s="12"/>
      <c r="AI40" s="12" t="s">
        <v>8</v>
      </c>
      <c r="AJ40" s="12" t="s">
        <v>8</v>
      </c>
      <c r="AK40" s="12" t="s">
        <v>8</v>
      </c>
      <c r="AL40" s="12" t="s">
        <v>8</v>
      </c>
    </row>
    <row r="41">
      <c r="A41" s="10">
        <f>IFERROR(__xludf.DUMMYFUNCTION("""COMPUTED_VALUE"""),43200.445317233796)</f>
        <v>43200.44532</v>
      </c>
      <c r="B41" s="11" t="str">
        <f>IFERROR(__xludf.DUMMYFUNCTION("""COMPUTED_VALUE"""),"Silas Tanner")</f>
        <v>Silas Tanner</v>
      </c>
      <c r="C41" t="str">
        <f>IFERROR(__xludf.DUMMYFUNCTION("""COMPUTED_VALUE"""),"silas.tanner@floridadep.gov")</f>
        <v>silas.tanner@floridadep.gov</v>
      </c>
      <c r="D41" t="str">
        <f>IFERROR(__xludf.DUMMYFUNCTION("""COMPUTED_VALUE"""),"Research")</f>
        <v>Research</v>
      </c>
      <c r="E41" t="str">
        <f>IFERROR(__xludf.DUMMYFUNCTION("""COMPUTED_VALUE"""),"Vilano County Ramp")</f>
        <v>Vilano County Ramp</v>
      </c>
      <c r="F41" s="13"/>
      <c r="G41" s="14">
        <f>IFERROR(__xludf.DUMMYFUNCTION("""COMPUTED_VALUE"""),43202.0)</f>
        <v>43202</v>
      </c>
      <c r="H41" t="str">
        <f>IFERROR(__xludf.DUMMYFUNCTION("""COMPUTED_VALUE"""),"ICW: SWMP sites")</f>
        <v>ICW: SWMP sites</v>
      </c>
      <c r="I41" s="15">
        <f>IFERROR(__xludf.DUMMYFUNCTION("""COMPUTED_VALUE"""),0.5625)</f>
        <v>0.5625</v>
      </c>
      <c r="J41" s="16">
        <f>IFERROR(__xludf.DUMMYFUNCTION("""COMPUTED_VALUE"""),43202.57291666667)</f>
        <v>43202.57292</v>
      </c>
      <c r="K41" t="str">
        <f>IFERROR(__xludf.DUMMYFUNCTION("""COMPUTED_VALUE"""),"20ft Sea Ark FL5351SJ UNF 2015")</f>
        <v>20ft Sea Ark FL5351SJ UNF 2015</v>
      </c>
      <c r="M41" t="str">
        <f>IFERROR(__xludf.DUMMYFUNCTION("""COMPUTED_VALUE"""),"Ford F150 2008 - DEP18041 (ML)")</f>
        <v>Ford F150 2008 - DEP18041 (ML)</v>
      </c>
      <c r="N41" t="str">
        <f>IFERROR(__xludf.DUMMYFUNCTION("""COMPUTED_VALUE"""),"Shannon Dunnigan, Silas Tanner")</f>
        <v>Shannon Dunnigan, Silas Tanner</v>
      </c>
      <c r="P41" t="str">
        <f>IFERROR(__xludf.DUMMYFUNCTION("""COMPUTED_VALUE"""),"Tanner")</f>
        <v>Tanner</v>
      </c>
      <c r="Q41" t="str">
        <f>IFERROR(__xludf.DUMMYFUNCTION("""COMPUTED_VALUE"""),"Good")</f>
        <v>Good</v>
      </c>
      <c r="R41" t="str">
        <f>IFERROR(__xludf.DUMMYFUNCTION("""COMPUTED_VALUE"""),"Good")</f>
        <v>Good</v>
      </c>
      <c r="S41" t="str">
        <f>IFERROR(__xludf.DUMMYFUNCTION("""COMPUTED_VALUE"""),"Good")</f>
        <v>Good</v>
      </c>
      <c r="T41" t="str">
        <f>IFERROR(__xludf.DUMMYFUNCTION("""COMPUTED_VALUE"""),"Good")</f>
        <v>Good</v>
      </c>
      <c r="U41" t="str">
        <f>IFERROR(__xludf.DUMMYFUNCTION("""COMPUTED_VALUE"""),"Good")</f>
        <v>Good</v>
      </c>
      <c r="V41" t="str">
        <f>IFERROR(__xludf.DUMMYFUNCTION("""COMPUTED_VALUE"""),"Good")</f>
        <v>Good</v>
      </c>
      <c r="W41" t="str">
        <f>IFERROR(__xludf.DUMMYFUNCTION("""COMPUTED_VALUE"""),"Good")</f>
        <v>Good</v>
      </c>
      <c r="X41" t="str">
        <f>IFERROR(__xludf.DUMMYFUNCTION("""COMPUTED_VALUE"""),"Good")</f>
        <v>Good</v>
      </c>
      <c r="Y41" t="str">
        <f>IFERROR(__xludf.DUMMYFUNCTION("""COMPUTED_VALUE"""),"Good")</f>
        <v>Good</v>
      </c>
      <c r="Z41" t="str">
        <f>IFERROR(__xludf.DUMMYFUNCTION("""COMPUTED_VALUE"""),"Good")</f>
        <v>Good</v>
      </c>
      <c r="AA41" t="str">
        <f>IFERROR(__xludf.DUMMYFUNCTION("""COMPUTED_VALUE"""),"Good")</f>
        <v>Good</v>
      </c>
      <c r="AB41" t="str">
        <f>IFERROR(__xludf.DUMMYFUNCTION("""COMPUTED_VALUE"""),"Good")</f>
        <v>Good</v>
      </c>
      <c r="AC41" t="str">
        <f>IFERROR(__xludf.DUMMYFUNCTION("""COMPUTED_VALUE"""),"Good")</f>
        <v>Good</v>
      </c>
      <c r="AE41" s="11"/>
      <c r="AF41" s="12" t="b">
        <v>0</v>
      </c>
      <c r="AG41" s="17" t="s">
        <v>43</v>
      </c>
      <c r="AH41" s="12"/>
      <c r="AI41" s="12" t="s">
        <v>57</v>
      </c>
      <c r="AJ41" s="19" t="s">
        <v>58</v>
      </c>
      <c r="AK41" s="20" t="str">
        <f>HYPERLINK("https://drive.google.com/a/gtmnerr.org/file/d/1dZ2zFneiLNJ-LVQ0meYVs4oB71EuzBH6/view?usp=drivesdk","Silas Tanner - 4/12/2018")</f>
        <v>Silas Tanner - 4/12/2018</v>
      </c>
      <c r="AL41" s="12" t="s">
        <v>59</v>
      </c>
    </row>
    <row r="42">
      <c r="A42" s="10">
        <f>IFERROR(__xludf.DUMMYFUNCTION("""COMPUTED_VALUE"""),43201.392433506946)</f>
        <v>43201.39243</v>
      </c>
      <c r="B42" s="11" t="str">
        <f>IFERROR(__xludf.DUMMYFUNCTION("""COMPUTED_VALUE"""),"Silas Tanner")</f>
        <v>Silas Tanner</v>
      </c>
      <c r="C42" t="str">
        <f>IFERROR(__xludf.DUMMYFUNCTION("""COMPUTED_VALUE"""),"silas.tanner@floridadep.gov")</f>
        <v>silas.tanner@floridadep.gov</v>
      </c>
      <c r="D42" t="str">
        <f>IFERROR(__xludf.DUMMYFUNCTION("""COMPUTED_VALUE"""),"Research")</f>
        <v>Research</v>
      </c>
      <c r="E42" t="str">
        <f>IFERROR(__xludf.DUMMYFUNCTION("""COMPUTED_VALUE"""),"Bing's")</f>
        <v>Bing's</v>
      </c>
      <c r="F42" s="13"/>
      <c r="G42" s="14">
        <f>IFERROR(__xludf.DUMMYFUNCTION("""COMPUTED_VALUE"""),43203.0)</f>
        <v>43203</v>
      </c>
      <c r="H42" t="str">
        <f>IFERROR(__xludf.DUMMYFUNCTION("""COMPUTED_VALUE"""),"ICW between Rattlesnake Island and Bing's")</f>
        <v>ICW between Rattlesnake Island and Bing's</v>
      </c>
      <c r="I42" s="15">
        <f>IFERROR(__xludf.DUMMYFUNCTION("""COMPUTED_VALUE"""),0.5416666666678793)</f>
        <v>0.5416666667</v>
      </c>
      <c r="J42" s="16">
        <f>IFERROR(__xludf.DUMMYFUNCTION("""COMPUTED_VALUE"""),43203.58333333333)</f>
        <v>43203.58333</v>
      </c>
      <c r="K42" t="str">
        <f>IFERROR(__xludf.DUMMYFUNCTION("""COMPUTED_VALUE"""),"23ft Skiff (Bertha) FL7972LJ DEP07613")</f>
        <v>23ft Skiff (Bertha) FL7972LJ DEP07613</v>
      </c>
      <c r="M42" t="str">
        <f>IFERROR(__xludf.DUMMYFUNCTION("""COMPUTED_VALUE"""),"Ford F250 2017 (Moby Dix) - DEP0021578")</f>
        <v>Ford F250 2017 (Moby Dix) - DEP0021578</v>
      </c>
      <c r="N42" t="str">
        <f>IFERROR(__xludf.DUMMYFUNCTION("""COMPUTED_VALUE"""),"Silas Tanner")</f>
        <v>Silas Tanner</v>
      </c>
      <c r="O42" t="str">
        <f>IFERROR(__xludf.DUMMYFUNCTION("""COMPUTED_VALUE"""),"Matt Brown, Westly Woodward, Ally Hartnett")</f>
        <v>Matt Brown, Westly Woodward, Ally Hartnett</v>
      </c>
      <c r="P42" t="str">
        <f>IFERROR(__xludf.DUMMYFUNCTION("""COMPUTED_VALUE"""),"Silas Tanner")</f>
        <v>Silas Tanner</v>
      </c>
      <c r="Q42" t="str">
        <f>IFERROR(__xludf.DUMMYFUNCTION("""COMPUTED_VALUE"""),"Good")</f>
        <v>Good</v>
      </c>
      <c r="R42" t="str">
        <f>IFERROR(__xludf.DUMMYFUNCTION("""COMPUTED_VALUE"""),"Good")</f>
        <v>Good</v>
      </c>
      <c r="S42" t="str">
        <f>IFERROR(__xludf.DUMMYFUNCTION("""COMPUTED_VALUE"""),"Good")</f>
        <v>Good</v>
      </c>
      <c r="T42" t="str">
        <f>IFERROR(__xludf.DUMMYFUNCTION("""COMPUTED_VALUE"""),"Good")</f>
        <v>Good</v>
      </c>
      <c r="U42" t="str">
        <f>IFERROR(__xludf.DUMMYFUNCTION("""COMPUTED_VALUE"""),"Good")</f>
        <v>Good</v>
      </c>
      <c r="V42" t="str">
        <f>IFERROR(__xludf.DUMMYFUNCTION("""COMPUTED_VALUE"""),"Good")</f>
        <v>Good</v>
      </c>
      <c r="W42" t="str">
        <f>IFERROR(__xludf.DUMMYFUNCTION("""COMPUTED_VALUE"""),"Good")</f>
        <v>Good</v>
      </c>
      <c r="X42" t="str">
        <f>IFERROR(__xludf.DUMMYFUNCTION("""COMPUTED_VALUE"""),"Good")</f>
        <v>Good</v>
      </c>
      <c r="Y42" t="str">
        <f>IFERROR(__xludf.DUMMYFUNCTION("""COMPUTED_VALUE"""),"Good")</f>
        <v>Good</v>
      </c>
      <c r="Z42" t="str">
        <f>IFERROR(__xludf.DUMMYFUNCTION("""COMPUTED_VALUE"""),"Good")</f>
        <v>Good</v>
      </c>
      <c r="AA42" t="str">
        <f>IFERROR(__xludf.DUMMYFUNCTION("""COMPUTED_VALUE"""),"Good")</f>
        <v>Good</v>
      </c>
      <c r="AB42" t="str">
        <f>IFERROR(__xludf.DUMMYFUNCTION("""COMPUTED_VALUE"""),"Good")</f>
        <v>Good</v>
      </c>
      <c r="AC42" t="str">
        <f>IFERROR(__xludf.DUMMYFUNCTION("""COMPUTED_VALUE"""),"Good")</f>
        <v>Good</v>
      </c>
      <c r="AD42" t="str">
        <f>IFERROR(__xludf.DUMMYFUNCTION("""COMPUTED_VALUE"""),"Mostly sunny")</f>
        <v>Mostly sunny</v>
      </c>
      <c r="AE42" s="11" t="str">
        <f>IFERROR(__xludf.DUMMYFUNCTION("""COMPUTED_VALUE"""),"High outgoing")</f>
        <v>High outgoing</v>
      </c>
      <c r="AF42" s="12" t="b">
        <v>0</v>
      </c>
      <c r="AG42" s="17" t="s">
        <v>60</v>
      </c>
      <c r="AH42" s="12"/>
      <c r="AI42" s="12" t="s">
        <v>61</v>
      </c>
      <c r="AJ42" s="19" t="s">
        <v>62</v>
      </c>
      <c r="AK42" s="20" t="str">
        <f>HYPERLINK("https://drive.google.com/a/gtmnerr.org/file/d/1iSoKHDcZ4JzQNG4JwzRoVeKu0BXy7IBM/view?usp=drivesdk","Silas Tanner - 4/13/2018")</f>
        <v>Silas Tanner - 4/13/2018</v>
      </c>
      <c r="AL42" s="12" t="s">
        <v>63</v>
      </c>
    </row>
    <row r="43">
      <c r="A43" s="10">
        <f>IFERROR(__xludf.DUMMYFUNCTION("""COMPUTED_VALUE"""),43202.3330612963)</f>
        <v>43202.33306</v>
      </c>
      <c r="B43" s="11" t="str">
        <f>IFERROR(__xludf.DUMMYFUNCTION("""COMPUTED_VALUE"""),"Pamela Marcum")</f>
        <v>Pamela Marcum</v>
      </c>
      <c r="C43" t="str">
        <f>IFERROR(__xludf.DUMMYFUNCTION("""COMPUTED_VALUE"""),"Pamela.Marcum@floridadep.gov")</f>
        <v>Pamela.Marcum@floridadep.gov</v>
      </c>
      <c r="D43" t="str">
        <f>IFERROR(__xludf.DUMMYFUNCTION("""COMPUTED_VALUE"""),"Research")</f>
        <v>Research</v>
      </c>
      <c r="E43" t="str">
        <f>IFERROR(__xludf.DUMMYFUNCTION("""COMPUTED_VALUE"""),"Vilano ")</f>
        <v>Vilano </v>
      </c>
      <c r="F43" s="13"/>
      <c r="G43" s="14">
        <f>IFERROR(__xludf.DUMMYFUNCTION("""COMPUTED_VALUE"""),43202.0)</f>
        <v>43202</v>
      </c>
      <c r="H43" t="str">
        <f>IFERROR(__xludf.DUMMYFUNCTION("""COMPUTED_VALUE"""),"Matanzas River")</f>
        <v>Matanzas River</v>
      </c>
      <c r="I43" s="15">
        <f>IFERROR(__xludf.DUMMYFUNCTION("""COMPUTED_VALUE"""),0.5416666666678793)</f>
        <v>0.5416666667</v>
      </c>
      <c r="J43" s="16">
        <f>IFERROR(__xludf.DUMMYFUNCTION("""COMPUTED_VALUE"""),43202.5625)</f>
        <v>43202.5625</v>
      </c>
      <c r="K43" t="str">
        <f>IFERROR(__xludf.DUMMYFUNCTION("""COMPUTED_VALUE"""),"23ft Skiff (Bertha) FL7972LJ DEP07613")</f>
        <v>23ft Skiff (Bertha) FL7972LJ DEP07613</v>
      </c>
      <c r="M43" t="str">
        <f>IFERROR(__xludf.DUMMYFUNCTION("""COMPUTED_VALUE"""),"Ford F250 2017 (Moby Dix) - DEP0021578")</f>
        <v>Ford F250 2017 (Moby Dix) - DEP0021578</v>
      </c>
      <c r="N43" t="str">
        <f>IFERROR(__xludf.DUMMYFUNCTION("""COMPUTED_VALUE"""),"Pam Marcum, (480) 332-5414")</f>
        <v>Pam Marcum, (480) 332-5414</v>
      </c>
      <c r="O43" t="str">
        <f>IFERROR(__xludf.DUMMYFUNCTION("""COMPUTED_VALUE"""),"Admin Tour Members (see Nikki's email)")</f>
        <v>Admin Tour Members (see Nikki's email)</v>
      </c>
      <c r="P43" t="str">
        <f>IFERROR(__xludf.DUMMYFUNCTION("""COMPUTED_VALUE"""),"Pam")</f>
        <v>Pam</v>
      </c>
      <c r="Q43" t="str">
        <f>IFERROR(__xludf.DUMMYFUNCTION("""COMPUTED_VALUE"""),"Good")</f>
        <v>Good</v>
      </c>
      <c r="R43" t="str">
        <f>IFERROR(__xludf.DUMMYFUNCTION("""COMPUTED_VALUE"""),"Good")</f>
        <v>Good</v>
      </c>
      <c r="S43" t="str">
        <f>IFERROR(__xludf.DUMMYFUNCTION("""COMPUTED_VALUE"""),"Good")</f>
        <v>Good</v>
      </c>
      <c r="T43" t="str">
        <f>IFERROR(__xludf.DUMMYFUNCTION("""COMPUTED_VALUE"""),"Good")</f>
        <v>Good</v>
      </c>
      <c r="U43" t="str">
        <f>IFERROR(__xludf.DUMMYFUNCTION("""COMPUTED_VALUE"""),"Good")</f>
        <v>Good</v>
      </c>
      <c r="V43" t="str">
        <f>IFERROR(__xludf.DUMMYFUNCTION("""COMPUTED_VALUE"""),"Good")</f>
        <v>Good</v>
      </c>
      <c r="W43" t="str">
        <f>IFERROR(__xludf.DUMMYFUNCTION("""COMPUTED_VALUE"""),"Good")</f>
        <v>Good</v>
      </c>
      <c r="X43" t="str">
        <f>IFERROR(__xludf.DUMMYFUNCTION("""COMPUTED_VALUE"""),"Good")</f>
        <v>Good</v>
      </c>
      <c r="Y43" t="str">
        <f>IFERROR(__xludf.DUMMYFUNCTION("""COMPUTED_VALUE"""),"Good")</f>
        <v>Good</v>
      </c>
      <c r="Z43" t="str">
        <f>IFERROR(__xludf.DUMMYFUNCTION("""COMPUTED_VALUE"""),"Good")</f>
        <v>Good</v>
      </c>
      <c r="AA43" t="str">
        <f>IFERROR(__xludf.DUMMYFUNCTION("""COMPUTED_VALUE"""),"Good")</f>
        <v>Good</v>
      </c>
      <c r="AB43" t="str">
        <f>IFERROR(__xludf.DUMMYFUNCTION("""COMPUTED_VALUE"""),"Good")</f>
        <v>Good</v>
      </c>
      <c r="AC43" t="str">
        <f>IFERROR(__xludf.DUMMYFUNCTION("""COMPUTED_VALUE"""),"Good")</f>
        <v>Good</v>
      </c>
      <c r="AE43" s="11"/>
      <c r="AF43" s="12" t="b">
        <v>0</v>
      </c>
      <c r="AG43" s="17" t="s">
        <v>43</v>
      </c>
      <c r="AH43" s="12"/>
      <c r="AI43" s="12" t="s">
        <v>64</v>
      </c>
      <c r="AJ43" s="19" t="s">
        <v>65</v>
      </c>
      <c r="AK43" s="20" t="str">
        <f>HYPERLINK("https://drive.google.com/a/gtmnerr.org/file/d/1X-tbMcKrUC7VZG_2B5PruW_7lMpu_1vI/view?usp=drivesdk","Pamela Marcum - 4/12/2018")</f>
        <v>Pamela Marcum - 4/12/2018</v>
      </c>
      <c r="AL43" s="12" t="s">
        <v>66</v>
      </c>
    </row>
    <row r="44">
      <c r="A44" s="10">
        <f>IFERROR(__xludf.DUMMYFUNCTION("""COMPUTED_VALUE"""),43206.54286314815)</f>
        <v>43206.54286</v>
      </c>
      <c r="B44" s="11" t="str">
        <f>IFERROR(__xludf.DUMMYFUNCTION("""COMPUTED_VALUE"""),"Ben Mowbray")</f>
        <v>Ben Mowbray</v>
      </c>
      <c r="C44" t="str">
        <f>IFERROR(__xludf.DUMMYFUNCTION("""COMPUTED_VALUE"""),"Ben.Mowbray@dep.state.fl.us")</f>
        <v>Ben.Mowbray@dep.state.fl.us</v>
      </c>
      <c r="D44" t="str">
        <f>IFERROR(__xludf.DUMMYFUNCTION("""COMPUTED_VALUE"""),"Research")</f>
        <v>Research</v>
      </c>
      <c r="E44" t="str">
        <f>IFERROR(__xludf.DUMMYFUNCTION("""COMPUTED_VALUE"""),"Faver-Dykes")</f>
        <v>Faver-Dykes</v>
      </c>
      <c r="F44" s="13"/>
      <c r="G44" s="14">
        <f>IFERROR(__xludf.DUMMYFUNCTION("""COMPUTED_VALUE"""),43207.0)</f>
        <v>43207</v>
      </c>
      <c r="H44" t="str">
        <f>IFERROR(__xludf.DUMMYFUNCTION("""COMPUTED_VALUE"""),"Vegetation platforms")</f>
        <v>Vegetation platforms</v>
      </c>
      <c r="I44" s="15">
        <f>IFERROR(__xludf.DUMMYFUNCTION("""COMPUTED_VALUE"""),0.5208333333321207)</f>
        <v>0.5208333333</v>
      </c>
      <c r="J44" s="16">
        <f>IFERROR(__xludf.DUMMYFUNCTION("""COMPUTED_VALUE"""),43207.05208333333)</f>
        <v>43207.05208</v>
      </c>
      <c r="K44" t="str">
        <f>IFERROR(__xludf.DUMMYFUNCTION("""COMPUTED_VALUE"""),"20ft Sea Ark FL5351SJ UNF 2015")</f>
        <v>20ft Sea Ark FL5351SJ UNF 2015</v>
      </c>
      <c r="M44" t="str">
        <f>IFERROR(__xludf.DUMMYFUNCTION("""COMPUTED_VALUE"""),"Ford F250 2017 (Moby Dix) - DEP0021578")</f>
        <v>Ford F250 2017 (Moby Dix) - DEP0021578</v>
      </c>
      <c r="N44" t="str">
        <f>IFERROR(__xludf.DUMMYFUNCTION("""COMPUTED_VALUE"""),"Pam Marcum, (480) 332-5414, Silas Tanner")</f>
        <v>Pam Marcum, (480) 332-5414, Silas Tanner</v>
      </c>
      <c r="O44" t="str">
        <f>IFERROR(__xludf.DUMMYFUNCTION("""COMPUTED_VALUE"""),"Benjamin Mowbray, Jennifer Odzinski")</f>
        <v>Benjamin Mowbray, Jennifer Odzinski</v>
      </c>
      <c r="P44" t="str">
        <f>IFERROR(__xludf.DUMMYFUNCTION("""COMPUTED_VALUE"""),"Pam")</f>
        <v>Pam</v>
      </c>
      <c r="Q44" t="str">
        <f>IFERROR(__xludf.DUMMYFUNCTION("""COMPUTED_VALUE"""),"Good")</f>
        <v>Good</v>
      </c>
      <c r="R44" t="str">
        <f>IFERROR(__xludf.DUMMYFUNCTION("""COMPUTED_VALUE"""),"Good")</f>
        <v>Good</v>
      </c>
      <c r="S44" t="str">
        <f>IFERROR(__xludf.DUMMYFUNCTION("""COMPUTED_VALUE"""),"Good")</f>
        <v>Good</v>
      </c>
      <c r="T44" t="str">
        <f>IFERROR(__xludf.DUMMYFUNCTION("""COMPUTED_VALUE"""),"Good")</f>
        <v>Good</v>
      </c>
      <c r="U44" t="str">
        <f>IFERROR(__xludf.DUMMYFUNCTION("""COMPUTED_VALUE"""),"Good")</f>
        <v>Good</v>
      </c>
      <c r="V44" t="str">
        <f>IFERROR(__xludf.DUMMYFUNCTION("""COMPUTED_VALUE"""),"Good")</f>
        <v>Good</v>
      </c>
      <c r="W44" t="str">
        <f>IFERROR(__xludf.DUMMYFUNCTION("""COMPUTED_VALUE"""),"Good")</f>
        <v>Good</v>
      </c>
      <c r="X44" t="str">
        <f>IFERROR(__xludf.DUMMYFUNCTION("""COMPUTED_VALUE"""),"Good")</f>
        <v>Good</v>
      </c>
      <c r="Y44" t="str">
        <f>IFERROR(__xludf.DUMMYFUNCTION("""COMPUTED_VALUE"""),"Good")</f>
        <v>Good</v>
      </c>
      <c r="Z44" t="str">
        <f>IFERROR(__xludf.DUMMYFUNCTION("""COMPUTED_VALUE"""),"Good")</f>
        <v>Good</v>
      </c>
      <c r="AA44" t="str">
        <f>IFERROR(__xludf.DUMMYFUNCTION("""COMPUTED_VALUE"""),"Good")</f>
        <v>Good</v>
      </c>
      <c r="AB44" t="str">
        <f>IFERROR(__xludf.DUMMYFUNCTION("""COMPUTED_VALUE"""),"Good")</f>
        <v>Good</v>
      </c>
      <c r="AC44" t="str">
        <f>IFERROR(__xludf.DUMMYFUNCTION("""COMPUTED_VALUE"""),"Good")</f>
        <v>Good</v>
      </c>
      <c r="AE44" s="11"/>
      <c r="AF44" t="b">
        <v>0</v>
      </c>
      <c r="AG44" s="17" t="s">
        <v>60</v>
      </c>
      <c r="AH44" s="12"/>
      <c r="AI44" s="12" t="s">
        <v>67</v>
      </c>
      <c r="AJ44" s="19" t="s">
        <v>68</v>
      </c>
      <c r="AK44" s="20" t="str">
        <f>HYPERLINK("https://docs.google.com/document/d/1lvnFSpiVYr6imjfOlWlxPW2ouTpS9jO0pAxu4_Njk7M/edit?usp=drivesdk","Ben Mowbray - Tuesday, April 17, 2018 at 12:00:00 AM")</f>
        <v>Ben Mowbray - Tuesday, April 17, 2018 at 12:00:00 AM</v>
      </c>
      <c r="AL44" s="12" t="s">
        <v>69</v>
      </c>
    </row>
    <row r="45">
      <c r="A45" s="10">
        <f>IFERROR(__xludf.DUMMYFUNCTION("""COMPUTED_VALUE"""),43206.73571945602)</f>
        <v>43206.73572</v>
      </c>
      <c r="B45" s="22" t="str">
        <f>IFERROR(__xludf.DUMMYFUNCTION("""COMPUTED_VALUE"""),"Pamela Marcum")</f>
        <v>Pamela Marcum</v>
      </c>
      <c r="C45" t="str">
        <f>IFERROR(__xludf.DUMMYFUNCTION("""COMPUTED_VALUE"""),"Pamela.Marcum@dep.state.fl.us")</f>
        <v>Pamela.Marcum@dep.state.fl.us</v>
      </c>
      <c r="D45" t="str">
        <f>IFERROR(__xludf.DUMMYFUNCTION("""COMPUTED_VALUE"""),"Research")</f>
        <v>Research</v>
      </c>
      <c r="F45" s="13">
        <f>IFERROR(__xludf.DUMMYFUNCTION("""COMPUTED_VALUE"""),0.3333333333321207)</f>
        <v>0.3333333333</v>
      </c>
      <c r="G45" s="14">
        <f>IFERROR(__xludf.DUMMYFUNCTION("""COMPUTED_VALUE"""),43208.0)</f>
        <v>43208</v>
      </c>
      <c r="H45" t="str">
        <f>IFERROR(__xludf.DUMMYFUNCTION("""COMPUTED_VALUE"""),"Washington Oaks Marsh Site")</f>
        <v>Washington Oaks Marsh Site</v>
      </c>
      <c r="I45" s="15">
        <f>IFERROR(__xludf.DUMMYFUNCTION("""COMPUTED_VALUE"""),0.5416666666678793)</f>
        <v>0.5416666667</v>
      </c>
      <c r="J45" s="16">
        <f>IFERROR(__xludf.DUMMYFUNCTION("""COMPUTED_VALUE"""),43208.60416666667)</f>
        <v>43208.60417</v>
      </c>
      <c r="K45" t="str">
        <f>IFERROR(__xludf.DUMMYFUNCTION("""COMPUTED_VALUE"""),"20ft Sea Ark FL5351SJ UNF 2015")</f>
        <v>20ft Sea Ark FL5351SJ UNF 2015</v>
      </c>
      <c r="M45" t="str">
        <f>IFERROR(__xludf.DUMMYFUNCTION("""COMPUTED_VALUE"""),"Ford F250 2017 (Moby Dix) - DEP0021578")</f>
        <v>Ford F250 2017 (Moby Dix) - DEP0021578</v>
      </c>
      <c r="N45" t="str">
        <f>IFERROR(__xludf.DUMMYFUNCTION("""COMPUTED_VALUE"""),"Pam Marcum, (480) 332-5414, Silas Tanner, (904) 483-8423")</f>
        <v>Pam Marcum, (480) 332-5414, Silas Tanner, (904) 483-8423</v>
      </c>
      <c r="O45" t="str">
        <f>IFERROR(__xludf.DUMMYFUNCTION("""COMPUTED_VALUE"""),"Benjamin Mowbray, (407) 962-8782, Gabriela Canas, (904) 891-9743")</f>
        <v>Benjamin Mowbray, (407) 962-8782, Gabriela Canas, (904) 891-9743</v>
      </c>
      <c r="P45" t="str">
        <f>IFERROR(__xludf.DUMMYFUNCTION("""COMPUTED_VALUE"""),"Silas Tanner")</f>
        <v>Silas Tanner</v>
      </c>
      <c r="Q45" t="str">
        <f>IFERROR(__xludf.DUMMYFUNCTION("""COMPUTED_VALUE"""),"Good")</f>
        <v>Good</v>
      </c>
      <c r="R45" t="str">
        <f>IFERROR(__xludf.DUMMYFUNCTION("""COMPUTED_VALUE"""),"Good")</f>
        <v>Good</v>
      </c>
      <c r="S45" t="str">
        <f>IFERROR(__xludf.DUMMYFUNCTION("""COMPUTED_VALUE"""),"Good")</f>
        <v>Good</v>
      </c>
      <c r="T45" t="str">
        <f>IFERROR(__xludf.DUMMYFUNCTION("""COMPUTED_VALUE"""),"Good")</f>
        <v>Good</v>
      </c>
      <c r="U45" t="str">
        <f>IFERROR(__xludf.DUMMYFUNCTION("""COMPUTED_VALUE"""),"Good")</f>
        <v>Good</v>
      </c>
      <c r="V45" t="str">
        <f>IFERROR(__xludf.DUMMYFUNCTION("""COMPUTED_VALUE"""),"Good")</f>
        <v>Good</v>
      </c>
      <c r="W45" t="str">
        <f>IFERROR(__xludf.DUMMYFUNCTION("""COMPUTED_VALUE"""),"Good")</f>
        <v>Good</v>
      </c>
      <c r="X45" t="str">
        <f>IFERROR(__xludf.DUMMYFUNCTION("""COMPUTED_VALUE"""),"Good")</f>
        <v>Good</v>
      </c>
      <c r="Y45" t="str">
        <f>IFERROR(__xludf.DUMMYFUNCTION("""COMPUTED_VALUE"""),"Good")</f>
        <v>Good</v>
      </c>
      <c r="Z45" t="str">
        <f>IFERROR(__xludf.DUMMYFUNCTION("""COMPUTED_VALUE"""),"Good")</f>
        <v>Good</v>
      </c>
      <c r="AA45" t="str">
        <f>IFERROR(__xludf.DUMMYFUNCTION("""COMPUTED_VALUE"""),"Good")</f>
        <v>Good</v>
      </c>
      <c r="AB45" t="str">
        <f>IFERROR(__xludf.DUMMYFUNCTION("""COMPUTED_VALUE"""),"Good")</f>
        <v>Good</v>
      </c>
      <c r="AC45" t="str">
        <f>IFERROR(__xludf.DUMMYFUNCTION("""COMPUTED_VALUE"""),"Good")</f>
        <v>Good</v>
      </c>
      <c r="AE45" s="11"/>
      <c r="AF45" t="b">
        <v>0</v>
      </c>
      <c r="AG45" s="17" t="s">
        <v>60</v>
      </c>
      <c r="AH45" s="12"/>
      <c r="AI45" s="12" t="s">
        <v>70</v>
      </c>
      <c r="AJ45" s="19" t="s">
        <v>71</v>
      </c>
      <c r="AK45" s="20" t="str">
        <f>HYPERLINK("https://docs.google.com/document/d/1yuciw9UAQC0hXjE6C7ODRboAy7GXEhKwmAu3V1IstVw/edit?usp=drivesdk","Pamela Marcum - 4/18/2018 8:00 AM")</f>
        <v>Pamela Marcum - 4/18/2018 8:00 AM</v>
      </c>
      <c r="AL45" s="12" t="s">
        <v>72</v>
      </c>
    </row>
    <row r="46">
      <c r="A46" s="10">
        <f>IFERROR(__xludf.DUMMYFUNCTION("""COMPUTED_VALUE"""),43209.30134027778)</f>
        <v>43209.30134</v>
      </c>
      <c r="B46" s="11" t="str">
        <f>IFERROR(__xludf.DUMMYFUNCTION("""COMPUTED_VALUE"""),"Pamela Marcum")</f>
        <v>Pamela Marcum</v>
      </c>
      <c r="C46" t="str">
        <f>IFERROR(__xludf.DUMMYFUNCTION("""COMPUTED_VALUE"""),"Pamela.Marcum@Dep.state.fl.us")</f>
        <v>Pamela.Marcum@Dep.state.fl.us</v>
      </c>
      <c r="D46" t="str">
        <f>IFERROR(__xludf.DUMMYFUNCTION("""COMPUTED_VALUE"""),"Research")</f>
        <v>Research</v>
      </c>
      <c r="E46" t="str">
        <f>IFERROR(__xludf.DUMMYFUNCTION("""COMPUTED_VALUE"""),"Palm Valley 210 Bridge")</f>
        <v>Palm Valley 210 Bridge</v>
      </c>
      <c r="F46" s="13">
        <f>IFERROR(__xludf.DUMMYFUNCTION("""COMPUTED_VALUE"""),0.3229166666678793)</f>
        <v>0.3229166667</v>
      </c>
      <c r="G46" s="14">
        <f>IFERROR(__xludf.DUMMYFUNCTION("""COMPUTED_VALUE"""),43209.0)</f>
        <v>43209</v>
      </c>
      <c r="H46" t="str">
        <f>IFERROR(__xludf.DUMMYFUNCTION("""COMPUTED_VALUE"""),"Pine Island Marsh Site")</f>
        <v>Pine Island Marsh Site</v>
      </c>
      <c r="I46" s="15">
        <f>IFERROR(__xludf.DUMMYFUNCTION("""COMPUTED_VALUE"""),0.625)</f>
        <v>0.625</v>
      </c>
      <c r="J46" s="16">
        <f>IFERROR(__xludf.DUMMYFUNCTION("""COMPUTED_VALUE"""),43209.64583333333)</f>
        <v>43209.64583</v>
      </c>
      <c r="K46" t="str">
        <f>IFERROR(__xludf.DUMMYFUNCTION("""COMPUTED_VALUE"""),"20ft Sea Ark FL5351SJ UNF 2015")</f>
        <v>20ft Sea Ark FL5351SJ UNF 2015</v>
      </c>
      <c r="M46" t="str">
        <f>IFERROR(__xludf.DUMMYFUNCTION("""COMPUTED_VALUE"""),"Ford F250 2017 (Moby Dix) - DEP0021578")</f>
        <v>Ford F250 2017 (Moby Dix) - DEP0021578</v>
      </c>
      <c r="N46" t="str">
        <f>IFERROR(__xludf.DUMMYFUNCTION("""COMPUTED_VALUE"""),"Pam Marcum, (480) 332-5414, Silas Tanner, (904) 483-8423")</f>
        <v>Pam Marcum, (480) 332-5414, Silas Tanner, (904) 483-8423</v>
      </c>
      <c r="O46" t="str">
        <f>IFERROR(__xludf.DUMMYFUNCTION("""COMPUTED_VALUE"""),"Benjamin Mowbray, (407) 962-8782, Matt Sturchio")</f>
        <v>Benjamin Mowbray, (407) 962-8782, Matt Sturchio</v>
      </c>
      <c r="P46" t="str">
        <f>IFERROR(__xludf.DUMMYFUNCTION("""COMPUTED_VALUE"""),"Pam")</f>
        <v>Pam</v>
      </c>
      <c r="Q46" t="str">
        <f>IFERROR(__xludf.DUMMYFUNCTION("""COMPUTED_VALUE"""),"Good")</f>
        <v>Good</v>
      </c>
      <c r="R46" t="str">
        <f>IFERROR(__xludf.DUMMYFUNCTION("""COMPUTED_VALUE"""),"Good")</f>
        <v>Good</v>
      </c>
      <c r="S46" t="str">
        <f>IFERROR(__xludf.DUMMYFUNCTION("""COMPUTED_VALUE"""),"Good")</f>
        <v>Good</v>
      </c>
      <c r="T46" t="str">
        <f>IFERROR(__xludf.DUMMYFUNCTION("""COMPUTED_VALUE"""),"Good")</f>
        <v>Good</v>
      </c>
      <c r="U46" t="str">
        <f>IFERROR(__xludf.DUMMYFUNCTION("""COMPUTED_VALUE"""),"Good")</f>
        <v>Good</v>
      </c>
      <c r="V46" t="str">
        <f>IFERROR(__xludf.DUMMYFUNCTION("""COMPUTED_VALUE"""),"Good")</f>
        <v>Good</v>
      </c>
      <c r="W46" t="str">
        <f>IFERROR(__xludf.DUMMYFUNCTION("""COMPUTED_VALUE"""),"Good")</f>
        <v>Good</v>
      </c>
      <c r="X46" t="str">
        <f>IFERROR(__xludf.DUMMYFUNCTION("""COMPUTED_VALUE"""),"Good")</f>
        <v>Good</v>
      </c>
      <c r="Y46" t="str">
        <f>IFERROR(__xludf.DUMMYFUNCTION("""COMPUTED_VALUE"""),"Good")</f>
        <v>Good</v>
      </c>
      <c r="Z46" t="str">
        <f>IFERROR(__xludf.DUMMYFUNCTION("""COMPUTED_VALUE"""),"Good")</f>
        <v>Good</v>
      </c>
      <c r="AA46" t="str">
        <f>IFERROR(__xludf.DUMMYFUNCTION("""COMPUTED_VALUE"""),"Good")</f>
        <v>Good</v>
      </c>
      <c r="AB46" t="str">
        <f>IFERROR(__xludf.DUMMYFUNCTION("""COMPUTED_VALUE"""),"Good")</f>
        <v>Good</v>
      </c>
      <c r="AC46" t="str">
        <f>IFERROR(__xludf.DUMMYFUNCTION("""COMPUTED_VALUE"""),"Good")</f>
        <v>Good</v>
      </c>
      <c r="AE46" s="11"/>
      <c r="AF46" t="b">
        <v>0</v>
      </c>
      <c r="AG46" s="17" t="s">
        <v>43</v>
      </c>
      <c r="AH46" s="12"/>
      <c r="AI46" s="12" t="s">
        <v>73</v>
      </c>
      <c r="AJ46" s="19" t="s">
        <v>74</v>
      </c>
      <c r="AK46" s="20" t="str">
        <f>HYPERLINK("https://docs.google.com/document/d/1xUIhT2sRTDOWmpUEFwaZu47fXh5-6Kw9MpWVOIypX_Y/edit?usp=drivesdk","Pamela Marcum - 4/19/2018 7:45 AM")</f>
        <v>Pamela Marcum - 4/19/2018 7:45 AM</v>
      </c>
      <c r="AL46" s="12" t="s">
        <v>75</v>
      </c>
    </row>
    <row r="47">
      <c r="A47" s="10">
        <f>IFERROR(__xludf.DUMMYFUNCTION("""COMPUTED_VALUE"""),43210.345755034716)</f>
        <v>43210.34576</v>
      </c>
      <c r="B47" s="11" t="str">
        <f>IFERROR(__xludf.DUMMYFUNCTION("""COMPUTED_VALUE"""),"Silas Tanner")</f>
        <v>Silas Tanner</v>
      </c>
      <c r="C47" t="str">
        <f>IFERROR(__xludf.DUMMYFUNCTION("""COMPUTED_VALUE"""),"silas.tanner@dep.state.fl.us")</f>
        <v>silas.tanner@dep.state.fl.us</v>
      </c>
      <c r="D47" t="str">
        <f>IFERROR(__xludf.DUMMYFUNCTION("""COMPUTED_VALUE"""),"Research")</f>
        <v>Research</v>
      </c>
      <c r="E47" t="str">
        <f>IFERROR(__xludf.DUMMYFUNCTION("""COMPUTED_VALUE"""),"Douglas Crane Park &amp; Boat Ramp")</f>
        <v>Douglas Crane Park &amp; Boat Ramp</v>
      </c>
      <c r="F47" s="13">
        <f>IFERROR(__xludf.DUMMYFUNCTION("""COMPUTED_VALUE"""),0.375)</f>
        <v>0.375</v>
      </c>
      <c r="G47" s="14">
        <f>IFERROR(__xludf.DUMMYFUNCTION("""COMPUTED_VALUE"""),43210.0)</f>
        <v>43210</v>
      </c>
      <c r="H47" t="str">
        <f>IFERROR(__xludf.DUMMYFUNCTION("""COMPUTED_VALUE"""),"ICW south of 312 - Site 22 (Jason's Creek) ")</f>
        <v>ICW south of 312 - Site 22 (Jason's Creek) </v>
      </c>
      <c r="I47" s="15">
        <f>IFERROR(__xludf.DUMMYFUNCTION("""COMPUTED_VALUE"""),0.6458333333321207)</f>
        <v>0.6458333333</v>
      </c>
      <c r="J47" s="16">
        <f>IFERROR(__xludf.DUMMYFUNCTION("""COMPUTED_VALUE"""),43210.66666666667)</f>
        <v>43210.66667</v>
      </c>
      <c r="K47" t="str">
        <f>IFERROR(__xludf.DUMMYFUNCTION("""COMPUTED_VALUE"""),"20ft Sea Ark FL5351SJ UNF 2015")</f>
        <v>20ft Sea Ark FL5351SJ UNF 2015</v>
      </c>
      <c r="M47" t="str">
        <f>IFERROR(__xludf.DUMMYFUNCTION("""COMPUTED_VALUE"""),"Ford F250 2017 (Moby Dix) - DEP0021578")</f>
        <v>Ford F250 2017 (Moby Dix) - DEP0021578</v>
      </c>
      <c r="N47" t="str">
        <f>IFERROR(__xludf.DUMMYFUNCTION("""COMPUTED_VALUE"""),"Pam Marcum, (480) 332-5414, Silas Tanner, (904) 483-8423, Ben Mowbray, (407) 962-8782")</f>
        <v>Pam Marcum, (480) 332-5414, Silas Tanner, (904) 483-8423, Ben Mowbray, (407) 962-8782</v>
      </c>
      <c r="O47" t="str">
        <f>IFERROR(__xludf.DUMMYFUNCTION("""COMPUTED_VALUE"""),"Jeff Finnan")</f>
        <v>Jeff Finnan</v>
      </c>
      <c r="P47" t="str">
        <f>IFERROR(__xludf.DUMMYFUNCTION("""COMPUTED_VALUE"""),"Silas Tanner")</f>
        <v>Silas Tanner</v>
      </c>
      <c r="Q47" t="str">
        <f>IFERROR(__xludf.DUMMYFUNCTION("""COMPUTED_VALUE"""),"Good")</f>
        <v>Good</v>
      </c>
      <c r="R47" t="str">
        <f>IFERROR(__xludf.DUMMYFUNCTION("""COMPUTED_VALUE"""),"Good")</f>
        <v>Good</v>
      </c>
      <c r="S47" t="str">
        <f>IFERROR(__xludf.DUMMYFUNCTION("""COMPUTED_VALUE"""),"Good")</f>
        <v>Good</v>
      </c>
      <c r="T47" t="str">
        <f>IFERROR(__xludf.DUMMYFUNCTION("""COMPUTED_VALUE"""),"Good")</f>
        <v>Good</v>
      </c>
      <c r="U47" t="str">
        <f>IFERROR(__xludf.DUMMYFUNCTION("""COMPUTED_VALUE"""),"Good")</f>
        <v>Good</v>
      </c>
      <c r="V47" t="str">
        <f>IFERROR(__xludf.DUMMYFUNCTION("""COMPUTED_VALUE"""),"Good")</f>
        <v>Good</v>
      </c>
      <c r="W47" t="str">
        <f>IFERROR(__xludf.DUMMYFUNCTION("""COMPUTED_VALUE"""),"Good")</f>
        <v>Good</v>
      </c>
      <c r="X47" t="str">
        <f>IFERROR(__xludf.DUMMYFUNCTION("""COMPUTED_VALUE"""),"Good")</f>
        <v>Good</v>
      </c>
      <c r="Y47" t="str">
        <f>IFERROR(__xludf.DUMMYFUNCTION("""COMPUTED_VALUE"""),"Good")</f>
        <v>Good</v>
      </c>
      <c r="Z47" t="str">
        <f>IFERROR(__xludf.DUMMYFUNCTION("""COMPUTED_VALUE"""),"Good")</f>
        <v>Good</v>
      </c>
      <c r="AA47" t="str">
        <f>IFERROR(__xludf.DUMMYFUNCTION("""COMPUTED_VALUE"""),"Good")</f>
        <v>Good</v>
      </c>
      <c r="AB47" t="str">
        <f>IFERROR(__xludf.DUMMYFUNCTION("""COMPUTED_VALUE"""),"Good")</f>
        <v>Good</v>
      </c>
      <c r="AC47" t="str">
        <f>IFERROR(__xludf.DUMMYFUNCTION("""COMPUTED_VALUE"""),"Good")</f>
        <v>Good</v>
      </c>
      <c r="AE47" s="11"/>
      <c r="AF47" t="b">
        <v>0</v>
      </c>
      <c r="AG47" s="17" t="s">
        <v>18</v>
      </c>
      <c r="AH47" s="12"/>
      <c r="AI47" s="12" t="s">
        <v>76</v>
      </c>
      <c r="AJ47" s="19" t="s">
        <v>77</v>
      </c>
      <c r="AK47" s="20" t="str">
        <f>HYPERLINK("https://docs.google.com/document/d/1JEa1CEgHyehbkiQb0UeiGakohFPxlUdscuddwbzrIxE/edit?usp=drivesdk","Silas Tanner - 4/20/2018 9:00 AM")</f>
        <v>Silas Tanner - 4/20/2018 9:00 AM</v>
      </c>
      <c r="AL47" s="12" t="s">
        <v>78</v>
      </c>
    </row>
    <row r="48">
      <c r="A48" s="10">
        <f>IFERROR(__xludf.DUMMYFUNCTION("""COMPUTED_VALUE"""),43213.402466388885)</f>
        <v>43213.40247</v>
      </c>
      <c r="B48" s="11" t="str">
        <f>IFERROR(__xludf.DUMMYFUNCTION("""COMPUTED_VALUE"""),"Silas Tanner")</f>
        <v>Silas Tanner</v>
      </c>
      <c r="C48" t="str">
        <f>IFERROR(__xludf.DUMMYFUNCTION("""COMPUTED_VALUE"""),"silas.tanner@floridadep.gov")</f>
        <v>silas.tanner@floridadep.gov</v>
      </c>
      <c r="D48" t="str">
        <f>IFERROR(__xludf.DUMMYFUNCTION("""COMPUTED_VALUE"""),"Research")</f>
        <v>Research</v>
      </c>
      <c r="E48" t="str">
        <f>IFERROR(__xludf.DUMMYFUNCTION("""COMPUTED_VALUE"""),"Green Road Boat Ramp")</f>
        <v>Green Road Boat Ramp</v>
      </c>
      <c r="F48" s="13">
        <f>IFERROR(__xludf.DUMMYFUNCTION("""COMPUTED_VALUE"""),0.40625)</f>
        <v>0.40625</v>
      </c>
      <c r="G48" s="14">
        <f>IFERROR(__xludf.DUMMYFUNCTION("""COMPUTED_VALUE"""),43214.0)</f>
        <v>43214</v>
      </c>
      <c r="H48" t="str">
        <f>IFERROR(__xludf.DUMMYFUNCTION("""COMPUTED_VALUE"""),"Moses Creek")</f>
        <v>Moses Creek</v>
      </c>
      <c r="I48" s="15">
        <f>IFERROR(__xludf.DUMMYFUNCTION("""COMPUTED_VALUE"""),0.65625)</f>
        <v>0.65625</v>
      </c>
      <c r="J48" s="16">
        <f>IFERROR(__xludf.DUMMYFUNCTION("""COMPUTED_VALUE"""),43214.6875)</f>
        <v>43214.6875</v>
      </c>
      <c r="K48" t="str">
        <f>IFERROR(__xludf.DUMMYFUNCTION("""COMPUTED_VALUE"""),"20ft Sea Ark FL5351SJ UNF 2015")</f>
        <v>20ft Sea Ark FL5351SJ UNF 2015</v>
      </c>
      <c r="M48" t="str">
        <f>IFERROR(__xludf.DUMMYFUNCTION("""COMPUTED_VALUE"""),"Ford F250 2017 (Moby Dix) - DEP0021578")</f>
        <v>Ford F250 2017 (Moby Dix) - DEP0021578</v>
      </c>
      <c r="N48" t="str">
        <f>IFERROR(__xludf.DUMMYFUNCTION("""COMPUTED_VALUE"""),"Silas Tanner, (904) 483-8423")</f>
        <v>Silas Tanner, (904) 483-8423</v>
      </c>
      <c r="O48" t="str">
        <f>IFERROR(__xludf.DUMMYFUNCTION("""COMPUTED_VALUE"""),"Benjamin Mowbray, (407) 962-8782, Annie Otto")</f>
        <v>Benjamin Mowbray, (407) 962-8782, Annie Otto</v>
      </c>
      <c r="P48" t="str">
        <f>IFERROR(__xludf.DUMMYFUNCTION("""COMPUTED_VALUE"""),"Silas Tanner")</f>
        <v>Silas Tanner</v>
      </c>
      <c r="Q48" t="str">
        <f>IFERROR(__xludf.DUMMYFUNCTION("""COMPUTED_VALUE"""),"Good")</f>
        <v>Good</v>
      </c>
      <c r="R48" t="str">
        <f>IFERROR(__xludf.DUMMYFUNCTION("""COMPUTED_VALUE"""),"Good")</f>
        <v>Good</v>
      </c>
      <c r="S48" t="str">
        <f>IFERROR(__xludf.DUMMYFUNCTION("""COMPUTED_VALUE"""),"Good")</f>
        <v>Good</v>
      </c>
      <c r="T48" t="str">
        <f>IFERROR(__xludf.DUMMYFUNCTION("""COMPUTED_VALUE"""),"Good")</f>
        <v>Good</v>
      </c>
      <c r="U48" t="str">
        <f>IFERROR(__xludf.DUMMYFUNCTION("""COMPUTED_VALUE"""),"Good")</f>
        <v>Good</v>
      </c>
      <c r="V48" t="str">
        <f>IFERROR(__xludf.DUMMYFUNCTION("""COMPUTED_VALUE"""),"Good")</f>
        <v>Good</v>
      </c>
      <c r="W48" t="str">
        <f>IFERROR(__xludf.DUMMYFUNCTION("""COMPUTED_VALUE"""),"Good")</f>
        <v>Good</v>
      </c>
      <c r="X48" t="str">
        <f>IFERROR(__xludf.DUMMYFUNCTION("""COMPUTED_VALUE"""),"Good")</f>
        <v>Good</v>
      </c>
      <c r="Y48" t="str">
        <f>IFERROR(__xludf.DUMMYFUNCTION("""COMPUTED_VALUE"""),"Good")</f>
        <v>Good</v>
      </c>
      <c r="Z48" t="str">
        <f>IFERROR(__xludf.DUMMYFUNCTION("""COMPUTED_VALUE"""),"Good")</f>
        <v>Good</v>
      </c>
      <c r="AA48" t="str">
        <f>IFERROR(__xludf.DUMMYFUNCTION("""COMPUTED_VALUE"""),"Good")</f>
        <v>Good</v>
      </c>
      <c r="AB48" t="str">
        <f>IFERROR(__xludf.DUMMYFUNCTION("""COMPUTED_VALUE"""),"Good")</f>
        <v>Good</v>
      </c>
      <c r="AC48" t="str">
        <f>IFERROR(__xludf.DUMMYFUNCTION("""COMPUTED_VALUE"""),"Good")</f>
        <v>Good</v>
      </c>
      <c r="AE48" s="11"/>
      <c r="AF48" t="b">
        <v>0</v>
      </c>
      <c r="AG48" s="17" t="s">
        <v>18</v>
      </c>
      <c r="AH48" s="12"/>
      <c r="AI48" s="12" t="s">
        <v>79</v>
      </c>
      <c r="AJ48" s="19" t="s">
        <v>80</v>
      </c>
      <c r="AK48" s="20" t="str">
        <f>HYPERLINK("https://docs.google.com/document/d/1JFryXOw2InmmGmXxxzshvZNk4sdpEONK7hn7Y_AqJRE/edit?usp=drivesdk","Silas Tanner - 4/23/2018 9:45 AM")</f>
        <v>Silas Tanner - 4/23/2018 9:45 AM</v>
      </c>
      <c r="AL48" s="12" t="s">
        <v>81</v>
      </c>
    </row>
    <row r="49">
      <c r="A49" s="10">
        <f>IFERROR(__xludf.DUMMYFUNCTION("""COMPUTED_VALUE"""),43213.71415488426)</f>
        <v>43213.71415</v>
      </c>
      <c r="B49" s="11" t="str">
        <f>IFERROR(__xludf.DUMMYFUNCTION("""COMPUTED_VALUE"""),"James Tomazinis")</f>
        <v>James Tomazinis</v>
      </c>
      <c r="C49" t="str">
        <f>IFERROR(__xludf.DUMMYFUNCTION("""COMPUTED_VALUE"""),"james.tomazinis@dep.state.fl.us")</f>
        <v>james.tomazinis@dep.state.fl.us</v>
      </c>
      <c r="D49" t="str">
        <f>IFERROR(__xludf.DUMMYFUNCTION("""COMPUTED_VALUE"""),"Stewardship (Aquatic)")</f>
        <v>Stewardship (Aquatic)</v>
      </c>
      <c r="E49" t="str">
        <f>IFERROR(__xludf.DUMMYFUNCTION("""COMPUTED_VALUE"""),"Guana Dam")</f>
        <v>Guana Dam</v>
      </c>
      <c r="F49" s="13">
        <f>IFERROR(__xludf.DUMMYFUNCTION("""COMPUTED_VALUE"""),0.28125)</f>
        <v>0.28125</v>
      </c>
      <c r="G49" s="14">
        <f>IFERROR(__xludf.DUMMYFUNCTION("""COMPUTED_VALUE"""),43214.0)</f>
        <v>43214</v>
      </c>
      <c r="H49" t="str">
        <f>IFERROR(__xludf.DUMMYFUNCTION("""COMPUTED_VALUE"""),"Guana NUT sites")</f>
        <v>Guana NUT sites</v>
      </c>
      <c r="I49" s="15">
        <f>IFERROR(__xludf.DUMMYFUNCTION("""COMPUTED_VALUE"""),0.4583333333321207)</f>
        <v>0.4583333333</v>
      </c>
      <c r="J49" s="16"/>
      <c r="K49" t="str">
        <f>IFERROR(__xludf.DUMMYFUNCTION("""COMPUTED_VALUE"""),"Jon Boat FL0484NP DEP06819")</f>
        <v>Jon Boat FL0484NP DEP06819</v>
      </c>
      <c r="M49" t="str">
        <f>IFERROR(__xludf.DUMMYFUNCTION("""COMPUTED_VALUE"""),"Ford F150 2015 (White) - DEP21448")</f>
        <v>Ford F150 2015 (White) - DEP21448</v>
      </c>
      <c r="N49" t="str">
        <f>IFERROR(__xludf.DUMMYFUNCTION("""COMPUTED_VALUE"""),"Jimmy Tomazinis, (904) 547-0094")</f>
        <v>Jimmy Tomazinis, (904) 547-0094</v>
      </c>
      <c r="O49" t="str">
        <f>IFERROR(__xludf.DUMMYFUNCTION("""COMPUTED_VALUE"""),"Mike Dickson")</f>
        <v>Mike Dickson</v>
      </c>
      <c r="P49" t="str">
        <f>IFERROR(__xludf.DUMMYFUNCTION("""COMPUTED_VALUE"""),"Jimmy")</f>
        <v>Jimmy</v>
      </c>
      <c r="Q49" t="str">
        <f>IFERROR(__xludf.DUMMYFUNCTION("""COMPUTED_VALUE"""),"Good")</f>
        <v>Good</v>
      </c>
      <c r="R49" t="str">
        <f>IFERROR(__xludf.DUMMYFUNCTION("""COMPUTED_VALUE"""),"Good")</f>
        <v>Good</v>
      </c>
      <c r="S49" t="str">
        <f>IFERROR(__xludf.DUMMYFUNCTION("""COMPUTED_VALUE"""),"Good")</f>
        <v>Good</v>
      </c>
      <c r="T49" t="str">
        <f>IFERROR(__xludf.DUMMYFUNCTION("""COMPUTED_VALUE"""),"Good")</f>
        <v>Good</v>
      </c>
      <c r="U49" t="str">
        <f>IFERROR(__xludf.DUMMYFUNCTION("""COMPUTED_VALUE"""),"Good")</f>
        <v>Good</v>
      </c>
      <c r="V49" t="str">
        <f>IFERROR(__xludf.DUMMYFUNCTION("""COMPUTED_VALUE"""),"Good")</f>
        <v>Good</v>
      </c>
      <c r="W49" t="str">
        <f>IFERROR(__xludf.DUMMYFUNCTION("""COMPUTED_VALUE"""),"Good")</f>
        <v>Good</v>
      </c>
      <c r="X49" t="str">
        <f>IFERROR(__xludf.DUMMYFUNCTION("""COMPUTED_VALUE"""),"Good")</f>
        <v>Good</v>
      </c>
      <c r="Y49" t="str">
        <f>IFERROR(__xludf.DUMMYFUNCTION("""COMPUTED_VALUE"""),"Good")</f>
        <v>Good</v>
      </c>
      <c r="Z49" t="str">
        <f>IFERROR(__xludf.DUMMYFUNCTION("""COMPUTED_VALUE"""),"Good")</f>
        <v>Good</v>
      </c>
      <c r="AA49" t="str">
        <f>IFERROR(__xludf.DUMMYFUNCTION("""COMPUTED_VALUE"""),"Good")</f>
        <v>Good</v>
      </c>
      <c r="AB49" t="str">
        <f>IFERROR(__xludf.DUMMYFUNCTION("""COMPUTED_VALUE"""),"Good")</f>
        <v>Good</v>
      </c>
      <c r="AC49" t="str">
        <f>IFERROR(__xludf.DUMMYFUNCTION("""COMPUTED_VALUE"""),"Good")</f>
        <v>Good</v>
      </c>
      <c r="AE49" s="11"/>
      <c r="AF49" t="s">
        <v>32</v>
      </c>
      <c r="AG49" s="17" t="s">
        <v>18</v>
      </c>
      <c r="AH49" s="12"/>
      <c r="AI49" s="12" t="s">
        <v>82</v>
      </c>
      <c r="AJ49" s="19" t="s">
        <v>83</v>
      </c>
      <c r="AK49" s="20" t="str">
        <f>HYPERLINK("https://docs.google.com/document/d/1cZgdQ9Bkry7GfAi9UtVtg27Em-ne__SFXnsOQWLIXOg/edit?usp=drivesdk","James Tomazinis - 4/24/2018 6:45 AM")</f>
        <v>James Tomazinis - 4/24/2018 6:45 AM</v>
      </c>
      <c r="AL49" s="12" t="s">
        <v>84</v>
      </c>
    </row>
    <row r="50">
      <c r="A50" s="10">
        <f>IFERROR(__xludf.DUMMYFUNCTION("""COMPUTED_VALUE"""),43214.35881612269)</f>
        <v>43214.35882</v>
      </c>
      <c r="B50" s="11" t="str">
        <f>IFERROR(__xludf.DUMMYFUNCTION("""COMPUTED_VALUE"""),"Pamela Marcum")</f>
        <v>Pamela Marcum</v>
      </c>
      <c r="C50" t="str">
        <f>IFERROR(__xludf.DUMMYFUNCTION("""COMPUTED_VALUE"""),"Pamela.Marcum@dep.state.fl.us")</f>
        <v>Pamela.Marcum@dep.state.fl.us</v>
      </c>
      <c r="D50" t="str">
        <f>IFERROR(__xludf.DUMMYFUNCTION("""COMPUTED_VALUE"""),"Research")</f>
        <v>Research</v>
      </c>
      <c r="E50" t="str">
        <f>IFERROR(__xludf.DUMMYFUNCTION("""COMPUTED_VALUE"""),"Aunt Kate's")</f>
        <v>Aunt Kate's</v>
      </c>
      <c r="F50" s="13">
        <f>IFERROR(__xludf.DUMMYFUNCTION("""COMPUTED_VALUE"""),0.3645833333321207)</f>
        <v>0.3645833333</v>
      </c>
      <c r="G50" s="14">
        <f>IFERROR(__xludf.DUMMYFUNCTION("""COMPUTED_VALUE"""),43214.0)</f>
        <v>43214</v>
      </c>
      <c r="H50" t="str">
        <f>IFERROR(__xludf.DUMMYFUNCTION("""COMPUTED_VALUE"""),"Upper Tolomato River")</f>
        <v>Upper Tolomato River</v>
      </c>
      <c r="I50" s="15">
        <f>IFERROR(__xludf.DUMMYFUNCTION("""COMPUTED_VALUE"""),0.5833333333321207)</f>
        <v>0.5833333333</v>
      </c>
      <c r="J50" s="16">
        <f>IFERROR(__xludf.DUMMYFUNCTION("""COMPUTED_VALUE"""),43214.60416666667)</f>
        <v>43214.60417</v>
      </c>
      <c r="K50" t="str">
        <f>IFERROR(__xludf.DUMMYFUNCTION("""COMPUTED_VALUE"""),"23ft Skiff (Bertha) FL7972LJ DEP07613")</f>
        <v>23ft Skiff (Bertha) FL7972LJ DEP07613</v>
      </c>
      <c r="M50" t="str">
        <f>IFERROR(__xludf.DUMMYFUNCTION("""COMPUTED_VALUE"""),"Ford F150 2008 - DEP18041 (SWMP Thing)")</f>
        <v>Ford F150 2008 - DEP18041 (SWMP Thing)</v>
      </c>
      <c r="N50" t="str">
        <f>IFERROR(__xludf.DUMMYFUNCTION("""COMPUTED_VALUE"""),"Nikki Dix, (352) 219-4079, Pam Marcum, (480) 332-5414")</f>
        <v>Nikki Dix, (352) 219-4079, Pam Marcum, (480) 332-5414</v>
      </c>
      <c r="O50" t="str">
        <f>IFERROR(__xludf.DUMMYFUNCTION("""COMPUTED_VALUE"""),"Greg Kusel, Patrick Norby")</f>
        <v>Greg Kusel, Patrick Norby</v>
      </c>
      <c r="P50" t="str">
        <f>IFERROR(__xludf.DUMMYFUNCTION("""COMPUTED_VALUE"""),"Pam")</f>
        <v>Pam</v>
      </c>
      <c r="Q50" t="str">
        <f>IFERROR(__xludf.DUMMYFUNCTION("""COMPUTED_VALUE"""),"Good")</f>
        <v>Good</v>
      </c>
      <c r="R50" t="str">
        <f>IFERROR(__xludf.DUMMYFUNCTION("""COMPUTED_VALUE"""),"Good")</f>
        <v>Good</v>
      </c>
      <c r="S50" t="str">
        <f>IFERROR(__xludf.DUMMYFUNCTION("""COMPUTED_VALUE"""),"Good")</f>
        <v>Good</v>
      </c>
      <c r="T50" t="str">
        <f>IFERROR(__xludf.DUMMYFUNCTION("""COMPUTED_VALUE"""),"Good")</f>
        <v>Good</v>
      </c>
      <c r="U50" t="str">
        <f>IFERROR(__xludf.DUMMYFUNCTION("""COMPUTED_VALUE"""),"Good")</f>
        <v>Good</v>
      </c>
      <c r="V50" t="str">
        <f>IFERROR(__xludf.DUMMYFUNCTION("""COMPUTED_VALUE"""),"Good")</f>
        <v>Good</v>
      </c>
      <c r="W50" t="str">
        <f>IFERROR(__xludf.DUMMYFUNCTION("""COMPUTED_VALUE"""),"Good")</f>
        <v>Good</v>
      </c>
      <c r="X50" t="str">
        <f>IFERROR(__xludf.DUMMYFUNCTION("""COMPUTED_VALUE"""),"Good")</f>
        <v>Good</v>
      </c>
      <c r="Y50" t="str">
        <f>IFERROR(__xludf.DUMMYFUNCTION("""COMPUTED_VALUE"""),"Good")</f>
        <v>Good</v>
      </c>
      <c r="Z50" t="str">
        <f>IFERROR(__xludf.DUMMYFUNCTION("""COMPUTED_VALUE"""),"Good")</f>
        <v>Good</v>
      </c>
      <c r="AA50" t="str">
        <f>IFERROR(__xludf.DUMMYFUNCTION("""COMPUTED_VALUE"""),"Good")</f>
        <v>Good</v>
      </c>
      <c r="AB50" t="str">
        <f>IFERROR(__xludf.DUMMYFUNCTION("""COMPUTED_VALUE"""),"Good")</f>
        <v>Good</v>
      </c>
      <c r="AC50" t="str">
        <f>IFERROR(__xludf.DUMMYFUNCTION("""COMPUTED_VALUE"""),"Good")</f>
        <v>Good</v>
      </c>
      <c r="AE50" s="11"/>
      <c r="AF50" t="b">
        <v>0</v>
      </c>
      <c r="AG50" s="17" t="s">
        <v>18</v>
      </c>
      <c r="AH50" s="12"/>
      <c r="AI50" s="12" t="s">
        <v>85</v>
      </c>
      <c r="AJ50" s="19" t="s">
        <v>86</v>
      </c>
      <c r="AK50" s="20" t="str">
        <f>HYPERLINK("https://docs.google.com/document/d/141YwKW4KI8Q1dzT2ZpYz1hJTIpHl_K-P_b2fL-FVL80/edit?usp=drivesdk","Pamela Marcum - 4/24/2018 8:45 AM")</f>
        <v>Pamela Marcum - 4/24/2018 8:45 AM</v>
      </c>
      <c r="AL50" s="12" t="s">
        <v>87</v>
      </c>
    </row>
    <row r="51">
      <c r="A51" s="10">
        <f>IFERROR(__xludf.DUMMYFUNCTION("""COMPUTED_VALUE"""),43215.26377679399)</f>
        <v>43215.26378</v>
      </c>
      <c r="B51" s="11" t="str">
        <f>IFERROR(__xludf.DUMMYFUNCTION("""COMPUTED_VALUE"""),"Silas Tanner")</f>
        <v>Silas Tanner</v>
      </c>
      <c r="C51" t="str">
        <f>IFERROR(__xludf.DUMMYFUNCTION("""COMPUTED_VALUE"""),"Silas.tanner@floridadep.gov")</f>
        <v>Silas.tanner@floridadep.gov</v>
      </c>
      <c r="D51" t="str">
        <f>IFERROR(__xludf.DUMMYFUNCTION("""COMPUTED_VALUE"""),"Research")</f>
        <v>Research</v>
      </c>
      <c r="E51" t="str">
        <f>IFERROR(__xludf.DUMMYFUNCTION("""COMPUTED_VALUE"""),"Vilano County ramp")</f>
        <v>Vilano County ramp</v>
      </c>
      <c r="F51" s="13">
        <f>IFERROR(__xludf.DUMMYFUNCTION("""COMPUTED_VALUE"""),0.2916666666678793)</f>
        <v>0.2916666667</v>
      </c>
      <c r="G51" s="14">
        <f>IFERROR(__xludf.DUMMYFUNCTION("""COMPUTED_VALUE"""),43215.0)</f>
        <v>43215</v>
      </c>
      <c r="H51" t="str">
        <f>IFERROR(__xludf.DUMMYFUNCTION("""COMPUTED_VALUE"""),"ICW SWMP sites")</f>
        <v>ICW SWMP sites</v>
      </c>
      <c r="I51" s="15">
        <f>IFERROR(__xludf.DUMMYFUNCTION("""COMPUTED_VALUE"""),0.5625)</f>
        <v>0.5625</v>
      </c>
      <c r="J51" s="16">
        <f>IFERROR(__xludf.DUMMYFUNCTION("""COMPUTED_VALUE"""),43215.58333333333)</f>
        <v>43215.58333</v>
      </c>
      <c r="K51" t="str">
        <f>IFERROR(__xludf.DUMMYFUNCTION("""COMPUTED_VALUE"""),"23ft Skiff (Bertha) FL7972LJ DEP07613")</f>
        <v>23ft Skiff (Bertha) FL7972LJ DEP07613</v>
      </c>
      <c r="M51" t="str">
        <f>IFERROR(__xludf.DUMMYFUNCTION("""COMPUTED_VALUE"""),"Ford F150 2008 - DEP18041 (SWMP Thing)")</f>
        <v>Ford F150 2008 - DEP18041 (SWMP Thing)</v>
      </c>
      <c r="N51" t="str">
        <f>IFERROR(__xludf.DUMMYFUNCTION("""COMPUTED_VALUE"""),"Silas Tanner, (904) 483-8423, Jimmy Tomazinis, (904) 547-0094")</f>
        <v>Silas Tanner, (904) 483-8423, Jimmy Tomazinis, (904) 547-0094</v>
      </c>
      <c r="O51" t="str">
        <f>IFERROR(__xludf.DUMMYFUNCTION("""COMPUTED_VALUE"""),"Jeff Finnan")</f>
        <v>Jeff Finnan</v>
      </c>
      <c r="P51" t="str">
        <f>IFERROR(__xludf.DUMMYFUNCTION("""COMPUTED_VALUE"""),"Silas Tanner")</f>
        <v>Silas Tanner</v>
      </c>
      <c r="Q51" t="str">
        <f>IFERROR(__xludf.DUMMYFUNCTION("""COMPUTED_VALUE"""),"Good")</f>
        <v>Good</v>
      </c>
      <c r="R51" t="str">
        <f>IFERROR(__xludf.DUMMYFUNCTION("""COMPUTED_VALUE"""),"Good")</f>
        <v>Good</v>
      </c>
      <c r="S51" t="str">
        <f>IFERROR(__xludf.DUMMYFUNCTION("""COMPUTED_VALUE"""),"Good")</f>
        <v>Good</v>
      </c>
      <c r="T51" t="str">
        <f>IFERROR(__xludf.DUMMYFUNCTION("""COMPUTED_VALUE"""),"Good")</f>
        <v>Good</v>
      </c>
      <c r="U51" t="str">
        <f>IFERROR(__xludf.DUMMYFUNCTION("""COMPUTED_VALUE"""),"Good")</f>
        <v>Good</v>
      </c>
      <c r="V51" t="str">
        <f>IFERROR(__xludf.DUMMYFUNCTION("""COMPUTED_VALUE"""),"Good")</f>
        <v>Good</v>
      </c>
      <c r="W51" t="str">
        <f>IFERROR(__xludf.DUMMYFUNCTION("""COMPUTED_VALUE"""),"Good")</f>
        <v>Good</v>
      </c>
      <c r="X51" t="str">
        <f>IFERROR(__xludf.DUMMYFUNCTION("""COMPUTED_VALUE"""),"Good")</f>
        <v>Good</v>
      </c>
      <c r="Y51" t="str">
        <f>IFERROR(__xludf.DUMMYFUNCTION("""COMPUTED_VALUE"""),"Good")</f>
        <v>Good</v>
      </c>
      <c r="Z51" t="str">
        <f>IFERROR(__xludf.DUMMYFUNCTION("""COMPUTED_VALUE"""),"Good")</f>
        <v>Good</v>
      </c>
      <c r="AA51" t="str">
        <f>IFERROR(__xludf.DUMMYFUNCTION("""COMPUTED_VALUE"""),"Good")</f>
        <v>Good</v>
      </c>
      <c r="AB51" t="str">
        <f>IFERROR(__xludf.DUMMYFUNCTION("""COMPUTED_VALUE"""),"Good")</f>
        <v>Good</v>
      </c>
      <c r="AC51" t="str">
        <f>IFERROR(__xludf.DUMMYFUNCTION("""COMPUTED_VALUE"""),"Good")</f>
        <v>Good</v>
      </c>
      <c r="AE51" s="11"/>
      <c r="AF51" t="b">
        <v>0</v>
      </c>
      <c r="AG51" s="17" t="s">
        <v>18</v>
      </c>
      <c r="AH51" s="12"/>
      <c r="AI51" s="12" t="s">
        <v>88</v>
      </c>
      <c r="AJ51" s="19" t="s">
        <v>89</v>
      </c>
      <c r="AK51" s="20" t="str">
        <f>HYPERLINK("https://docs.google.com/document/d/11JZf3cCy2oWzUnb0sX9zgzWgWoI2_8xAwaHHjF2yHkM/edit?usp=drivesdk","Silas Tanner - 4/25/2018 7:00 AM")</f>
        <v>Silas Tanner - 4/25/2018 7:00 AM</v>
      </c>
      <c r="AL51" s="12" t="s">
        <v>90</v>
      </c>
    </row>
    <row r="52">
      <c r="A52" s="10">
        <f>IFERROR(__xludf.DUMMYFUNCTION("""COMPUTED_VALUE"""),43216.53391576389)</f>
        <v>43216.53392</v>
      </c>
      <c r="B52" s="11" t="str">
        <f>IFERROR(__xludf.DUMMYFUNCTION("""COMPUTED_VALUE"""),"Silas Tanner")</f>
        <v>Silas Tanner</v>
      </c>
      <c r="C52" t="str">
        <f>IFERROR(__xludf.DUMMYFUNCTION("""COMPUTED_VALUE"""),"silas.tanner@dep.state.fl.us")</f>
        <v>silas.tanner@dep.state.fl.us</v>
      </c>
      <c r="D52" t="str">
        <f>IFERROR(__xludf.DUMMYFUNCTION("""COMPUTED_VALUE"""),"Research")</f>
        <v>Research</v>
      </c>
      <c r="E52" t="str">
        <f>IFERROR(__xludf.DUMMYFUNCTION("""COMPUTED_VALUE"""),"Moses Creek floating dock")</f>
        <v>Moses Creek floating dock</v>
      </c>
      <c r="F52" s="13">
        <f>IFERROR(__xludf.DUMMYFUNCTION("""COMPUTED_VALUE"""),0.6041666666678793)</f>
        <v>0.6041666667</v>
      </c>
      <c r="G52" s="14">
        <f>IFERROR(__xludf.DUMMYFUNCTION("""COMPUTED_VALUE"""),43216.0)</f>
        <v>43216</v>
      </c>
      <c r="H52" t="str">
        <f>IFERROR(__xludf.DUMMYFUNCTION("""COMPUTED_VALUE"""),"Moses Creek vegetation platforms")</f>
        <v>Moses Creek vegetation platforms</v>
      </c>
      <c r="I52" s="15">
        <f>IFERROR(__xludf.DUMMYFUNCTION("""COMPUTED_VALUE"""),0.7291666666678793)</f>
        <v>0.7291666667</v>
      </c>
      <c r="J52" s="16">
        <f>IFERROR(__xludf.DUMMYFUNCTION("""COMPUTED_VALUE"""),43216.77083333333)</f>
        <v>43216.77083</v>
      </c>
      <c r="K52" t="str">
        <f>IFERROR(__xludf.DUMMYFUNCTION("""COMPUTED_VALUE"""),"Canoe(s)")</f>
        <v>Canoe(s)</v>
      </c>
      <c r="L52">
        <f>IFERROR(__xludf.DUMMYFUNCTION("""COMPUTED_VALUE"""),2.0)</f>
        <v>2</v>
      </c>
      <c r="M52" t="str">
        <f>IFERROR(__xludf.DUMMYFUNCTION("""COMPUTED_VALUE"""),"Ford F150 2008 - DEP18041 (SWMP Thing)")</f>
        <v>Ford F150 2008 - DEP18041 (SWMP Thing)</v>
      </c>
      <c r="N52" t="str">
        <f>IFERROR(__xludf.DUMMYFUNCTION("""COMPUTED_VALUE"""),"Pam Marcum, (480) 332-5414, Silas Tanner, (904) 483-8423, Ben Mowbray, (407) 962-8782")</f>
        <v>Pam Marcum, (480) 332-5414, Silas Tanner, (904) 483-8423, Ben Mowbray, (407) 962-8782</v>
      </c>
      <c r="P52" t="str">
        <f>IFERROR(__xludf.DUMMYFUNCTION("""COMPUTED_VALUE"""),"Pam Marcum")</f>
        <v>Pam Marcum</v>
      </c>
      <c r="Q52" t="str">
        <f>IFERROR(__xludf.DUMMYFUNCTION("""COMPUTED_VALUE"""),"Good")</f>
        <v>Good</v>
      </c>
      <c r="R52" t="str">
        <f>IFERROR(__xludf.DUMMYFUNCTION("""COMPUTED_VALUE"""),"Good")</f>
        <v>Good</v>
      </c>
      <c r="S52" t="str">
        <f>IFERROR(__xludf.DUMMYFUNCTION("""COMPUTED_VALUE"""),"Good")</f>
        <v>Good</v>
      </c>
      <c r="T52" t="str">
        <f>IFERROR(__xludf.DUMMYFUNCTION("""COMPUTED_VALUE"""),"Good")</f>
        <v>Good</v>
      </c>
      <c r="U52" t="str">
        <f>IFERROR(__xludf.DUMMYFUNCTION("""COMPUTED_VALUE"""),"Good")</f>
        <v>Good</v>
      </c>
      <c r="V52" t="str">
        <f>IFERROR(__xludf.DUMMYFUNCTION("""COMPUTED_VALUE"""),"Good")</f>
        <v>Good</v>
      </c>
      <c r="W52" t="str">
        <f>IFERROR(__xludf.DUMMYFUNCTION("""COMPUTED_VALUE"""),"Good")</f>
        <v>Good</v>
      </c>
      <c r="X52" t="str">
        <f>IFERROR(__xludf.DUMMYFUNCTION("""COMPUTED_VALUE"""),"Good")</f>
        <v>Good</v>
      </c>
      <c r="Y52" t="str">
        <f>IFERROR(__xludf.DUMMYFUNCTION("""COMPUTED_VALUE"""),"Good")</f>
        <v>Good</v>
      </c>
      <c r="Z52" t="str">
        <f>IFERROR(__xludf.DUMMYFUNCTION("""COMPUTED_VALUE"""),"Good")</f>
        <v>Good</v>
      </c>
      <c r="AA52" t="str">
        <f>IFERROR(__xludf.DUMMYFUNCTION("""COMPUTED_VALUE"""),"Good")</f>
        <v>Good</v>
      </c>
      <c r="AB52" t="str">
        <f>IFERROR(__xludf.DUMMYFUNCTION("""COMPUTED_VALUE"""),"Good")</f>
        <v>Good</v>
      </c>
      <c r="AC52" t="str">
        <f>IFERROR(__xludf.DUMMYFUNCTION("""COMPUTED_VALUE"""),"Good")</f>
        <v>Good</v>
      </c>
      <c r="AE52" s="11"/>
      <c r="AF52" t="b">
        <v>0</v>
      </c>
      <c r="AG52" s="17" t="s">
        <v>43</v>
      </c>
      <c r="AH52" s="12"/>
      <c r="AI52" s="12" t="s">
        <v>91</v>
      </c>
      <c r="AJ52" s="19" t="s">
        <v>92</v>
      </c>
      <c r="AK52" s="20" t="str">
        <f>HYPERLINK("https://docs.google.com/document/d/1eL5Q6SNkiPmg7jIbli2gKBq4HNhYtjpYK0Xasr2D1E4/edit?usp=drivesdk","Silas Tanner - 4/26/2018 2:30 PM")</f>
        <v>Silas Tanner - 4/26/2018 2:30 PM</v>
      </c>
      <c r="AL52" s="12" t="s">
        <v>93</v>
      </c>
    </row>
    <row r="53">
      <c r="A53" s="10">
        <f>IFERROR(__xludf.DUMMYFUNCTION("""COMPUTED_VALUE"""),43217.373252245365)</f>
        <v>43217.37325</v>
      </c>
      <c r="B53" s="11" t="str">
        <f>IFERROR(__xludf.DUMMYFUNCTION("""COMPUTED_VALUE"""),"Shannon Dunnigan")</f>
        <v>Shannon Dunnigan</v>
      </c>
      <c r="C53" t="str">
        <f>IFERROR(__xludf.DUMMYFUNCTION("""COMPUTED_VALUE"""),"Shannon.Dunnigan@dep.state.fl.us")</f>
        <v>Shannon.Dunnigan@dep.state.fl.us</v>
      </c>
      <c r="D53" t="str">
        <f>IFERROR(__xludf.DUMMYFUNCTION("""COMPUTED_VALUE"""),"Research")</f>
        <v>Research</v>
      </c>
      <c r="E53" t="str">
        <f>IFERROR(__xludf.DUMMYFUNCTION("""COMPUTED_VALUE"""),"Bings Landing")</f>
        <v>Bings Landing</v>
      </c>
      <c r="F53" s="13">
        <f>IFERROR(__xludf.DUMMYFUNCTION("""COMPUTED_VALUE"""),0.4270833333321207)</f>
        <v>0.4270833333</v>
      </c>
      <c r="G53" s="14">
        <f>IFERROR(__xludf.DUMMYFUNCTION("""COMPUTED_VALUE"""),43217.0)</f>
        <v>43217</v>
      </c>
      <c r="H53" t="str">
        <f>IFERROR(__xludf.DUMMYFUNCTION("""COMPUTED_VALUE"""),"Summerhaven")</f>
        <v>Summerhaven</v>
      </c>
      <c r="I53" s="15">
        <f>IFERROR(__xludf.DUMMYFUNCTION("""COMPUTED_VALUE"""),0.020833333332120674)</f>
        <v>0.02083333333</v>
      </c>
      <c r="J53" s="16">
        <f>IFERROR(__xludf.DUMMYFUNCTION("""COMPUTED_VALUE"""),43217.60416666667)</f>
        <v>43217.60417</v>
      </c>
      <c r="K53" t="str">
        <f>IFERROR(__xludf.DUMMYFUNCTION("""COMPUTED_VALUE"""),"20ft Sea Ark FL5351SJ UNF 2015")</f>
        <v>20ft Sea Ark FL5351SJ UNF 2015</v>
      </c>
      <c r="M53" t="str">
        <f>IFERROR(__xludf.DUMMYFUNCTION("""COMPUTED_VALUE"""),"Ford F150 2008 - DEP18041 (SWMP Thing)")</f>
        <v>Ford F150 2008 - DEP18041 (SWMP Thing)</v>
      </c>
      <c r="N53" t="str">
        <f>IFERROR(__xludf.DUMMYFUNCTION("""COMPUTED_VALUE"""),"Shannon Dunnigan, (803) 727-5734")</f>
        <v>Shannon Dunnigan, (803) 727-5734</v>
      </c>
      <c r="O53" t="str">
        <f>IFERROR(__xludf.DUMMYFUNCTION("""COMPUTED_VALUE"""),"Matt Brown, Westly Woodward, Ally Hartnett")</f>
        <v>Matt Brown, Westly Woodward, Ally Hartnett</v>
      </c>
      <c r="P53" t="str">
        <f>IFERROR(__xludf.DUMMYFUNCTION("""COMPUTED_VALUE"""),"Shannon")</f>
        <v>Shannon</v>
      </c>
      <c r="Q53" t="str">
        <f>IFERROR(__xludf.DUMMYFUNCTION("""COMPUTED_VALUE"""),"Good")</f>
        <v>Good</v>
      </c>
      <c r="R53" t="str">
        <f>IFERROR(__xludf.DUMMYFUNCTION("""COMPUTED_VALUE"""),"Good")</f>
        <v>Good</v>
      </c>
      <c r="S53" t="str">
        <f>IFERROR(__xludf.DUMMYFUNCTION("""COMPUTED_VALUE"""),"Good")</f>
        <v>Good</v>
      </c>
      <c r="T53" t="str">
        <f>IFERROR(__xludf.DUMMYFUNCTION("""COMPUTED_VALUE"""),"Good")</f>
        <v>Good</v>
      </c>
      <c r="U53" t="str">
        <f>IFERROR(__xludf.DUMMYFUNCTION("""COMPUTED_VALUE"""),"Good")</f>
        <v>Good</v>
      </c>
      <c r="V53" t="str">
        <f>IFERROR(__xludf.DUMMYFUNCTION("""COMPUTED_VALUE"""),"Good")</f>
        <v>Good</v>
      </c>
      <c r="W53" t="str">
        <f>IFERROR(__xludf.DUMMYFUNCTION("""COMPUTED_VALUE"""),"Good")</f>
        <v>Good</v>
      </c>
      <c r="X53" t="str">
        <f>IFERROR(__xludf.DUMMYFUNCTION("""COMPUTED_VALUE"""),"Good")</f>
        <v>Good</v>
      </c>
      <c r="Y53" t="str">
        <f>IFERROR(__xludf.DUMMYFUNCTION("""COMPUTED_VALUE"""),"Good")</f>
        <v>Good</v>
      </c>
      <c r="Z53" t="str">
        <f>IFERROR(__xludf.DUMMYFUNCTION("""COMPUTED_VALUE"""),"Good")</f>
        <v>Good</v>
      </c>
      <c r="AA53" t="str">
        <f>IFERROR(__xludf.DUMMYFUNCTION("""COMPUTED_VALUE"""),"Good")</f>
        <v>Good</v>
      </c>
      <c r="AB53" t="str">
        <f>IFERROR(__xludf.DUMMYFUNCTION("""COMPUTED_VALUE"""),"Good")</f>
        <v>Good</v>
      </c>
      <c r="AC53" t="str">
        <f>IFERROR(__xludf.DUMMYFUNCTION("""COMPUTED_VALUE"""),"Good")</f>
        <v>Good</v>
      </c>
      <c r="AE53" s="11"/>
      <c r="AF53" t="b">
        <v>0</v>
      </c>
      <c r="AG53" s="17" t="s">
        <v>18</v>
      </c>
      <c r="AH53" s="12"/>
      <c r="AI53" s="12" t="s">
        <v>94</v>
      </c>
      <c r="AJ53" s="19" t="s">
        <v>95</v>
      </c>
      <c r="AK53" s="20" t="str">
        <f>HYPERLINK("https://docs.google.com/document/d/1pqxIs0u3K7GhvcOKvyC8IjsZWvGnhWY4BbRyjvR0EHs/edit?usp=drivesdk","Shannon Dunnigan - 4/27/2018 10:15 AM")</f>
        <v>Shannon Dunnigan - 4/27/2018 10:15 AM</v>
      </c>
      <c r="AL53" s="12" t="s">
        <v>96</v>
      </c>
    </row>
    <row r="54">
      <c r="A54" s="10">
        <f>IFERROR(__xludf.DUMMYFUNCTION("""COMPUTED_VALUE"""),43217.47707425926)</f>
        <v>43217.47707</v>
      </c>
      <c r="B54" s="11" t="str">
        <f>IFERROR(__xludf.DUMMYFUNCTION("""COMPUTED_VALUE"""),"Pamela Marcum")</f>
        <v>Pamela Marcum</v>
      </c>
      <c r="C54" t="str">
        <f>IFERROR(__xludf.DUMMYFUNCTION("""COMPUTED_VALUE"""),"Pamela.Marcum@dep.state.fl.us")</f>
        <v>Pamela.Marcum@dep.state.fl.us</v>
      </c>
      <c r="D54" t="str">
        <f>IFERROR(__xludf.DUMMYFUNCTION("""COMPUTED_VALUE"""),"Research")</f>
        <v>Research</v>
      </c>
      <c r="E54" t="str">
        <f>IFERROR(__xludf.DUMMYFUNCTION("""COMPUTED_VALUE"""),"Usina Ramp/Aunt Kate's")</f>
        <v>Usina Ramp/Aunt Kate's</v>
      </c>
      <c r="F54" s="13">
        <f>IFERROR(__xludf.DUMMYFUNCTION("""COMPUTED_VALUE"""),0.4791666666678793)</f>
        <v>0.4791666667</v>
      </c>
      <c r="G54" s="14">
        <f>IFERROR(__xludf.DUMMYFUNCTION("""COMPUTED_VALUE"""),43217.0)</f>
        <v>43217</v>
      </c>
      <c r="H54" t="str">
        <f>IFERROR(__xludf.DUMMYFUNCTION("""COMPUTED_VALUE"""),"Tolomato River- Angelini Sites")</f>
        <v>Tolomato River- Angelini Sites</v>
      </c>
      <c r="I54" s="15">
        <f>IFERROR(__xludf.DUMMYFUNCTION("""COMPUTED_VALUE"""),0.75)</f>
        <v>0.75</v>
      </c>
      <c r="J54" s="16">
        <f>IFERROR(__xludf.DUMMYFUNCTION("""COMPUTED_VALUE"""),43217.77083333333)</f>
        <v>43217.77083</v>
      </c>
      <c r="K54" t="str">
        <f>IFERROR(__xludf.DUMMYFUNCTION("""COMPUTED_VALUE"""),"23ft Skiff (Bertha) FL7972LJ DEP07613")</f>
        <v>23ft Skiff (Bertha) FL7972LJ DEP07613</v>
      </c>
      <c r="M54" t="str">
        <f>IFERROR(__xludf.DUMMYFUNCTION("""COMPUTED_VALUE"""),"Ford F250 2017 (Moby Dix) - DEP0021578")</f>
        <v>Ford F250 2017 (Moby Dix) - DEP0021578</v>
      </c>
      <c r="N54" t="str">
        <f>IFERROR(__xludf.DUMMYFUNCTION("""COMPUTED_VALUE"""),"Pam Marcum, (480) 332-5414, Remo Mondazzi")</f>
        <v>Pam Marcum, (480) 332-5414, Remo Mondazzi</v>
      </c>
      <c r="O54" t="str">
        <f>IFERROR(__xludf.DUMMYFUNCTION("""COMPUTED_VALUE"""),"Benjamin Mowbray, (407) 962-8782, Christine Angelini, Patrick Norby, Greg Kusel, Annie Otto, Jessica Lee")</f>
        <v>Benjamin Mowbray, (407) 962-8782, Christine Angelini, Patrick Norby, Greg Kusel, Annie Otto, Jessica Lee</v>
      </c>
      <c r="P54" t="str">
        <f>IFERROR(__xludf.DUMMYFUNCTION("""COMPUTED_VALUE"""),"Pam Marcum")</f>
        <v>Pam Marcum</v>
      </c>
      <c r="Q54" t="str">
        <f>IFERROR(__xludf.DUMMYFUNCTION("""COMPUTED_VALUE"""),"Good")</f>
        <v>Good</v>
      </c>
      <c r="R54" t="str">
        <f>IFERROR(__xludf.DUMMYFUNCTION("""COMPUTED_VALUE"""),"Good")</f>
        <v>Good</v>
      </c>
      <c r="S54" t="str">
        <f>IFERROR(__xludf.DUMMYFUNCTION("""COMPUTED_VALUE"""),"Good")</f>
        <v>Good</v>
      </c>
      <c r="T54" t="str">
        <f>IFERROR(__xludf.DUMMYFUNCTION("""COMPUTED_VALUE"""),"Good")</f>
        <v>Good</v>
      </c>
      <c r="U54" t="str">
        <f>IFERROR(__xludf.DUMMYFUNCTION("""COMPUTED_VALUE"""),"Good")</f>
        <v>Good</v>
      </c>
      <c r="V54" t="str">
        <f>IFERROR(__xludf.DUMMYFUNCTION("""COMPUTED_VALUE"""),"Good")</f>
        <v>Good</v>
      </c>
      <c r="W54" t="str">
        <f>IFERROR(__xludf.DUMMYFUNCTION("""COMPUTED_VALUE"""),"Good")</f>
        <v>Good</v>
      </c>
      <c r="X54" t="str">
        <f>IFERROR(__xludf.DUMMYFUNCTION("""COMPUTED_VALUE"""),"Good")</f>
        <v>Good</v>
      </c>
      <c r="Y54" t="str">
        <f>IFERROR(__xludf.DUMMYFUNCTION("""COMPUTED_VALUE"""),"Good")</f>
        <v>Good</v>
      </c>
      <c r="Z54" t="str">
        <f>IFERROR(__xludf.DUMMYFUNCTION("""COMPUTED_VALUE"""),"Good")</f>
        <v>Good</v>
      </c>
      <c r="AA54" t="str">
        <f>IFERROR(__xludf.DUMMYFUNCTION("""COMPUTED_VALUE"""),"Good")</f>
        <v>Good</v>
      </c>
      <c r="AB54" t="str">
        <f>IFERROR(__xludf.DUMMYFUNCTION("""COMPUTED_VALUE"""),"Good")</f>
        <v>Good</v>
      </c>
      <c r="AC54" t="str">
        <f>IFERROR(__xludf.DUMMYFUNCTION("""COMPUTED_VALUE"""),"Good")</f>
        <v>Good</v>
      </c>
      <c r="AE54" s="11"/>
      <c r="AF54" t="b">
        <v>0</v>
      </c>
      <c r="AG54" s="17" t="s">
        <v>43</v>
      </c>
      <c r="AH54" s="12"/>
      <c r="AI54" s="12" t="s">
        <v>97</v>
      </c>
      <c r="AJ54" s="19" t="s">
        <v>98</v>
      </c>
      <c r="AK54" s="20" t="str">
        <f>HYPERLINK("https://docs.google.com/document/d/1o_kh_Z-U6_tGhTgiT0C3Z1YHstpG_03KK-kY2lq7ebs/edit?usp=drivesdk","Pamela Marcum - 4/27/2018 11:30 AM")</f>
        <v>Pamela Marcum - 4/27/2018 11:30 AM</v>
      </c>
      <c r="AL54" s="12" t="s">
        <v>99</v>
      </c>
    </row>
    <row r="55">
      <c r="A55" s="10">
        <f>IFERROR(__xludf.DUMMYFUNCTION("""COMPUTED_VALUE"""),43220.41496458333)</f>
        <v>43220.41496</v>
      </c>
      <c r="B55" s="11" t="str">
        <f>IFERROR(__xludf.DUMMYFUNCTION("""COMPUTED_VALUE"""),"Silas Tanner")</f>
        <v>Silas Tanner</v>
      </c>
      <c r="C55" t="str">
        <f>IFERROR(__xludf.DUMMYFUNCTION("""COMPUTED_VALUE"""),"silas.tanner@floridadep.gov")</f>
        <v>silas.tanner@floridadep.gov</v>
      </c>
      <c r="D55" t="str">
        <f>IFERROR(__xludf.DUMMYFUNCTION("""COMPUTED_VALUE"""),"Research")</f>
        <v>Research</v>
      </c>
      <c r="E55" t="str">
        <f>IFERROR(__xludf.DUMMYFUNCTION("""COMPUTED_VALUE"""),"Vilano County Ramp")</f>
        <v>Vilano County Ramp</v>
      </c>
      <c r="F55" s="13">
        <f>IFERROR(__xludf.DUMMYFUNCTION("""COMPUTED_VALUE"""),0.3854166666678793)</f>
        <v>0.3854166667</v>
      </c>
      <c r="G55" s="14">
        <f>IFERROR(__xludf.DUMMYFUNCTION("""COMPUTED_VALUE"""),43221.0)</f>
        <v>43221</v>
      </c>
      <c r="H55" t="str">
        <f>IFERROR(__xludf.DUMMYFUNCTION("""COMPUTED_VALUE"""),"ICW - SWMP sites FM, SS &amp; PI")</f>
        <v>ICW - SWMP sites FM, SS &amp; PI</v>
      </c>
      <c r="I55" s="15">
        <f>IFERROR(__xludf.DUMMYFUNCTION("""COMPUTED_VALUE"""),0.5625)</f>
        <v>0.5625</v>
      </c>
      <c r="J55" s="16">
        <f>IFERROR(__xludf.DUMMYFUNCTION("""COMPUTED_VALUE"""),43221.57291666667)</f>
        <v>43221.57292</v>
      </c>
      <c r="K55" t="str">
        <f>IFERROR(__xludf.DUMMYFUNCTION("""COMPUTED_VALUE"""),"20ft Sea Ark FL5351SJ UNF 2015")</f>
        <v>20ft Sea Ark FL5351SJ UNF 2015</v>
      </c>
      <c r="M55" t="str">
        <f>IFERROR(__xludf.DUMMYFUNCTION("""COMPUTED_VALUE"""),"Ford F250 2017 (Moby Dix) - DEP0021578")</f>
        <v>Ford F250 2017 (Moby Dix) - DEP0021578</v>
      </c>
      <c r="N55" t="str">
        <f>IFERROR(__xludf.DUMMYFUNCTION("""COMPUTED_VALUE"""),"Silas Tanner, (904) 483-8423, Remo Mondazi")</f>
        <v>Silas Tanner, (904) 483-8423, Remo Mondazi</v>
      </c>
      <c r="P55" t="str">
        <f>IFERROR(__xludf.DUMMYFUNCTION("""COMPUTED_VALUE"""),"Silas Tanner")</f>
        <v>Silas Tanner</v>
      </c>
      <c r="Q55" t="str">
        <f>IFERROR(__xludf.DUMMYFUNCTION("""COMPUTED_VALUE"""),"Good")</f>
        <v>Good</v>
      </c>
      <c r="R55" t="str">
        <f>IFERROR(__xludf.DUMMYFUNCTION("""COMPUTED_VALUE"""),"Good")</f>
        <v>Good</v>
      </c>
      <c r="S55" t="str">
        <f>IFERROR(__xludf.DUMMYFUNCTION("""COMPUTED_VALUE"""),"Good")</f>
        <v>Good</v>
      </c>
      <c r="T55" t="str">
        <f>IFERROR(__xludf.DUMMYFUNCTION("""COMPUTED_VALUE"""),"Good")</f>
        <v>Good</v>
      </c>
      <c r="U55" t="str">
        <f>IFERROR(__xludf.DUMMYFUNCTION("""COMPUTED_VALUE"""),"Good")</f>
        <v>Good</v>
      </c>
      <c r="V55" t="str">
        <f>IFERROR(__xludf.DUMMYFUNCTION("""COMPUTED_VALUE"""),"Good")</f>
        <v>Good</v>
      </c>
      <c r="W55" t="str">
        <f>IFERROR(__xludf.DUMMYFUNCTION("""COMPUTED_VALUE"""),"Good")</f>
        <v>Good</v>
      </c>
      <c r="X55" t="str">
        <f>IFERROR(__xludf.DUMMYFUNCTION("""COMPUTED_VALUE"""),"Good")</f>
        <v>Good</v>
      </c>
      <c r="Y55" t="str">
        <f>IFERROR(__xludf.DUMMYFUNCTION("""COMPUTED_VALUE"""),"Good")</f>
        <v>Good</v>
      </c>
      <c r="Z55" t="str">
        <f>IFERROR(__xludf.DUMMYFUNCTION("""COMPUTED_VALUE"""),"Good")</f>
        <v>Good</v>
      </c>
      <c r="AA55" t="str">
        <f>IFERROR(__xludf.DUMMYFUNCTION("""COMPUTED_VALUE"""),"Good")</f>
        <v>Good</v>
      </c>
      <c r="AB55" t="str">
        <f>IFERROR(__xludf.DUMMYFUNCTION("""COMPUTED_VALUE"""),"Good")</f>
        <v>Good</v>
      </c>
      <c r="AC55" t="str">
        <f>IFERROR(__xludf.DUMMYFUNCTION("""COMPUTED_VALUE"""),"Good")</f>
        <v>Good</v>
      </c>
      <c r="AE55" s="11"/>
      <c r="AF55" t="b">
        <v>0</v>
      </c>
      <c r="AG55" s="17" t="s">
        <v>18</v>
      </c>
      <c r="AH55" s="12"/>
      <c r="AI55" s="12" t="s">
        <v>100</v>
      </c>
      <c r="AJ55" s="19" t="s">
        <v>101</v>
      </c>
      <c r="AK55" s="20" t="str">
        <f>HYPERLINK("https://docs.google.com/document/d/15XlgdKXD7KIdSk2IIAY4JghUF2KIMnTCytAv-cTrJKA/edit?usp=drivesdk","Silas Tanner - 5/1/2018 9:15 AM")</f>
        <v>Silas Tanner - 5/1/2018 9:15 AM</v>
      </c>
      <c r="AL55" s="12" t="s">
        <v>102</v>
      </c>
    </row>
    <row r="56">
      <c r="A56" s="10">
        <f>IFERROR(__xludf.DUMMYFUNCTION("""COMPUTED_VALUE"""),43221.41032998842)</f>
        <v>43221.41033</v>
      </c>
      <c r="B56" s="11" t="str">
        <f>IFERROR(__xludf.DUMMYFUNCTION("""COMPUTED_VALUE"""),"Ben Mowbray")</f>
        <v>Ben Mowbray</v>
      </c>
      <c r="C56" t="str">
        <f>IFERROR(__xludf.DUMMYFUNCTION("""COMPUTED_VALUE"""),"ben.mowbray@dep.state.fl.us")</f>
        <v>ben.mowbray@dep.state.fl.us</v>
      </c>
      <c r="D56" t="str">
        <f>IFERROR(__xludf.DUMMYFUNCTION("""COMPUTED_VALUE"""),"Research")</f>
        <v>Research</v>
      </c>
      <c r="E56" t="str">
        <f>IFERROR(__xludf.DUMMYFUNCTION("""COMPUTED_VALUE"""),"Vilano")</f>
        <v>Vilano</v>
      </c>
      <c r="F56" s="13">
        <f>IFERROR(__xludf.DUMMYFUNCTION("""COMPUTED_VALUE"""),0.4305555555547471)</f>
        <v>0.4305555556</v>
      </c>
      <c r="G56" s="14">
        <f>IFERROR(__xludf.DUMMYFUNCTION("""COMPUTED_VALUE"""),43221.0)</f>
        <v>43221</v>
      </c>
      <c r="H56" t="str">
        <f>IFERROR(__xludf.DUMMYFUNCTION("""COMPUTED_VALUE"""),"Check Off")</f>
        <v>Check Off</v>
      </c>
      <c r="I56" s="15">
        <f>IFERROR(__xludf.DUMMYFUNCTION("""COMPUTED_VALUE"""),0.5)</f>
        <v>0.5</v>
      </c>
      <c r="J56" s="16">
        <f>IFERROR(__xludf.DUMMYFUNCTION("""COMPUTED_VALUE"""),43221.21736111111)</f>
        <v>43221.21736</v>
      </c>
      <c r="K56" t="str">
        <f>IFERROR(__xludf.DUMMYFUNCTION("""COMPUTED_VALUE"""),"23ft Skiff (Bertha) FL7972LJ DEP07613")</f>
        <v>23ft Skiff (Bertha) FL7972LJ DEP07613</v>
      </c>
      <c r="M56" t="str">
        <f>IFERROR(__xludf.DUMMYFUNCTION("""COMPUTED_VALUE"""),"Ford 150 2007 with covered cap - DEP06870")</f>
        <v>Ford 150 2007 with covered cap - DEP06870</v>
      </c>
      <c r="N56" t="str">
        <f>IFERROR(__xludf.DUMMYFUNCTION("""COMPUTED_VALUE"""),"Joseph Burgess, (904) 599-2723, Ben Mowbray, (407) 962-8782")</f>
        <v>Joseph Burgess, (904) 599-2723, Ben Mowbray, (407) 962-8782</v>
      </c>
      <c r="O56" t="str">
        <f>IFERROR(__xludf.DUMMYFUNCTION("""COMPUTED_VALUE"""),"Benjamin Mowbray, (407) 962-8782, Joseph Burgess, (904) 599-2723")</f>
        <v>Benjamin Mowbray, (407) 962-8782, Joseph Burgess, (904) 599-2723</v>
      </c>
      <c r="P56" t="str">
        <f>IFERROR(__xludf.DUMMYFUNCTION("""COMPUTED_VALUE"""),"Ben Mowbray")</f>
        <v>Ben Mowbray</v>
      </c>
      <c r="Q56" t="str">
        <f>IFERROR(__xludf.DUMMYFUNCTION("""COMPUTED_VALUE"""),"Good")</f>
        <v>Good</v>
      </c>
      <c r="R56" t="str">
        <f>IFERROR(__xludf.DUMMYFUNCTION("""COMPUTED_VALUE"""),"Good")</f>
        <v>Good</v>
      </c>
      <c r="S56" t="str">
        <f>IFERROR(__xludf.DUMMYFUNCTION("""COMPUTED_VALUE"""),"Good")</f>
        <v>Good</v>
      </c>
      <c r="T56" t="str">
        <f>IFERROR(__xludf.DUMMYFUNCTION("""COMPUTED_VALUE"""),"Good")</f>
        <v>Good</v>
      </c>
      <c r="U56" t="str">
        <f>IFERROR(__xludf.DUMMYFUNCTION("""COMPUTED_VALUE"""),"Good")</f>
        <v>Good</v>
      </c>
      <c r="V56" t="str">
        <f>IFERROR(__xludf.DUMMYFUNCTION("""COMPUTED_VALUE"""),"Good")</f>
        <v>Good</v>
      </c>
      <c r="W56" t="str">
        <f>IFERROR(__xludf.DUMMYFUNCTION("""COMPUTED_VALUE"""),"Good")</f>
        <v>Good</v>
      </c>
      <c r="X56" t="str">
        <f>IFERROR(__xludf.DUMMYFUNCTION("""COMPUTED_VALUE"""),"Good")</f>
        <v>Good</v>
      </c>
      <c r="Y56" t="str">
        <f>IFERROR(__xludf.DUMMYFUNCTION("""COMPUTED_VALUE"""),"Good")</f>
        <v>Good</v>
      </c>
      <c r="Z56" t="str">
        <f>IFERROR(__xludf.DUMMYFUNCTION("""COMPUTED_VALUE"""),"Good")</f>
        <v>Good</v>
      </c>
      <c r="AA56" t="str">
        <f>IFERROR(__xludf.DUMMYFUNCTION("""COMPUTED_VALUE"""),"Good")</f>
        <v>Good</v>
      </c>
      <c r="AB56" t="str">
        <f>IFERROR(__xludf.DUMMYFUNCTION("""COMPUTED_VALUE"""),"Good")</f>
        <v>Good</v>
      </c>
      <c r="AC56" t="str">
        <f>IFERROR(__xludf.DUMMYFUNCTION("""COMPUTED_VALUE"""),"Good")</f>
        <v>Good</v>
      </c>
      <c r="AE56" s="11"/>
      <c r="AF56" t="b">
        <v>0</v>
      </c>
      <c r="AG56" s="17" t="s">
        <v>18</v>
      </c>
      <c r="AH56" s="12"/>
      <c r="AI56" s="12" t="s">
        <v>103</v>
      </c>
      <c r="AJ56" s="19" t="s">
        <v>104</v>
      </c>
      <c r="AK56" s="20" t="str">
        <f>HYPERLINK("https://docs.google.com/document/d/1v2wrRH98Mb6W56K8yPZheM1Zp9pKLMkjPI3HLleM2-E/edit?usp=drivesdk","Ben Mowbray - 5/1/2018 10:20 AM")</f>
        <v>Ben Mowbray - 5/1/2018 10:20 AM</v>
      </c>
      <c r="AL56" s="12" t="s">
        <v>105</v>
      </c>
    </row>
    <row r="57">
      <c r="A57" s="10">
        <f>IFERROR(__xludf.DUMMYFUNCTION("""COMPUTED_VALUE"""),43221.71392324074)</f>
        <v>43221.71392</v>
      </c>
      <c r="B57" s="11" t="str">
        <f>IFERROR(__xludf.DUMMYFUNCTION("""COMPUTED_VALUE"""),"Pamela Marcum")</f>
        <v>Pamela Marcum</v>
      </c>
      <c r="C57" t="str">
        <f>IFERROR(__xludf.DUMMYFUNCTION("""COMPUTED_VALUE"""),"Pamela.Marcum@Dep.state.fl.us")</f>
        <v>Pamela.Marcum@Dep.state.fl.us</v>
      </c>
      <c r="D57" t="str">
        <f>IFERROR(__xludf.DUMMYFUNCTION("""COMPUTED_VALUE"""),"Research")</f>
        <v>Research</v>
      </c>
      <c r="E57" t="str">
        <f>IFERROR(__xludf.DUMMYFUNCTION("""COMPUTED_VALUE"""),"Crane Park/Shore Drive")</f>
        <v>Crane Park/Shore Drive</v>
      </c>
      <c r="F57" s="13">
        <f>IFERROR(__xludf.DUMMYFUNCTION("""COMPUTED_VALUE"""),0.375)</f>
        <v>0.375</v>
      </c>
      <c r="G57" s="14">
        <f>IFERROR(__xludf.DUMMYFUNCTION("""COMPUTED_VALUE"""),43222.0)</f>
        <v>43222</v>
      </c>
      <c r="H57" t="str">
        <f>IFERROR(__xludf.DUMMYFUNCTION("""COMPUTED_VALUE"""),"Matanzas River Marshes")</f>
        <v>Matanzas River Marshes</v>
      </c>
      <c r="I57" s="15">
        <f>IFERROR(__xludf.DUMMYFUNCTION("""COMPUTED_VALUE"""),0.625)</f>
        <v>0.625</v>
      </c>
      <c r="J57" s="16">
        <f>IFERROR(__xludf.DUMMYFUNCTION("""COMPUTED_VALUE"""),43222.66666666667)</f>
        <v>43222.66667</v>
      </c>
      <c r="K57" t="str">
        <f>IFERROR(__xludf.DUMMYFUNCTION("""COMPUTED_VALUE"""),"20ft Sea Ark FL5351SJ UNF 2015")</f>
        <v>20ft Sea Ark FL5351SJ UNF 2015</v>
      </c>
      <c r="M57" t="str">
        <f>IFERROR(__xludf.DUMMYFUNCTION("""COMPUTED_VALUE"""),"Ford F250 2017 (Moby Dix) - DEP0021578")</f>
        <v>Ford F250 2017 (Moby Dix) - DEP0021578</v>
      </c>
      <c r="N57" t="str">
        <f>IFERROR(__xludf.DUMMYFUNCTION("""COMPUTED_VALUE"""),"Pam Marcum, (480) 332-5414, Ben Mowbray, (407) 962-8782")</f>
        <v>Pam Marcum, (480) 332-5414, Ben Mowbray, (407) 962-8782</v>
      </c>
      <c r="O57" t="str">
        <f>IFERROR(__xludf.DUMMYFUNCTION("""COMPUTED_VALUE"""),"Gabriela Canas, (904) 891-9743")</f>
        <v>Gabriela Canas, (904) 891-9743</v>
      </c>
      <c r="P57" t="str">
        <f>IFERROR(__xludf.DUMMYFUNCTION("""COMPUTED_VALUE"""),"Ben Mowbray")</f>
        <v>Ben Mowbray</v>
      </c>
      <c r="Q57" t="str">
        <f>IFERROR(__xludf.DUMMYFUNCTION("""COMPUTED_VALUE"""),"Good")</f>
        <v>Good</v>
      </c>
      <c r="R57" t="str">
        <f>IFERROR(__xludf.DUMMYFUNCTION("""COMPUTED_VALUE"""),"Good")</f>
        <v>Good</v>
      </c>
      <c r="S57" t="str">
        <f>IFERROR(__xludf.DUMMYFUNCTION("""COMPUTED_VALUE"""),"Good")</f>
        <v>Good</v>
      </c>
      <c r="T57" t="str">
        <f>IFERROR(__xludf.DUMMYFUNCTION("""COMPUTED_VALUE"""),"Good")</f>
        <v>Good</v>
      </c>
      <c r="U57" t="str">
        <f>IFERROR(__xludf.DUMMYFUNCTION("""COMPUTED_VALUE"""),"Good")</f>
        <v>Good</v>
      </c>
      <c r="V57" t="str">
        <f>IFERROR(__xludf.DUMMYFUNCTION("""COMPUTED_VALUE"""),"Good")</f>
        <v>Good</v>
      </c>
      <c r="W57" t="str">
        <f>IFERROR(__xludf.DUMMYFUNCTION("""COMPUTED_VALUE"""),"Good")</f>
        <v>Good</v>
      </c>
      <c r="X57" t="str">
        <f>IFERROR(__xludf.DUMMYFUNCTION("""COMPUTED_VALUE"""),"Good")</f>
        <v>Good</v>
      </c>
      <c r="Y57" t="str">
        <f>IFERROR(__xludf.DUMMYFUNCTION("""COMPUTED_VALUE"""),"Good")</f>
        <v>Good</v>
      </c>
      <c r="Z57" t="str">
        <f>IFERROR(__xludf.DUMMYFUNCTION("""COMPUTED_VALUE"""),"Good")</f>
        <v>Good</v>
      </c>
      <c r="AA57" t="str">
        <f>IFERROR(__xludf.DUMMYFUNCTION("""COMPUTED_VALUE"""),"Good")</f>
        <v>Good</v>
      </c>
      <c r="AB57" t="str">
        <f>IFERROR(__xludf.DUMMYFUNCTION("""COMPUTED_VALUE"""),"Good")</f>
        <v>Good</v>
      </c>
      <c r="AC57" t="str">
        <f>IFERROR(__xludf.DUMMYFUNCTION("""COMPUTED_VALUE"""),"Good")</f>
        <v>Good</v>
      </c>
      <c r="AE57" s="11"/>
      <c r="AF57" t="b">
        <v>0</v>
      </c>
      <c r="AG57" s="17" t="s">
        <v>43</v>
      </c>
      <c r="AH57" s="12"/>
      <c r="AI57" s="12" t="s">
        <v>106</v>
      </c>
      <c r="AJ57" s="19" t="s">
        <v>107</v>
      </c>
      <c r="AK57" s="20" t="str">
        <f>HYPERLINK("https://docs.google.com/document/d/1v_EdmdvVGzhAN3sdHRshOKc3HcBBu2-dgl8Cd4de5UM/edit?usp=drivesdk","Pamela Marcum - 5/2/2018 9:00 AM")</f>
        <v>Pamela Marcum - 5/2/2018 9:00 AM</v>
      </c>
      <c r="AL57" s="12" t="s">
        <v>108</v>
      </c>
    </row>
    <row r="58">
      <c r="A58" s="10">
        <f>IFERROR(__xludf.DUMMYFUNCTION("""COMPUTED_VALUE"""),43223.37308217593)</f>
        <v>43223.37308</v>
      </c>
      <c r="B58" s="11" t="str">
        <f>IFERROR(__xludf.DUMMYFUNCTION("""COMPUTED_VALUE"""),"Pamela Marcum")</f>
        <v>Pamela Marcum</v>
      </c>
      <c r="C58" t="str">
        <f>IFERROR(__xludf.DUMMYFUNCTION("""COMPUTED_VALUE"""),"Pamela.Marcum@dep.state.fl.us")</f>
        <v>Pamela.Marcum@dep.state.fl.us</v>
      </c>
      <c r="D58" t="str">
        <f>IFERROR(__xludf.DUMMYFUNCTION("""COMPUTED_VALUE"""),"Research")</f>
        <v>Research</v>
      </c>
      <c r="E58" t="str">
        <f>IFERROR(__xludf.DUMMYFUNCTION("""COMPUTED_VALUE"""),"Faver-Dykes State Park")</f>
        <v>Faver-Dykes State Park</v>
      </c>
      <c r="F58" s="13">
        <f>IFERROR(__xludf.DUMMYFUNCTION("""COMPUTED_VALUE"""),0.4583333333321207)</f>
        <v>0.4583333333</v>
      </c>
      <c r="G58" s="14">
        <f>IFERROR(__xludf.DUMMYFUNCTION("""COMPUTED_VALUE"""),43223.0)</f>
        <v>43223</v>
      </c>
      <c r="H58" t="str">
        <f>IFERROR(__xludf.DUMMYFUNCTION("""COMPUTED_VALUE"""),"Pellicer Creek")</f>
        <v>Pellicer Creek</v>
      </c>
      <c r="I58" s="15">
        <f>IFERROR(__xludf.DUMMYFUNCTION("""COMPUTED_VALUE"""),0.6666666666678793)</f>
        <v>0.6666666667</v>
      </c>
      <c r="J58" s="16">
        <f>IFERROR(__xludf.DUMMYFUNCTION("""COMPUTED_VALUE"""),43223.70833333333)</f>
        <v>43223.70833</v>
      </c>
      <c r="K58" t="str">
        <f>IFERROR(__xludf.DUMMYFUNCTION("""COMPUTED_VALUE"""),"20ft Sea Ark FL5351SJ UNF 2015")</f>
        <v>20ft Sea Ark FL5351SJ UNF 2015</v>
      </c>
      <c r="M58" t="str">
        <f>IFERROR(__xludf.DUMMYFUNCTION("""COMPUTED_VALUE"""),"Ford F250 2017 (Moby Dix) - DEP0021578")</f>
        <v>Ford F250 2017 (Moby Dix) - DEP0021578</v>
      </c>
      <c r="N58" t="str">
        <f>IFERROR(__xludf.DUMMYFUNCTION("""COMPUTED_VALUE"""),"Pam Marcum, (480) 332-5414, Ben Mowbray, (407) 962-8782")</f>
        <v>Pam Marcum, (480) 332-5414, Ben Mowbray, (407) 962-8782</v>
      </c>
      <c r="P58" t="str">
        <f>IFERROR(__xludf.DUMMYFUNCTION("""COMPUTED_VALUE"""),"Ben Mowbray")</f>
        <v>Ben Mowbray</v>
      </c>
      <c r="Q58" t="str">
        <f>IFERROR(__xludf.DUMMYFUNCTION("""COMPUTED_VALUE"""),"Good")</f>
        <v>Good</v>
      </c>
      <c r="R58" t="str">
        <f>IFERROR(__xludf.DUMMYFUNCTION("""COMPUTED_VALUE"""),"Good")</f>
        <v>Good</v>
      </c>
      <c r="S58" t="str">
        <f>IFERROR(__xludf.DUMMYFUNCTION("""COMPUTED_VALUE"""),"Good")</f>
        <v>Good</v>
      </c>
      <c r="T58" t="str">
        <f>IFERROR(__xludf.DUMMYFUNCTION("""COMPUTED_VALUE"""),"Good")</f>
        <v>Good</v>
      </c>
      <c r="U58" t="str">
        <f>IFERROR(__xludf.DUMMYFUNCTION("""COMPUTED_VALUE"""),"Good")</f>
        <v>Good</v>
      </c>
      <c r="V58" t="str">
        <f>IFERROR(__xludf.DUMMYFUNCTION("""COMPUTED_VALUE"""),"Good")</f>
        <v>Good</v>
      </c>
      <c r="W58" t="str">
        <f>IFERROR(__xludf.DUMMYFUNCTION("""COMPUTED_VALUE"""),"Good")</f>
        <v>Good</v>
      </c>
      <c r="X58" t="str">
        <f>IFERROR(__xludf.DUMMYFUNCTION("""COMPUTED_VALUE"""),"Good")</f>
        <v>Good</v>
      </c>
      <c r="Y58" t="str">
        <f>IFERROR(__xludf.DUMMYFUNCTION("""COMPUTED_VALUE"""),"Good")</f>
        <v>Good</v>
      </c>
      <c r="Z58" t="str">
        <f>IFERROR(__xludf.DUMMYFUNCTION("""COMPUTED_VALUE"""),"Good")</f>
        <v>Good</v>
      </c>
      <c r="AA58" t="str">
        <f>IFERROR(__xludf.DUMMYFUNCTION("""COMPUTED_VALUE"""),"Good")</f>
        <v>Good</v>
      </c>
      <c r="AB58" t="str">
        <f>IFERROR(__xludf.DUMMYFUNCTION("""COMPUTED_VALUE"""),"Good")</f>
        <v>Good</v>
      </c>
      <c r="AC58" t="str">
        <f>IFERROR(__xludf.DUMMYFUNCTION("""COMPUTED_VALUE"""),"Good")</f>
        <v>Good</v>
      </c>
      <c r="AE58" s="11"/>
      <c r="AF58" t="b">
        <v>0</v>
      </c>
      <c r="AG58" s="17" t="s">
        <v>18</v>
      </c>
      <c r="AH58" s="12"/>
      <c r="AI58" s="12" t="s">
        <v>109</v>
      </c>
      <c r="AJ58" s="19" t="s">
        <v>110</v>
      </c>
      <c r="AK58" s="20" t="str">
        <f>HYPERLINK("https://docs.google.com/document/d/1aRzzSkR4_IR2TrYGXtPq9lf_h_sywa9CZFinxHZ5IvA/edit?usp=drivesdk","Pamela Marcum - 5/3/2018 11:00 AM")</f>
        <v>Pamela Marcum - 5/3/2018 11:00 AM</v>
      </c>
      <c r="AL58" s="12" t="s">
        <v>111</v>
      </c>
    </row>
    <row r="59">
      <c r="A59" s="10">
        <f>IFERROR(__xludf.DUMMYFUNCTION("""COMPUTED_VALUE"""),43224.38944370371)</f>
        <v>43224.38944</v>
      </c>
      <c r="B59" s="11" t="str">
        <f>IFERROR(__xludf.DUMMYFUNCTION("""COMPUTED_VALUE"""),"Pamela Marcum")</f>
        <v>Pamela Marcum</v>
      </c>
      <c r="C59" t="str">
        <f>IFERROR(__xludf.DUMMYFUNCTION("""COMPUTED_VALUE"""),"Pamela.Marcum@dep.state.fl.us")</f>
        <v>Pamela.Marcum@dep.state.fl.us</v>
      </c>
      <c r="D59" t="str">
        <f>IFERROR(__xludf.DUMMYFUNCTION("""COMPUTED_VALUE"""),"Research")</f>
        <v>Research</v>
      </c>
      <c r="E59" t="str">
        <f>IFERROR(__xludf.DUMMYFUNCTION("""COMPUTED_VALUE"""),"Faer-Dykes State Park")</f>
        <v>Faer-Dykes State Park</v>
      </c>
      <c r="F59" s="13">
        <f>IFERROR(__xludf.DUMMYFUNCTION("""COMPUTED_VALUE"""),0.4166666666678793)</f>
        <v>0.4166666667</v>
      </c>
      <c r="G59" s="14">
        <f>IFERROR(__xludf.DUMMYFUNCTION("""COMPUTED_VALUE"""),43224.0)</f>
        <v>43224</v>
      </c>
      <c r="H59" t="str">
        <f>IFERROR(__xludf.DUMMYFUNCTION("""COMPUTED_VALUE"""),"Pellicer Creek Transects")</f>
        <v>Pellicer Creek Transects</v>
      </c>
      <c r="I59" s="15">
        <f>IFERROR(__xludf.DUMMYFUNCTION("""COMPUTED_VALUE"""),0.6666666666678793)</f>
        <v>0.6666666667</v>
      </c>
      <c r="J59" s="16">
        <f>IFERROR(__xludf.DUMMYFUNCTION("""COMPUTED_VALUE"""),43224.70833333333)</f>
        <v>43224.70833</v>
      </c>
      <c r="M59" t="str">
        <f>IFERROR(__xludf.DUMMYFUNCTION("""COMPUTED_VALUE"""),"Ford F250 2017 (Moby Dix) - DEP0021578")</f>
        <v>Ford F250 2017 (Moby Dix) - DEP0021578</v>
      </c>
      <c r="N59" t="str">
        <f>IFERROR(__xludf.DUMMYFUNCTION("""COMPUTED_VALUE"""),"Pam Marcum, (480) 332-5414")</f>
        <v>Pam Marcum, (480) 332-5414</v>
      </c>
      <c r="O59" t="str">
        <f>IFERROR(__xludf.DUMMYFUNCTION("""COMPUTED_VALUE"""),"Annie Otto")</f>
        <v>Annie Otto</v>
      </c>
      <c r="P59" t="str">
        <f>IFERROR(__xludf.DUMMYFUNCTION("""COMPUTED_VALUE"""),"Pam Marcum")</f>
        <v>Pam Marcum</v>
      </c>
      <c r="Q59" t="str">
        <f>IFERROR(__xludf.DUMMYFUNCTION("""COMPUTED_VALUE"""),"Good")</f>
        <v>Good</v>
      </c>
      <c r="R59" t="str">
        <f>IFERROR(__xludf.DUMMYFUNCTION("""COMPUTED_VALUE"""),"Good")</f>
        <v>Good</v>
      </c>
      <c r="S59" t="str">
        <f>IFERROR(__xludf.DUMMYFUNCTION("""COMPUTED_VALUE"""),"Good")</f>
        <v>Good</v>
      </c>
      <c r="T59" t="str">
        <f>IFERROR(__xludf.DUMMYFUNCTION("""COMPUTED_VALUE"""),"Good")</f>
        <v>Good</v>
      </c>
      <c r="U59" t="str">
        <f>IFERROR(__xludf.DUMMYFUNCTION("""COMPUTED_VALUE"""),"Good")</f>
        <v>Good</v>
      </c>
      <c r="V59" t="str">
        <f>IFERROR(__xludf.DUMMYFUNCTION("""COMPUTED_VALUE"""),"Good")</f>
        <v>Good</v>
      </c>
      <c r="W59" t="str">
        <f>IFERROR(__xludf.DUMMYFUNCTION("""COMPUTED_VALUE"""),"Good")</f>
        <v>Good</v>
      </c>
      <c r="X59" t="str">
        <f>IFERROR(__xludf.DUMMYFUNCTION("""COMPUTED_VALUE"""),"Good")</f>
        <v>Good</v>
      </c>
      <c r="Y59" t="str">
        <f>IFERROR(__xludf.DUMMYFUNCTION("""COMPUTED_VALUE"""),"Good")</f>
        <v>Good</v>
      </c>
      <c r="Z59" t="str">
        <f>IFERROR(__xludf.DUMMYFUNCTION("""COMPUTED_VALUE"""),"Good")</f>
        <v>Good</v>
      </c>
      <c r="AA59" t="str">
        <f>IFERROR(__xludf.DUMMYFUNCTION("""COMPUTED_VALUE"""),"Good")</f>
        <v>Good</v>
      </c>
      <c r="AB59" t="str">
        <f>IFERROR(__xludf.DUMMYFUNCTION("""COMPUTED_VALUE"""),"Good")</f>
        <v>Good</v>
      </c>
      <c r="AC59" t="str">
        <f>IFERROR(__xludf.DUMMYFUNCTION("""COMPUTED_VALUE"""),"Good")</f>
        <v>Good</v>
      </c>
      <c r="AE59" s="11"/>
      <c r="AF59" t="b">
        <v>0</v>
      </c>
      <c r="AG59" s="17" t="s">
        <v>43</v>
      </c>
      <c r="AH59" s="12"/>
      <c r="AI59" s="12" t="s">
        <v>112</v>
      </c>
      <c r="AJ59" s="19" t="s">
        <v>113</v>
      </c>
      <c r="AK59" s="20" t="str">
        <f>HYPERLINK("https://docs.google.com/document/d/1UxSihKYLLd3ptxsJHs_8U8O3j5OHfzHKbjnt5FECBbs/edit?usp=drivesdk","Pamela Marcum - 5/4/2018 10:00 AM")</f>
        <v>Pamela Marcum - 5/4/2018 10:00 AM</v>
      </c>
      <c r="AL59" s="12" t="s">
        <v>114</v>
      </c>
    </row>
    <row r="60">
      <c r="A60" s="10">
        <f>IFERROR(__xludf.DUMMYFUNCTION("""COMPUTED_VALUE"""),43228.350774004626)</f>
        <v>43228.35077</v>
      </c>
      <c r="B60" s="11" t="str">
        <f>IFERROR(__xludf.DUMMYFUNCTION("""COMPUTED_VALUE"""),"Ben Mowbray")</f>
        <v>Ben Mowbray</v>
      </c>
      <c r="C60" t="str">
        <f>IFERROR(__xludf.DUMMYFUNCTION("""COMPUTED_VALUE"""),"ben.mowbray@dep.state.fl.us")</f>
        <v>ben.mowbray@dep.state.fl.us</v>
      </c>
      <c r="D60" t="str">
        <f>IFERROR(__xludf.DUMMYFUNCTION("""COMPUTED_VALUE"""),"Research")</f>
        <v>Research</v>
      </c>
      <c r="E60" t="str">
        <f>IFERROR(__xludf.DUMMYFUNCTION("""COMPUTED_VALUE"""),"Aunt Kate's")</f>
        <v>Aunt Kate's</v>
      </c>
      <c r="F60" s="13">
        <f>IFERROR(__xludf.DUMMYFUNCTION("""COMPUTED_VALUE"""),0.38888888889050577)</f>
        <v>0.3888888889</v>
      </c>
      <c r="G60" s="14">
        <f>IFERROR(__xludf.DUMMYFUNCTION("""COMPUTED_VALUE"""),43228.0)</f>
        <v>43228</v>
      </c>
      <c r="H60" t="str">
        <f>IFERROR(__xludf.DUMMYFUNCTION("""COMPUTED_VALUE"""),"Spat Run")</f>
        <v>Spat Run</v>
      </c>
      <c r="I60" s="15">
        <f>IFERROR(__xludf.DUMMYFUNCTION("""COMPUTED_VALUE"""),0.6041666666678793)</f>
        <v>0.6041666667</v>
      </c>
      <c r="J60" s="16">
        <f>IFERROR(__xludf.DUMMYFUNCTION("""COMPUTED_VALUE"""),43228.118055555555)</f>
        <v>43228.11806</v>
      </c>
      <c r="K60" t="str">
        <f>IFERROR(__xludf.DUMMYFUNCTION("""COMPUTED_VALUE"""),"20ft Sea Ark FL5351SJ UNF 2015")</f>
        <v>20ft Sea Ark FL5351SJ UNF 2015</v>
      </c>
      <c r="M60" t="str">
        <f>IFERROR(__xludf.DUMMYFUNCTION("""COMPUTED_VALUE"""),"Ford F250 2017 (Moby Dix) - DEP0021578")</f>
        <v>Ford F250 2017 (Moby Dix) - DEP0021578</v>
      </c>
      <c r="N60" t="str">
        <f>IFERROR(__xludf.DUMMYFUNCTION("""COMPUTED_VALUE"""),"Ben Mowbray, (407) 962-8782")</f>
        <v>Ben Mowbray, (407) 962-8782</v>
      </c>
      <c r="O60" t="str">
        <f>IFERROR(__xludf.DUMMYFUNCTION("""COMPUTED_VALUE"""),"Remo and Sam")</f>
        <v>Remo and Sam</v>
      </c>
      <c r="P60" t="str">
        <f>IFERROR(__xludf.DUMMYFUNCTION("""COMPUTED_VALUE"""),"Ben")</f>
        <v>Ben</v>
      </c>
      <c r="Q60" t="str">
        <f>IFERROR(__xludf.DUMMYFUNCTION("""COMPUTED_VALUE"""),"Good")</f>
        <v>Good</v>
      </c>
      <c r="R60" t="str">
        <f>IFERROR(__xludf.DUMMYFUNCTION("""COMPUTED_VALUE"""),"Good")</f>
        <v>Good</v>
      </c>
      <c r="S60" t="str">
        <f>IFERROR(__xludf.DUMMYFUNCTION("""COMPUTED_VALUE"""),"Good")</f>
        <v>Good</v>
      </c>
      <c r="T60" t="str">
        <f>IFERROR(__xludf.DUMMYFUNCTION("""COMPUTED_VALUE"""),"Good")</f>
        <v>Good</v>
      </c>
      <c r="U60" t="str">
        <f>IFERROR(__xludf.DUMMYFUNCTION("""COMPUTED_VALUE"""),"Good")</f>
        <v>Good</v>
      </c>
      <c r="V60" t="str">
        <f>IFERROR(__xludf.DUMMYFUNCTION("""COMPUTED_VALUE"""),"Good")</f>
        <v>Good</v>
      </c>
      <c r="W60" t="str">
        <f>IFERROR(__xludf.DUMMYFUNCTION("""COMPUTED_VALUE"""),"Good")</f>
        <v>Good</v>
      </c>
      <c r="X60" t="str">
        <f>IFERROR(__xludf.DUMMYFUNCTION("""COMPUTED_VALUE"""),"Good")</f>
        <v>Good</v>
      </c>
      <c r="Y60" t="str">
        <f>IFERROR(__xludf.DUMMYFUNCTION("""COMPUTED_VALUE"""),"Good")</f>
        <v>Good</v>
      </c>
      <c r="Z60" t="str">
        <f>IFERROR(__xludf.DUMMYFUNCTION("""COMPUTED_VALUE"""),"Good")</f>
        <v>Good</v>
      </c>
      <c r="AA60" t="str">
        <f>IFERROR(__xludf.DUMMYFUNCTION("""COMPUTED_VALUE"""),"Good")</f>
        <v>Good</v>
      </c>
      <c r="AB60" t="str">
        <f>IFERROR(__xludf.DUMMYFUNCTION("""COMPUTED_VALUE"""),"Good")</f>
        <v>Good</v>
      </c>
      <c r="AC60" t="str">
        <f>IFERROR(__xludf.DUMMYFUNCTION("""COMPUTED_VALUE"""),"Good")</f>
        <v>Good</v>
      </c>
      <c r="AE60" s="11"/>
      <c r="AF60" t="b">
        <v>0</v>
      </c>
      <c r="AG60" s="17" t="s">
        <v>115</v>
      </c>
      <c r="AH60" s="12"/>
      <c r="AI60" s="12" t="s">
        <v>116</v>
      </c>
      <c r="AJ60" s="19" t="s">
        <v>117</v>
      </c>
      <c r="AK60" s="20" t="str">
        <f>HYPERLINK("https://docs.google.com/document/d/1YVH9hAY0Il0DCK6rFfBHIM-B2FMeHXQEEJUjpA6N7-U/edit?usp=drivesdk","Ben Mowbray - 5/8/2018 9:20 AM")</f>
        <v>Ben Mowbray - 5/8/2018 9:20 AM</v>
      </c>
      <c r="AL60" s="12" t="s">
        <v>118</v>
      </c>
    </row>
    <row r="61">
      <c r="A61" s="10">
        <f>IFERROR(__xludf.DUMMYFUNCTION("""COMPUTED_VALUE"""),43230.361591643516)</f>
        <v>43230.36159</v>
      </c>
      <c r="B61" s="11" t="str">
        <f>IFERROR(__xludf.DUMMYFUNCTION("""COMPUTED_VALUE"""),"Ben Mowbray")</f>
        <v>Ben Mowbray</v>
      </c>
      <c r="C61" t="str">
        <f>IFERROR(__xludf.DUMMYFUNCTION("""COMPUTED_VALUE"""),"ben.mowbray@dep.state.fl.us")</f>
        <v>ben.mowbray@dep.state.fl.us</v>
      </c>
      <c r="D61" t="str">
        <f>IFERROR(__xludf.DUMMYFUNCTION("""COMPUTED_VALUE"""),"Research")</f>
        <v>Research</v>
      </c>
      <c r="E61" t="str">
        <f>IFERROR(__xludf.DUMMYFUNCTION("""COMPUTED_VALUE"""),"Aunt Kate's / Shore Drive")</f>
        <v>Aunt Kate's / Shore Drive</v>
      </c>
      <c r="F61" s="13">
        <f>IFERROR(__xludf.DUMMYFUNCTION("""COMPUTED_VALUE"""),0.4166666666678793)</f>
        <v>0.4166666667</v>
      </c>
      <c r="G61" s="14">
        <f>IFERROR(__xludf.DUMMYFUNCTION("""COMPUTED_VALUE"""),43230.0)</f>
        <v>43230</v>
      </c>
      <c r="H61" t="str">
        <f>IFERROR(__xludf.DUMMYFUNCTION("""COMPUTED_VALUE"""),"Spat Run")</f>
        <v>Spat Run</v>
      </c>
      <c r="I61" s="15">
        <f>IFERROR(__xludf.DUMMYFUNCTION("""COMPUTED_VALUE"""),0.10416666666787933)</f>
        <v>0.1041666667</v>
      </c>
      <c r="J61" s="16">
        <f>IFERROR(__xludf.DUMMYFUNCTION("""COMPUTED_VALUE"""),43230.13541666667)</f>
        <v>43230.13542</v>
      </c>
      <c r="K61" t="str">
        <f>IFERROR(__xludf.DUMMYFUNCTION("""COMPUTED_VALUE"""),"20ft Sea Ark FL5351SJ UNF 2015")</f>
        <v>20ft Sea Ark FL5351SJ UNF 2015</v>
      </c>
      <c r="M61" t="str">
        <f>IFERROR(__xludf.DUMMYFUNCTION("""COMPUTED_VALUE"""),"Ford F150 2008 - DEP18041 (SWMP Thing)")</f>
        <v>Ford F150 2008 - DEP18041 (SWMP Thing)</v>
      </c>
      <c r="N61" t="str">
        <f>IFERROR(__xludf.DUMMYFUNCTION("""COMPUTED_VALUE"""),"Ben Mowbray, (407) 962-8782")</f>
        <v>Ben Mowbray, (407) 962-8782</v>
      </c>
      <c r="O61" t="str">
        <f>IFERROR(__xludf.DUMMYFUNCTION("""COMPUTED_VALUE"""),"Sam Shaw or Hunter Mathews")</f>
        <v>Sam Shaw or Hunter Mathews</v>
      </c>
      <c r="P61" t="str">
        <f>IFERROR(__xludf.DUMMYFUNCTION("""COMPUTED_VALUE"""),"Ben")</f>
        <v>Ben</v>
      </c>
      <c r="Q61" t="str">
        <f>IFERROR(__xludf.DUMMYFUNCTION("""COMPUTED_VALUE"""),"Good")</f>
        <v>Good</v>
      </c>
      <c r="R61" t="str">
        <f>IFERROR(__xludf.DUMMYFUNCTION("""COMPUTED_VALUE"""),"Good")</f>
        <v>Good</v>
      </c>
      <c r="S61" t="str">
        <f>IFERROR(__xludf.DUMMYFUNCTION("""COMPUTED_VALUE"""),"Good")</f>
        <v>Good</v>
      </c>
      <c r="T61" t="str">
        <f>IFERROR(__xludf.DUMMYFUNCTION("""COMPUTED_VALUE"""),"Good")</f>
        <v>Good</v>
      </c>
      <c r="U61" t="str">
        <f>IFERROR(__xludf.DUMMYFUNCTION("""COMPUTED_VALUE"""),"Good")</f>
        <v>Good</v>
      </c>
      <c r="V61" t="str">
        <f>IFERROR(__xludf.DUMMYFUNCTION("""COMPUTED_VALUE"""),"Good")</f>
        <v>Good</v>
      </c>
      <c r="W61" t="str">
        <f>IFERROR(__xludf.DUMMYFUNCTION("""COMPUTED_VALUE"""),"Good")</f>
        <v>Good</v>
      </c>
      <c r="X61" t="str">
        <f>IFERROR(__xludf.DUMMYFUNCTION("""COMPUTED_VALUE"""),"Good")</f>
        <v>Good</v>
      </c>
      <c r="Y61" t="str">
        <f>IFERROR(__xludf.DUMMYFUNCTION("""COMPUTED_VALUE"""),"Good")</f>
        <v>Good</v>
      </c>
      <c r="Z61" t="str">
        <f>IFERROR(__xludf.DUMMYFUNCTION("""COMPUTED_VALUE"""),"Good")</f>
        <v>Good</v>
      </c>
      <c r="AA61" t="str">
        <f>IFERROR(__xludf.DUMMYFUNCTION("""COMPUTED_VALUE"""),"Good")</f>
        <v>Good</v>
      </c>
      <c r="AB61" t="str">
        <f>IFERROR(__xludf.DUMMYFUNCTION("""COMPUTED_VALUE"""),"Good")</f>
        <v>Good</v>
      </c>
      <c r="AC61" t="str">
        <f>IFERROR(__xludf.DUMMYFUNCTION("""COMPUTED_VALUE"""),"Good")</f>
        <v>Good</v>
      </c>
      <c r="AE61" s="11"/>
      <c r="AF61" t="b">
        <v>0</v>
      </c>
      <c r="AG61" s="17" t="s">
        <v>18</v>
      </c>
      <c r="AH61" s="12"/>
      <c r="AI61" s="12" t="s">
        <v>119</v>
      </c>
      <c r="AJ61" s="19" t="s">
        <v>120</v>
      </c>
      <c r="AK61" s="20" t="str">
        <f>HYPERLINK("https://docs.google.com/document/d/12huri7tFQSawQjEXKj8ob1-TqT9eABr2dmxojMW4czY/edit?usp=drivesdk","Ben Mowbray - 5/10/2018 10:00 AM")</f>
        <v>Ben Mowbray - 5/10/2018 10:00 AM</v>
      </c>
      <c r="AL61" s="12" t="s">
        <v>121</v>
      </c>
    </row>
    <row r="62">
      <c r="A62" s="10">
        <f>IFERROR(__xludf.DUMMYFUNCTION("""COMPUTED_VALUE"""),43231.29995903935)</f>
        <v>43231.29996</v>
      </c>
      <c r="B62" s="11" t="str">
        <f>IFERROR(__xludf.DUMMYFUNCTION("""COMPUTED_VALUE"""),"Ben Mowbray")</f>
        <v>Ben Mowbray</v>
      </c>
      <c r="C62" t="str">
        <f>IFERROR(__xludf.DUMMYFUNCTION("""COMPUTED_VALUE"""),"ben.mowbray@dep.state.fl.us")</f>
        <v>ben.mowbray@dep.state.fl.us</v>
      </c>
      <c r="D62" t="str">
        <f>IFERROR(__xludf.DUMMYFUNCTION("""COMPUTED_VALUE"""),"Research")</f>
        <v>Research</v>
      </c>
      <c r="E62" t="str">
        <f>IFERROR(__xludf.DUMMYFUNCTION("""COMPUTED_VALUE"""),"Bing's")</f>
        <v>Bing's</v>
      </c>
      <c r="F62" s="13">
        <f>IFERROR(__xludf.DUMMYFUNCTION("""COMPUTED_VALUE"""),0.3541666666678793)</f>
        <v>0.3541666667</v>
      </c>
      <c r="G62" s="14">
        <f>IFERROR(__xludf.DUMMYFUNCTION("""COMPUTED_VALUE"""),43231.0)</f>
        <v>43231</v>
      </c>
      <c r="H62" t="str">
        <f>IFERROR(__xludf.DUMMYFUNCTION("""COMPUTED_VALUE"""),"Summerhaven Nut Run")</f>
        <v>Summerhaven Nut Run</v>
      </c>
      <c r="I62" s="15">
        <f>IFERROR(__xludf.DUMMYFUNCTION("""COMPUTED_VALUE"""),0.4375)</f>
        <v>0.4375</v>
      </c>
      <c r="J62" s="16">
        <f>IFERROR(__xludf.DUMMYFUNCTION("""COMPUTED_VALUE"""),43231.625)</f>
        <v>43231.625</v>
      </c>
      <c r="K62" t="str">
        <f>IFERROR(__xludf.DUMMYFUNCTION("""COMPUTED_VALUE"""),"23ft Skiff (Bertha) FL7972LJ DEP07613")</f>
        <v>23ft Skiff (Bertha) FL7972LJ DEP07613</v>
      </c>
      <c r="M62" t="str">
        <f>IFERROR(__xludf.DUMMYFUNCTION("""COMPUTED_VALUE"""),"Ford F250 2017 (Moby Dix) - DEP0021578")</f>
        <v>Ford F250 2017 (Moby Dix) - DEP0021578</v>
      </c>
      <c r="N62" t="str">
        <f>IFERROR(__xludf.DUMMYFUNCTION("""COMPUTED_VALUE"""),"Ben Mowbray, (407) 962-8782")</f>
        <v>Ben Mowbray, (407) 962-8782</v>
      </c>
      <c r="O62" t="str">
        <f>IFERROR(__xludf.DUMMYFUNCTION("""COMPUTED_VALUE"""),"Sam Shaw, Matt Brown, Wesley, Trinity (maybe)")</f>
        <v>Sam Shaw, Matt Brown, Wesley, Trinity (maybe)</v>
      </c>
      <c r="P62" t="str">
        <f>IFERROR(__xludf.DUMMYFUNCTION("""COMPUTED_VALUE"""),"Ben")</f>
        <v>Ben</v>
      </c>
      <c r="Q62" t="str">
        <f>IFERROR(__xludf.DUMMYFUNCTION("""COMPUTED_VALUE"""),"Good")</f>
        <v>Good</v>
      </c>
      <c r="R62" t="str">
        <f>IFERROR(__xludf.DUMMYFUNCTION("""COMPUTED_VALUE"""),"Good")</f>
        <v>Good</v>
      </c>
      <c r="S62" t="str">
        <f>IFERROR(__xludf.DUMMYFUNCTION("""COMPUTED_VALUE"""),"Good")</f>
        <v>Good</v>
      </c>
      <c r="T62" t="str">
        <f>IFERROR(__xludf.DUMMYFUNCTION("""COMPUTED_VALUE"""),"Good")</f>
        <v>Good</v>
      </c>
      <c r="U62" t="str">
        <f>IFERROR(__xludf.DUMMYFUNCTION("""COMPUTED_VALUE"""),"Good")</f>
        <v>Good</v>
      </c>
      <c r="V62" t="str">
        <f>IFERROR(__xludf.DUMMYFUNCTION("""COMPUTED_VALUE"""),"Good")</f>
        <v>Good</v>
      </c>
      <c r="W62" t="str">
        <f>IFERROR(__xludf.DUMMYFUNCTION("""COMPUTED_VALUE"""),"Good")</f>
        <v>Good</v>
      </c>
      <c r="X62" t="str">
        <f>IFERROR(__xludf.DUMMYFUNCTION("""COMPUTED_VALUE"""),"Good")</f>
        <v>Good</v>
      </c>
      <c r="Y62" t="str">
        <f>IFERROR(__xludf.DUMMYFUNCTION("""COMPUTED_VALUE"""),"Good")</f>
        <v>Good</v>
      </c>
      <c r="Z62" t="str">
        <f>IFERROR(__xludf.DUMMYFUNCTION("""COMPUTED_VALUE"""),"Good")</f>
        <v>Good</v>
      </c>
      <c r="AA62" t="str">
        <f>IFERROR(__xludf.DUMMYFUNCTION("""COMPUTED_VALUE"""),"Good")</f>
        <v>Good</v>
      </c>
      <c r="AB62" t="str">
        <f>IFERROR(__xludf.DUMMYFUNCTION("""COMPUTED_VALUE"""),"Good")</f>
        <v>Good</v>
      </c>
      <c r="AC62" t="str">
        <f>IFERROR(__xludf.DUMMYFUNCTION("""COMPUTED_VALUE"""),"Good")</f>
        <v>Good</v>
      </c>
      <c r="AE62" s="11"/>
      <c r="AF62" t="b">
        <v>0</v>
      </c>
      <c r="AG62" s="17" t="s">
        <v>18</v>
      </c>
      <c r="AH62" s="12"/>
      <c r="AI62" s="12" t="s">
        <v>122</v>
      </c>
      <c r="AJ62" s="19" t="s">
        <v>123</v>
      </c>
      <c r="AK62" s="20" t="str">
        <f>HYPERLINK("https://docs.google.com/document/d/1NVKICve706r0YkCzp__mT8BDMJdF4QnbOgxRSabgmKc/edit?usp=drivesdk","Ben Mowbray - 5/11/2018 8:30 AM")</f>
        <v>Ben Mowbray - 5/11/2018 8:30 AM</v>
      </c>
      <c r="AL62" s="12" t="s">
        <v>124</v>
      </c>
    </row>
    <row r="63">
      <c r="A63" s="10">
        <f>IFERROR(__xludf.DUMMYFUNCTION("""COMPUTED_VALUE"""),43234.6390791088)</f>
        <v>43234.63908</v>
      </c>
      <c r="B63" s="11" t="str">
        <f>IFERROR(__xludf.DUMMYFUNCTION("""COMPUTED_VALUE"""),"Silas Tanner")</f>
        <v>Silas Tanner</v>
      </c>
      <c r="C63" t="str">
        <f>IFERROR(__xludf.DUMMYFUNCTION("""COMPUTED_VALUE"""),"silas.tanner@floridadep.gov")</f>
        <v>silas.tanner@floridadep.gov</v>
      </c>
      <c r="D63" t="str">
        <f>IFERROR(__xludf.DUMMYFUNCTION("""COMPUTED_VALUE"""),"Research")</f>
        <v>Research</v>
      </c>
      <c r="E63" t="str">
        <f>IFERROR(__xludf.DUMMYFUNCTION("""COMPUTED_VALUE"""),"Vilano County Ramp")</f>
        <v>Vilano County Ramp</v>
      </c>
      <c r="F63" s="13">
        <f>IFERROR(__xludf.DUMMYFUNCTION("""COMPUTED_VALUE"""),0.3645833333321207)</f>
        <v>0.3645833333</v>
      </c>
      <c r="G63" s="14">
        <f>IFERROR(__xludf.DUMMYFUNCTION("""COMPUTED_VALUE"""),43235.0)</f>
        <v>43235</v>
      </c>
      <c r="H63" t="str">
        <f>IFERROR(__xludf.DUMMYFUNCTION("""COMPUTED_VALUE"""),"ICW SWMP Sites: FM, SS &amp; PI")</f>
        <v>ICW SWMP Sites: FM, SS &amp; PI</v>
      </c>
      <c r="I63" s="15">
        <f>IFERROR(__xludf.DUMMYFUNCTION("""COMPUTED_VALUE"""),0.5)</f>
        <v>0.5</v>
      </c>
      <c r="J63" s="16">
        <f>IFERROR(__xludf.DUMMYFUNCTION("""COMPUTED_VALUE"""),43235.52083333333)</f>
        <v>43235.52083</v>
      </c>
      <c r="K63" t="str">
        <f>IFERROR(__xludf.DUMMYFUNCTION("""COMPUTED_VALUE"""),"23ft Skiff (Bertha) FL7972LJ DEP07613")</f>
        <v>23ft Skiff (Bertha) FL7972LJ DEP07613</v>
      </c>
      <c r="M63" t="str">
        <f>IFERROR(__xludf.DUMMYFUNCTION("""COMPUTED_VALUE"""),"Ford F250 2017 (Moby Dix) - DEP0021578")</f>
        <v>Ford F250 2017 (Moby Dix) - DEP0021578</v>
      </c>
      <c r="N63" t="str">
        <f>IFERROR(__xludf.DUMMYFUNCTION("""COMPUTED_VALUE"""),"Silas Tanner, (904) 483-8423")</f>
        <v>Silas Tanner, (904) 483-8423</v>
      </c>
      <c r="O63" t="str">
        <f>IFERROR(__xludf.DUMMYFUNCTION("""COMPUTED_VALUE"""),"Hunter Mathews")</f>
        <v>Hunter Mathews</v>
      </c>
      <c r="P63" t="str">
        <f>IFERROR(__xludf.DUMMYFUNCTION("""COMPUTED_VALUE"""),"Silas Tanner")</f>
        <v>Silas Tanner</v>
      </c>
      <c r="Q63" t="str">
        <f>IFERROR(__xludf.DUMMYFUNCTION("""COMPUTED_VALUE"""),"Good")</f>
        <v>Good</v>
      </c>
      <c r="R63" t="str">
        <f>IFERROR(__xludf.DUMMYFUNCTION("""COMPUTED_VALUE"""),"Good")</f>
        <v>Good</v>
      </c>
      <c r="S63" t="str">
        <f>IFERROR(__xludf.DUMMYFUNCTION("""COMPUTED_VALUE"""),"Good")</f>
        <v>Good</v>
      </c>
      <c r="T63" t="str">
        <f>IFERROR(__xludf.DUMMYFUNCTION("""COMPUTED_VALUE"""),"Good")</f>
        <v>Good</v>
      </c>
      <c r="U63" t="str">
        <f>IFERROR(__xludf.DUMMYFUNCTION("""COMPUTED_VALUE"""),"Good")</f>
        <v>Good</v>
      </c>
      <c r="V63" t="str">
        <f>IFERROR(__xludf.DUMMYFUNCTION("""COMPUTED_VALUE"""),"Good")</f>
        <v>Good</v>
      </c>
      <c r="W63" t="str">
        <f>IFERROR(__xludf.DUMMYFUNCTION("""COMPUTED_VALUE"""),"Good")</f>
        <v>Good</v>
      </c>
      <c r="X63" t="str">
        <f>IFERROR(__xludf.DUMMYFUNCTION("""COMPUTED_VALUE"""),"Good")</f>
        <v>Good</v>
      </c>
      <c r="Y63" t="str">
        <f>IFERROR(__xludf.DUMMYFUNCTION("""COMPUTED_VALUE"""),"Good")</f>
        <v>Good</v>
      </c>
      <c r="Z63" t="str">
        <f>IFERROR(__xludf.DUMMYFUNCTION("""COMPUTED_VALUE"""),"Good")</f>
        <v>Good</v>
      </c>
      <c r="AA63" t="str">
        <f>IFERROR(__xludf.DUMMYFUNCTION("""COMPUTED_VALUE"""),"Good")</f>
        <v>Good</v>
      </c>
      <c r="AB63" t="str">
        <f>IFERROR(__xludf.DUMMYFUNCTION("""COMPUTED_VALUE"""),"Good")</f>
        <v>Good</v>
      </c>
      <c r="AC63" t="str">
        <f>IFERROR(__xludf.DUMMYFUNCTION("""COMPUTED_VALUE"""),"Good")</f>
        <v>Good</v>
      </c>
      <c r="AE63" s="11"/>
      <c r="AF63" t="b">
        <v>0</v>
      </c>
      <c r="AG63" s="17" t="s">
        <v>18</v>
      </c>
      <c r="AH63" s="12"/>
      <c r="AI63" s="12" t="s">
        <v>125</v>
      </c>
      <c r="AJ63" s="19" t="s">
        <v>126</v>
      </c>
      <c r="AK63" s="20" t="str">
        <f>HYPERLINK("https://docs.google.com/document/d/1As9djMbo-ypJ-TIGH9yy3dPkMxR0WI1KMjZ3T-YgY3o/edit?usp=drivesdk","Silas Tanner - 5/15/2018 8:45 AM")</f>
        <v>Silas Tanner - 5/15/2018 8:45 AM</v>
      </c>
      <c r="AL63" s="12" t="s">
        <v>127</v>
      </c>
    </row>
    <row r="64">
      <c r="A64" s="10">
        <f>IFERROR(__xludf.DUMMYFUNCTION("""COMPUTED_VALUE"""),43236.66317133102)</f>
        <v>43236.66317</v>
      </c>
      <c r="B64" s="11" t="str">
        <f>IFERROR(__xludf.DUMMYFUNCTION("""COMPUTED_VALUE"""),"Kenneth Rainer")</f>
        <v>Kenneth Rainer</v>
      </c>
      <c r="C64" t="str">
        <f>IFERROR(__xludf.DUMMYFUNCTION("""COMPUTED_VALUE"""),"Kenneth.Rainer@dep.state.fl.us")</f>
        <v>Kenneth.Rainer@dep.state.fl.us</v>
      </c>
      <c r="D64" t="str">
        <f>IFERROR(__xludf.DUMMYFUNCTION("""COMPUTED_VALUE"""),"Education")</f>
        <v>Education</v>
      </c>
      <c r="E64" t="str">
        <f>IFERROR(__xludf.DUMMYFUNCTION("""COMPUTED_VALUE"""),"Usina Boat Ramp")</f>
        <v>Usina Boat Ramp</v>
      </c>
      <c r="F64" s="13">
        <f>IFERROR(__xludf.DUMMYFUNCTION("""COMPUTED_VALUE"""),0.3125)</f>
        <v>0.3125</v>
      </c>
      <c r="G64" s="14">
        <f>IFERROR(__xludf.DUMMYFUNCTION("""COMPUTED_VALUE"""),43237.0)</f>
        <v>43237</v>
      </c>
      <c r="H64" t="str">
        <f>IFERROR(__xludf.DUMMYFUNCTION("""COMPUTED_VALUE"""),"Site 1: Angelini Project, Pine Island")</f>
        <v>Site 1: Angelini Project, Pine Island</v>
      </c>
      <c r="I64" s="15">
        <f>IFERROR(__xludf.DUMMYFUNCTION("""COMPUTED_VALUE"""),0.5)</f>
        <v>0.5</v>
      </c>
      <c r="J64" s="16">
        <f>IFERROR(__xludf.DUMMYFUNCTION("""COMPUTED_VALUE"""),43237.52083333333)</f>
        <v>43237.52083</v>
      </c>
      <c r="K64" t="str">
        <f>IFERROR(__xludf.DUMMYFUNCTION("""COMPUTED_VALUE"""),"23ft Skiff (Bertha) FL7972LJ DEP07613")</f>
        <v>23ft Skiff (Bertha) FL7972LJ DEP07613</v>
      </c>
      <c r="M64" t="str">
        <f>IFERROR(__xludf.DUMMYFUNCTION("""COMPUTED_VALUE"""),"Ford F250 2017 (Moby Dix) - DEP0021578")</f>
        <v>Ford F250 2017 (Moby Dix) - DEP0021578</v>
      </c>
      <c r="N64" t="str">
        <f>IFERROR(__xludf.DUMMYFUNCTION("""COMPUTED_VALUE"""),"Kenneth Rainer, (936) 499-1853")</f>
        <v>Kenneth Rainer, (936) 499-1853</v>
      </c>
      <c r="O64" t="str">
        <f>IFERROR(__xludf.DUMMYFUNCTION("""COMPUTED_VALUE"""),"Emma Hanson")</f>
        <v>Emma Hanson</v>
      </c>
      <c r="P64" t="str">
        <f>IFERROR(__xludf.DUMMYFUNCTION("""COMPUTED_VALUE"""),"Kenneth Rainer")</f>
        <v>Kenneth Rainer</v>
      </c>
      <c r="Q64" t="str">
        <f>IFERROR(__xludf.DUMMYFUNCTION("""COMPUTED_VALUE"""),"Good")</f>
        <v>Good</v>
      </c>
      <c r="R64" t="str">
        <f>IFERROR(__xludf.DUMMYFUNCTION("""COMPUTED_VALUE"""),"Good")</f>
        <v>Good</v>
      </c>
      <c r="S64" t="str">
        <f>IFERROR(__xludf.DUMMYFUNCTION("""COMPUTED_VALUE"""),"Good")</f>
        <v>Good</v>
      </c>
      <c r="T64" t="str">
        <f>IFERROR(__xludf.DUMMYFUNCTION("""COMPUTED_VALUE"""),"Good")</f>
        <v>Good</v>
      </c>
      <c r="U64" t="str">
        <f>IFERROR(__xludf.DUMMYFUNCTION("""COMPUTED_VALUE"""),"Good")</f>
        <v>Good</v>
      </c>
      <c r="V64" t="str">
        <f>IFERROR(__xludf.DUMMYFUNCTION("""COMPUTED_VALUE"""),"Good")</f>
        <v>Good</v>
      </c>
      <c r="W64" t="str">
        <f>IFERROR(__xludf.DUMMYFUNCTION("""COMPUTED_VALUE"""),"Good")</f>
        <v>Good</v>
      </c>
      <c r="X64" t="str">
        <f>IFERROR(__xludf.DUMMYFUNCTION("""COMPUTED_VALUE"""),"Good")</f>
        <v>Good</v>
      </c>
      <c r="Y64" t="str">
        <f>IFERROR(__xludf.DUMMYFUNCTION("""COMPUTED_VALUE"""),"Good")</f>
        <v>Good</v>
      </c>
      <c r="Z64" t="str">
        <f>IFERROR(__xludf.DUMMYFUNCTION("""COMPUTED_VALUE"""),"Good")</f>
        <v>Good</v>
      </c>
      <c r="AA64" t="str">
        <f>IFERROR(__xludf.DUMMYFUNCTION("""COMPUTED_VALUE"""),"Good")</f>
        <v>Good</v>
      </c>
      <c r="AB64" t="str">
        <f>IFERROR(__xludf.DUMMYFUNCTION("""COMPUTED_VALUE"""),"Good")</f>
        <v>Good</v>
      </c>
      <c r="AC64" t="str">
        <f>IFERROR(__xludf.DUMMYFUNCTION("""COMPUTED_VALUE"""),"Good")</f>
        <v>Good</v>
      </c>
      <c r="AD64" t="str">
        <f>IFERROR(__xludf.DUMMYFUNCTION("""COMPUTED_VALUE"""),"74 °F, 24% Rain, 11mph South")</f>
        <v>74 °F, 24% Rain, 11mph South</v>
      </c>
      <c r="AE64" s="11" t="str">
        <f>IFERROR(__xludf.DUMMYFUNCTION("""COMPUTED_VALUE"""),"04:48 AM -0.80 L and 10:56 AM 3.92 H")</f>
        <v>04:48 AM -0.80 L and 10:56 AM 3.92 H</v>
      </c>
      <c r="AF64" t="s">
        <v>9</v>
      </c>
      <c r="AG64" s="17" t="s">
        <v>128</v>
      </c>
      <c r="AH64" s="12"/>
      <c r="AI64" s="12" t="s">
        <v>129</v>
      </c>
      <c r="AJ64" s="19" t="s">
        <v>130</v>
      </c>
      <c r="AK64" s="20" t="str">
        <f>HYPERLINK("https://docs.google.com/document/d/1ZYCXLV6gt2oXgWl9Ziwcxz8bjA1d5w_O5I7Ap6ZOB2M/edit?usp=drivesdk","Kenneth Rainer - 5/17/2018 7:30 AM")</f>
        <v>Kenneth Rainer - 5/17/2018 7:30 AM</v>
      </c>
      <c r="AL64" s="12" t="s">
        <v>131</v>
      </c>
    </row>
    <row r="65">
      <c r="A65" s="10">
        <f>IFERROR(__xludf.DUMMYFUNCTION("""COMPUTED_VALUE"""),43237.31596025463)</f>
        <v>43237.31596</v>
      </c>
      <c r="B65" s="11" t="str">
        <f>IFERROR(__xludf.DUMMYFUNCTION("""COMPUTED_VALUE"""),"Ben Mowbray")</f>
        <v>Ben Mowbray</v>
      </c>
      <c r="C65" t="str">
        <f>IFERROR(__xludf.DUMMYFUNCTION("""COMPUTED_VALUE"""),"ben.mowbray@dep.state.fl.us")</f>
        <v>ben.mowbray@dep.state.fl.us</v>
      </c>
      <c r="D65" t="str">
        <f>IFERROR(__xludf.DUMMYFUNCTION("""COMPUTED_VALUE"""),"Research")</f>
        <v>Research</v>
      </c>
      <c r="E65" t="str">
        <f>IFERROR(__xludf.DUMMYFUNCTION("""COMPUTED_VALUE"""),"Palm Valley")</f>
        <v>Palm Valley</v>
      </c>
      <c r="F65" s="13">
        <f>IFERROR(__xludf.DUMMYFUNCTION("""COMPUTED_VALUE"""),0.3333333333321207)</f>
        <v>0.3333333333</v>
      </c>
      <c r="G65" s="14">
        <f>IFERROR(__xludf.DUMMYFUNCTION("""COMPUTED_VALUE"""),43237.0)</f>
        <v>43237</v>
      </c>
      <c r="H65" t="str">
        <f>IFERROR(__xludf.DUMMYFUNCTION("""COMPUTED_VALUE"""),"Angelini Sites")</f>
        <v>Angelini Sites</v>
      </c>
      <c r="I65" s="15">
        <f>IFERROR(__xludf.DUMMYFUNCTION("""COMPUTED_VALUE"""),0.375)</f>
        <v>0.375</v>
      </c>
      <c r="J65" s="16">
        <f>IFERROR(__xludf.DUMMYFUNCTION("""COMPUTED_VALUE"""),43237.38888888889)</f>
        <v>43237.38889</v>
      </c>
      <c r="K65" t="str">
        <f>IFERROR(__xludf.DUMMYFUNCTION("""COMPUTED_VALUE"""),"20ft Sea Ark FL5351SJ UNF 2015")</f>
        <v>20ft Sea Ark FL5351SJ UNF 2015</v>
      </c>
      <c r="M65" t="str">
        <f>IFERROR(__xludf.DUMMYFUNCTION("""COMPUTED_VALUE"""),"Ford F150 2008 - DEP18041 (SWMP Thing)")</f>
        <v>Ford F150 2008 - DEP18041 (SWMP Thing)</v>
      </c>
      <c r="N65" t="str">
        <f>IFERROR(__xludf.DUMMYFUNCTION("""COMPUTED_VALUE"""),"Ben Mowbray, (407) 962-8782")</f>
        <v>Ben Mowbray, (407) 962-8782</v>
      </c>
      <c r="O65" t="str">
        <f>IFERROR(__xludf.DUMMYFUNCTION("""COMPUTED_VALUE"""),"Remo")</f>
        <v>Remo</v>
      </c>
      <c r="P65" t="str">
        <f>IFERROR(__xludf.DUMMYFUNCTION("""COMPUTED_VALUE"""),"Ben")</f>
        <v>Ben</v>
      </c>
      <c r="Q65" t="str">
        <f>IFERROR(__xludf.DUMMYFUNCTION("""COMPUTED_VALUE"""),"Good")</f>
        <v>Good</v>
      </c>
      <c r="R65" t="str">
        <f>IFERROR(__xludf.DUMMYFUNCTION("""COMPUTED_VALUE"""),"Good")</f>
        <v>Good</v>
      </c>
      <c r="S65" t="str">
        <f>IFERROR(__xludf.DUMMYFUNCTION("""COMPUTED_VALUE"""),"Good")</f>
        <v>Good</v>
      </c>
      <c r="T65" t="str">
        <f>IFERROR(__xludf.DUMMYFUNCTION("""COMPUTED_VALUE"""),"Good")</f>
        <v>Good</v>
      </c>
      <c r="U65" t="str">
        <f>IFERROR(__xludf.DUMMYFUNCTION("""COMPUTED_VALUE"""),"Good")</f>
        <v>Good</v>
      </c>
      <c r="V65" t="str">
        <f>IFERROR(__xludf.DUMMYFUNCTION("""COMPUTED_VALUE"""),"Good")</f>
        <v>Good</v>
      </c>
      <c r="W65" t="str">
        <f>IFERROR(__xludf.DUMMYFUNCTION("""COMPUTED_VALUE"""),"Good")</f>
        <v>Good</v>
      </c>
      <c r="X65" t="str">
        <f>IFERROR(__xludf.DUMMYFUNCTION("""COMPUTED_VALUE"""),"Good")</f>
        <v>Good</v>
      </c>
      <c r="Y65" t="str">
        <f>IFERROR(__xludf.DUMMYFUNCTION("""COMPUTED_VALUE"""),"Good")</f>
        <v>Good</v>
      </c>
      <c r="Z65" t="str">
        <f>IFERROR(__xludf.DUMMYFUNCTION("""COMPUTED_VALUE"""),"Good")</f>
        <v>Good</v>
      </c>
      <c r="AA65" t="str">
        <f>IFERROR(__xludf.DUMMYFUNCTION("""COMPUTED_VALUE"""),"Good")</f>
        <v>Good</v>
      </c>
      <c r="AB65" t="str">
        <f>IFERROR(__xludf.DUMMYFUNCTION("""COMPUTED_VALUE"""),"Good")</f>
        <v>Good</v>
      </c>
      <c r="AC65" t="str">
        <f>IFERROR(__xludf.DUMMYFUNCTION("""COMPUTED_VALUE"""),"Good")</f>
        <v>Good</v>
      </c>
      <c r="AE65" s="11"/>
      <c r="AF65" t="b">
        <v>0</v>
      </c>
      <c r="AG65" s="17" t="s">
        <v>128</v>
      </c>
      <c r="AH65" s="12"/>
      <c r="AI65" s="12" t="s">
        <v>132</v>
      </c>
      <c r="AJ65" s="19" t="s">
        <v>133</v>
      </c>
      <c r="AK65" s="20" t="str">
        <f>HYPERLINK("https://docs.google.com/document/d/10nnniawQVtJWr1j6dGtxHYuaPvjUZS_oEzRZ6f249BE/edit?usp=drivesdk","Ben Mowbray - 5/17/2018 8:00 AM")</f>
        <v>Ben Mowbray - 5/17/2018 8:00 AM</v>
      </c>
      <c r="AL65" s="12" t="s">
        <v>134</v>
      </c>
    </row>
    <row r="66">
      <c r="A66" s="10">
        <f>IFERROR(__xludf.DUMMYFUNCTION("""COMPUTED_VALUE"""),43243.81443792824)</f>
        <v>43243.81444</v>
      </c>
      <c r="B66" s="11" t="str">
        <f>IFERROR(__xludf.DUMMYFUNCTION("""COMPUTED_VALUE"""),"Pamela Marcum")</f>
        <v>Pamela Marcum</v>
      </c>
      <c r="C66" t="str">
        <f>IFERROR(__xludf.DUMMYFUNCTION("""COMPUTED_VALUE"""),"Pamela.Marcum@Dep.state.fl.us")</f>
        <v>Pamela.Marcum@Dep.state.fl.us</v>
      </c>
      <c r="D66" t="str">
        <f>IFERROR(__xludf.DUMMYFUNCTION("""COMPUTED_VALUE"""),"Research")</f>
        <v>Research</v>
      </c>
      <c r="E66" t="str">
        <f>IFERROR(__xludf.DUMMYFUNCTION("""COMPUTED_VALUE"""),"Crane Park Shore Drive")</f>
        <v>Crane Park Shore Drive</v>
      </c>
      <c r="F66" s="13">
        <f>IFERROR(__xludf.DUMMYFUNCTION("""COMPUTED_VALUE"""),0.3333333333321207)</f>
        <v>0.3333333333</v>
      </c>
      <c r="G66" s="14">
        <f>IFERROR(__xludf.DUMMYFUNCTION("""COMPUTED_VALUE"""),43244.0)</f>
        <v>43244</v>
      </c>
      <c r="H66" t="str">
        <f>IFERROR(__xludf.DUMMYFUNCTION("""COMPUTED_VALUE"""),"Tidal Creek North of East Creek")</f>
        <v>Tidal Creek North of East Creek</v>
      </c>
      <c r="I66" s="15">
        <f>IFERROR(__xludf.DUMMYFUNCTION("""COMPUTED_VALUE"""),0.625)</f>
        <v>0.625</v>
      </c>
      <c r="J66" s="16">
        <f>IFERROR(__xludf.DUMMYFUNCTION("""COMPUTED_VALUE"""),43244.66666666667)</f>
        <v>43244.66667</v>
      </c>
      <c r="K66" t="str">
        <f>IFERROR(__xludf.DUMMYFUNCTION("""COMPUTED_VALUE"""),"23ft Skiff (Bertha) FL7972LJ DEP07613")</f>
        <v>23ft Skiff (Bertha) FL7972LJ DEP07613</v>
      </c>
      <c r="M66" t="str">
        <f>IFERROR(__xludf.DUMMYFUNCTION("""COMPUTED_VALUE"""),"Ford F150 2008 - DEP18041 (SWMP Thing)")</f>
        <v>Ford F150 2008 - DEP18041 (SWMP Thing)</v>
      </c>
      <c r="N66" t="str">
        <f>IFERROR(__xludf.DUMMYFUNCTION("""COMPUTED_VALUE"""),"Pam Marcum, (480) 332-5414")</f>
        <v>Pam Marcum, (480) 332-5414</v>
      </c>
      <c r="O66" t="str">
        <f>IFERROR(__xludf.DUMMYFUNCTION("""COMPUTED_VALUE"""),"Sam Chapman, Matt Hayes, Libby, Chuck, Emily, Ember, Chansotheary")</f>
        <v>Sam Chapman, Matt Hayes, Libby, Chuck, Emily, Ember, Chansotheary</v>
      </c>
      <c r="P66" t="str">
        <f>IFERROR(__xludf.DUMMYFUNCTION("""COMPUTED_VALUE"""),"Pam Marcum")</f>
        <v>Pam Marcum</v>
      </c>
      <c r="Q66" t="str">
        <f>IFERROR(__xludf.DUMMYFUNCTION("""COMPUTED_VALUE"""),"Good")</f>
        <v>Good</v>
      </c>
      <c r="R66" t="str">
        <f>IFERROR(__xludf.DUMMYFUNCTION("""COMPUTED_VALUE"""),"Good")</f>
        <v>Good</v>
      </c>
      <c r="S66" t="str">
        <f>IFERROR(__xludf.DUMMYFUNCTION("""COMPUTED_VALUE"""),"Good")</f>
        <v>Good</v>
      </c>
      <c r="T66" t="str">
        <f>IFERROR(__xludf.DUMMYFUNCTION("""COMPUTED_VALUE"""),"Good")</f>
        <v>Good</v>
      </c>
      <c r="U66" t="str">
        <f>IFERROR(__xludf.DUMMYFUNCTION("""COMPUTED_VALUE"""),"Good")</f>
        <v>Good</v>
      </c>
      <c r="V66" t="str">
        <f>IFERROR(__xludf.DUMMYFUNCTION("""COMPUTED_VALUE"""),"Good")</f>
        <v>Good</v>
      </c>
      <c r="W66" t="str">
        <f>IFERROR(__xludf.DUMMYFUNCTION("""COMPUTED_VALUE"""),"Good")</f>
        <v>Good</v>
      </c>
      <c r="X66" t="str">
        <f>IFERROR(__xludf.DUMMYFUNCTION("""COMPUTED_VALUE"""),"Good")</f>
        <v>Good</v>
      </c>
      <c r="Y66" t="str">
        <f>IFERROR(__xludf.DUMMYFUNCTION("""COMPUTED_VALUE"""),"Good")</f>
        <v>Good</v>
      </c>
      <c r="Z66" t="str">
        <f>IFERROR(__xludf.DUMMYFUNCTION("""COMPUTED_VALUE"""),"Good")</f>
        <v>Good</v>
      </c>
      <c r="AA66" t="str">
        <f>IFERROR(__xludf.DUMMYFUNCTION("""COMPUTED_VALUE"""),"Good")</f>
        <v>Good</v>
      </c>
      <c r="AB66" t="str">
        <f>IFERROR(__xludf.DUMMYFUNCTION("""COMPUTED_VALUE"""),"Good")</f>
        <v>Good</v>
      </c>
      <c r="AC66" t="str">
        <f>IFERROR(__xludf.DUMMYFUNCTION("""COMPUTED_VALUE"""),"Good")</f>
        <v>Good</v>
      </c>
      <c r="AE66" s="11"/>
      <c r="AF66" t="b">
        <v>0</v>
      </c>
      <c r="AG66" s="17" t="s">
        <v>43</v>
      </c>
      <c r="AH66" s="12"/>
      <c r="AI66" s="12" t="s">
        <v>135</v>
      </c>
      <c r="AJ66" s="19" t="s">
        <v>136</v>
      </c>
      <c r="AK66" s="20" t="str">
        <f>HYPERLINK("https://docs.google.com/document/d/1_HH9Z8-j5vEDahK3SVVb5cw1dwoAO7QFzxqAWGE-CnI/edit?usp=drivesdk","Pamela Marcum - 5/24/2018 8:00 AM")</f>
        <v>Pamela Marcum - 5/24/2018 8:00 AM</v>
      </c>
      <c r="AL66" s="12" t="s">
        <v>137</v>
      </c>
    </row>
    <row r="67">
      <c r="A67" s="10">
        <f>IFERROR(__xludf.DUMMYFUNCTION("""COMPUTED_VALUE"""),43244.44638015047)</f>
        <v>43244.44638</v>
      </c>
      <c r="B67" s="11" t="str">
        <f>IFERROR(__xludf.DUMMYFUNCTION("""COMPUTED_VALUE"""),"Silas Tanner")</f>
        <v>Silas Tanner</v>
      </c>
      <c r="C67" t="str">
        <f>IFERROR(__xludf.DUMMYFUNCTION("""COMPUTED_VALUE"""),"silas.tanner@floridadep.gov")</f>
        <v>silas.tanner@floridadep.gov</v>
      </c>
      <c r="D67" t="str">
        <f>IFERROR(__xludf.DUMMYFUNCTION("""COMPUTED_VALUE"""),"Research")</f>
        <v>Research</v>
      </c>
      <c r="E67" t="str">
        <f>IFERROR(__xludf.DUMMYFUNCTION("""COMPUTED_VALUE"""),"Bing's Landing")</f>
        <v>Bing's Landing</v>
      </c>
      <c r="F67" s="13">
        <f>IFERROR(__xludf.DUMMYFUNCTION("""COMPUTED_VALUE"""),0.34375)</f>
        <v>0.34375</v>
      </c>
      <c r="G67" s="14">
        <f>IFERROR(__xludf.DUMMYFUNCTION("""COMPUTED_VALUE"""),43245.0)</f>
        <v>43245</v>
      </c>
      <c r="H67" t="str">
        <f>IFERROR(__xludf.DUMMYFUNCTION("""COMPUTED_VALUE"""),"ICW b/w Rattlesnake Is. and Bing's")</f>
        <v>ICW b/w Rattlesnake Is. and Bing's</v>
      </c>
      <c r="I67" s="15">
        <f>IFERROR(__xludf.DUMMYFUNCTION("""COMPUTED_VALUE"""),0.5)</f>
        <v>0.5</v>
      </c>
      <c r="J67" s="16">
        <f>IFERROR(__xludf.DUMMYFUNCTION("""COMPUTED_VALUE"""),43245.54166666667)</f>
        <v>43245.54167</v>
      </c>
      <c r="K67" t="str">
        <f>IFERROR(__xludf.DUMMYFUNCTION("""COMPUTED_VALUE"""),"23ft Skiff (Bertha) FL7972LJ DEP07613")</f>
        <v>23ft Skiff (Bertha) FL7972LJ DEP07613</v>
      </c>
      <c r="M67" t="str">
        <f>IFERROR(__xludf.DUMMYFUNCTION("""COMPUTED_VALUE"""),"Ford F150 2008 - DEP18041 (SWMP Thing)")</f>
        <v>Ford F150 2008 - DEP18041 (SWMP Thing)</v>
      </c>
      <c r="N67" t="str">
        <f>IFERROR(__xludf.DUMMYFUNCTION("""COMPUTED_VALUE"""),"Silas Tanner, (904) 483-8423")</f>
        <v>Silas Tanner, (904) 483-8423</v>
      </c>
      <c r="O67" t="str">
        <f>IFERROR(__xludf.DUMMYFUNCTION("""COMPUTED_VALUE"""),"Matt Brown, Westly Woodward, Remo Mondazi")</f>
        <v>Matt Brown, Westly Woodward, Remo Mondazi</v>
      </c>
      <c r="P67" t="str">
        <f>IFERROR(__xludf.DUMMYFUNCTION("""COMPUTED_VALUE"""),"Silas Tanner")</f>
        <v>Silas Tanner</v>
      </c>
      <c r="Q67" t="str">
        <f>IFERROR(__xludf.DUMMYFUNCTION("""COMPUTED_VALUE"""),"Good")</f>
        <v>Good</v>
      </c>
      <c r="R67" t="str">
        <f>IFERROR(__xludf.DUMMYFUNCTION("""COMPUTED_VALUE"""),"Good")</f>
        <v>Good</v>
      </c>
      <c r="S67" t="str">
        <f>IFERROR(__xludf.DUMMYFUNCTION("""COMPUTED_VALUE"""),"Good")</f>
        <v>Good</v>
      </c>
      <c r="T67" t="str">
        <f>IFERROR(__xludf.DUMMYFUNCTION("""COMPUTED_VALUE"""),"Good")</f>
        <v>Good</v>
      </c>
      <c r="U67" t="str">
        <f>IFERROR(__xludf.DUMMYFUNCTION("""COMPUTED_VALUE"""),"Good")</f>
        <v>Good</v>
      </c>
      <c r="V67" t="str">
        <f>IFERROR(__xludf.DUMMYFUNCTION("""COMPUTED_VALUE"""),"Good")</f>
        <v>Good</v>
      </c>
      <c r="W67" t="str">
        <f>IFERROR(__xludf.DUMMYFUNCTION("""COMPUTED_VALUE"""),"Good")</f>
        <v>Good</v>
      </c>
      <c r="X67" t="str">
        <f>IFERROR(__xludf.DUMMYFUNCTION("""COMPUTED_VALUE"""),"Good")</f>
        <v>Good</v>
      </c>
      <c r="Y67" t="str">
        <f>IFERROR(__xludf.DUMMYFUNCTION("""COMPUTED_VALUE"""),"Good")</f>
        <v>Good</v>
      </c>
      <c r="Z67" t="str">
        <f>IFERROR(__xludf.DUMMYFUNCTION("""COMPUTED_VALUE"""),"Good")</f>
        <v>Good</v>
      </c>
      <c r="AA67" t="str">
        <f>IFERROR(__xludf.DUMMYFUNCTION("""COMPUTED_VALUE"""),"Good")</f>
        <v>Good</v>
      </c>
      <c r="AB67" t="str">
        <f>IFERROR(__xludf.DUMMYFUNCTION("""COMPUTED_VALUE"""),"Good")</f>
        <v>Good</v>
      </c>
      <c r="AC67" t="str">
        <f>IFERROR(__xludf.DUMMYFUNCTION("""COMPUTED_VALUE"""),"Good")</f>
        <v>Good</v>
      </c>
      <c r="AE67" s="11"/>
      <c r="AF67" t="b">
        <v>0</v>
      </c>
      <c r="AG67" s="17" t="s">
        <v>18</v>
      </c>
      <c r="AH67" s="12"/>
      <c r="AI67" s="12" t="s">
        <v>138</v>
      </c>
      <c r="AJ67" s="19" t="s">
        <v>139</v>
      </c>
      <c r="AK67" s="20" t="str">
        <f>HYPERLINK("https://docs.google.com/document/d/1xPjlL2XpuJuVs9bhlQHaVaBJvaUVRrAiSl6QpD-EBQQ/edit?usp=drivesdk","Silas Tanner - 5/25/2018 8:15 AM")</f>
        <v>Silas Tanner - 5/25/2018 8:15 AM</v>
      </c>
      <c r="AL67" s="12" t="s">
        <v>140</v>
      </c>
    </row>
    <row r="68">
      <c r="A68" s="10">
        <f>IFERROR(__xludf.DUMMYFUNCTION("""COMPUTED_VALUE"""),43248.36070387732)</f>
        <v>43248.3607</v>
      </c>
      <c r="B68" s="11" t="str">
        <f>IFERROR(__xludf.DUMMYFUNCTION("""COMPUTED_VALUE"""),"Ben Mowbray")</f>
        <v>Ben Mowbray</v>
      </c>
      <c r="C68" t="str">
        <f>IFERROR(__xludf.DUMMYFUNCTION("""COMPUTED_VALUE"""),"ben.mowbray@dep.state.fl.us")</f>
        <v>ben.mowbray@dep.state.fl.us</v>
      </c>
      <c r="D68" t="str">
        <f>IFERROR(__xludf.DUMMYFUNCTION("""COMPUTED_VALUE"""),"Research")</f>
        <v>Research</v>
      </c>
      <c r="E68" t="str">
        <f>IFERROR(__xludf.DUMMYFUNCTION("""COMPUTED_VALUE"""),"Shore Dr.")</f>
        <v>Shore Dr.</v>
      </c>
      <c r="F68" s="13">
        <f>IFERROR(__xludf.DUMMYFUNCTION("""COMPUTED_VALUE"""),0.3958333333321207)</f>
        <v>0.3958333333</v>
      </c>
      <c r="G68" s="14">
        <f>IFERROR(__xludf.DUMMYFUNCTION("""COMPUTED_VALUE"""),43248.0)</f>
        <v>43248</v>
      </c>
      <c r="H68" t="str">
        <f>IFERROR(__xludf.DUMMYFUNCTION("""COMPUTED_VALUE"""),"Chapman Sites")</f>
        <v>Chapman Sites</v>
      </c>
      <c r="I68" s="15">
        <f>IFERROR(__xludf.DUMMYFUNCTION("""COMPUTED_VALUE"""),0.6666666666678793)</f>
        <v>0.6666666667</v>
      </c>
      <c r="J68" s="16">
        <f>IFERROR(__xludf.DUMMYFUNCTION("""COMPUTED_VALUE"""),43248.70833333333)</f>
        <v>43248.70833</v>
      </c>
      <c r="K68" t="str">
        <f>IFERROR(__xludf.DUMMYFUNCTION("""COMPUTED_VALUE"""),"23ft Skiff (Bertha) FL7972LJ DEP07613")</f>
        <v>23ft Skiff (Bertha) FL7972LJ DEP07613</v>
      </c>
      <c r="M68" t="str">
        <f>IFERROR(__xludf.DUMMYFUNCTION("""COMPUTED_VALUE"""),"Ford F250 2017 (Moby Dix) - DEP0021578")</f>
        <v>Ford F250 2017 (Moby Dix) - DEP0021578</v>
      </c>
      <c r="N68" t="str">
        <f>IFERROR(__xludf.DUMMYFUNCTION("""COMPUTED_VALUE"""),"Ben Mowbray, (407) 962-8782")</f>
        <v>Ben Mowbray, (407) 962-8782</v>
      </c>
      <c r="O68" t="str">
        <f>IFERROR(__xludf.DUMMYFUNCTION("""COMPUTED_VALUE"""),"Gabriela Canas, (904) 891-9743, Chapman group")</f>
        <v>Gabriela Canas, (904) 891-9743, Chapman group</v>
      </c>
      <c r="P68" t="str">
        <f>IFERROR(__xludf.DUMMYFUNCTION("""COMPUTED_VALUE"""),"Ben")</f>
        <v>Ben</v>
      </c>
      <c r="Q68" t="str">
        <f>IFERROR(__xludf.DUMMYFUNCTION("""COMPUTED_VALUE"""),"Good")</f>
        <v>Good</v>
      </c>
      <c r="R68" t="str">
        <f>IFERROR(__xludf.DUMMYFUNCTION("""COMPUTED_VALUE"""),"Good")</f>
        <v>Good</v>
      </c>
      <c r="S68" t="str">
        <f>IFERROR(__xludf.DUMMYFUNCTION("""COMPUTED_VALUE"""),"Good")</f>
        <v>Good</v>
      </c>
      <c r="T68" t="str">
        <f>IFERROR(__xludf.DUMMYFUNCTION("""COMPUTED_VALUE"""),"Good")</f>
        <v>Good</v>
      </c>
      <c r="U68" t="str">
        <f>IFERROR(__xludf.DUMMYFUNCTION("""COMPUTED_VALUE"""),"Good")</f>
        <v>Good</v>
      </c>
      <c r="V68" t="str">
        <f>IFERROR(__xludf.DUMMYFUNCTION("""COMPUTED_VALUE"""),"Good")</f>
        <v>Good</v>
      </c>
      <c r="W68" t="str">
        <f>IFERROR(__xludf.DUMMYFUNCTION("""COMPUTED_VALUE"""),"Good")</f>
        <v>Good</v>
      </c>
      <c r="X68" t="str">
        <f>IFERROR(__xludf.DUMMYFUNCTION("""COMPUTED_VALUE"""),"Good")</f>
        <v>Good</v>
      </c>
      <c r="Y68" t="str">
        <f>IFERROR(__xludf.DUMMYFUNCTION("""COMPUTED_VALUE"""),"Good")</f>
        <v>Good</v>
      </c>
      <c r="Z68" t="str">
        <f>IFERROR(__xludf.DUMMYFUNCTION("""COMPUTED_VALUE"""),"Good")</f>
        <v>Good</v>
      </c>
      <c r="AA68" t="str">
        <f>IFERROR(__xludf.DUMMYFUNCTION("""COMPUTED_VALUE"""),"Good")</f>
        <v>Good</v>
      </c>
      <c r="AB68" t="str">
        <f>IFERROR(__xludf.DUMMYFUNCTION("""COMPUTED_VALUE"""),"Good")</f>
        <v>Good</v>
      </c>
      <c r="AC68" t="str">
        <f>IFERROR(__xludf.DUMMYFUNCTION("""COMPUTED_VALUE"""),"Good")</f>
        <v>Good</v>
      </c>
      <c r="AE68" s="11"/>
      <c r="AF68" t="b">
        <v>0</v>
      </c>
      <c r="AG68" s="17" t="s">
        <v>141</v>
      </c>
      <c r="AH68" s="12"/>
      <c r="AI68" s="12" t="s">
        <v>142</v>
      </c>
      <c r="AJ68" s="19" t="s">
        <v>143</v>
      </c>
      <c r="AK68" s="20" t="str">
        <f>HYPERLINK("https://docs.google.com/document/d/1Z8dAn-NJRpmpNLlG1zkbjukS7RuYIXNvx0IZ730X_Lk/edit?usp=drivesdk","Ben Mowbray - 5/28/2018 9:30 AM")</f>
        <v>Ben Mowbray - 5/28/2018 9:30 AM</v>
      </c>
      <c r="AL68" s="12" t="s">
        <v>144</v>
      </c>
    </row>
    <row r="69">
      <c r="A69" s="10">
        <f>IFERROR(__xludf.DUMMYFUNCTION("""COMPUTED_VALUE"""),43249.31715028935)</f>
        <v>43249.31715</v>
      </c>
      <c r="B69" s="11" t="str">
        <f>IFERROR(__xludf.DUMMYFUNCTION("""COMPUTED_VALUE"""),"Silas Tanner")</f>
        <v>Silas Tanner</v>
      </c>
      <c r="C69" t="str">
        <f>IFERROR(__xludf.DUMMYFUNCTION("""COMPUTED_VALUE"""),"silas.tanner@floridadep.gov")</f>
        <v>silas.tanner@floridadep.gov</v>
      </c>
      <c r="D69" t="str">
        <f>IFERROR(__xludf.DUMMYFUNCTION("""COMPUTED_VALUE"""),"Research")</f>
        <v>Research</v>
      </c>
      <c r="E69" t="str">
        <f>IFERROR(__xludf.DUMMYFUNCTION("""COMPUTED_VALUE"""),"Vilano County Ramp; Green Rd")</f>
        <v>Vilano County Ramp; Green Rd</v>
      </c>
      <c r="F69" s="13">
        <f>IFERROR(__xludf.DUMMYFUNCTION("""COMPUTED_VALUE"""),0.3958333333321207)</f>
        <v>0.3958333333</v>
      </c>
      <c r="G69" s="14">
        <f>IFERROR(__xludf.DUMMYFUNCTION("""COMPUTED_VALUE"""),43249.0)</f>
        <v>43249</v>
      </c>
      <c r="H69" t="str">
        <f>IFERROR(__xludf.DUMMYFUNCTION("""COMPUTED_VALUE"""),"ICW SWMP Sites")</f>
        <v>ICW SWMP Sites</v>
      </c>
      <c r="I69" s="15">
        <f>IFERROR(__xludf.DUMMYFUNCTION("""COMPUTED_VALUE"""),0.625)</f>
        <v>0.625</v>
      </c>
      <c r="J69" s="16">
        <f>IFERROR(__xludf.DUMMYFUNCTION("""COMPUTED_VALUE"""),43249.64583333333)</f>
        <v>43249.64583</v>
      </c>
      <c r="K69" t="str">
        <f>IFERROR(__xludf.DUMMYFUNCTION("""COMPUTED_VALUE"""),"20ft Sea Ark FL5351SJ UNF 2015")</f>
        <v>20ft Sea Ark FL5351SJ UNF 2015</v>
      </c>
      <c r="M69" t="str">
        <f>IFERROR(__xludf.DUMMYFUNCTION("""COMPUTED_VALUE"""),"Ford F150 2008 - DEP18041 (SWMP Thing)")</f>
        <v>Ford F150 2008 - DEP18041 (SWMP Thing)</v>
      </c>
      <c r="N69" t="str">
        <f>IFERROR(__xludf.DUMMYFUNCTION("""COMPUTED_VALUE"""),"Silas Tanner, (904) 483-8423, Jimmy Tomazinis, (904) 547-0094")</f>
        <v>Silas Tanner, (904) 483-8423, Jimmy Tomazinis, (904) 547-0094</v>
      </c>
      <c r="P69" t="str">
        <f>IFERROR(__xludf.DUMMYFUNCTION("""COMPUTED_VALUE"""),"Silas Tanner")</f>
        <v>Silas Tanner</v>
      </c>
      <c r="Q69" t="str">
        <f>IFERROR(__xludf.DUMMYFUNCTION("""COMPUTED_VALUE"""),"Good")</f>
        <v>Good</v>
      </c>
      <c r="R69" t="str">
        <f>IFERROR(__xludf.DUMMYFUNCTION("""COMPUTED_VALUE"""),"Good")</f>
        <v>Good</v>
      </c>
      <c r="S69" t="str">
        <f>IFERROR(__xludf.DUMMYFUNCTION("""COMPUTED_VALUE"""),"Good")</f>
        <v>Good</v>
      </c>
      <c r="T69" t="str">
        <f>IFERROR(__xludf.DUMMYFUNCTION("""COMPUTED_VALUE"""),"Good")</f>
        <v>Good</v>
      </c>
      <c r="U69" t="str">
        <f>IFERROR(__xludf.DUMMYFUNCTION("""COMPUTED_VALUE"""),"Good")</f>
        <v>Good</v>
      </c>
      <c r="V69" t="str">
        <f>IFERROR(__xludf.DUMMYFUNCTION("""COMPUTED_VALUE"""),"Good")</f>
        <v>Good</v>
      </c>
      <c r="W69" t="str">
        <f>IFERROR(__xludf.DUMMYFUNCTION("""COMPUTED_VALUE"""),"Good")</f>
        <v>Good</v>
      </c>
      <c r="X69" t="str">
        <f>IFERROR(__xludf.DUMMYFUNCTION("""COMPUTED_VALUE"""),"Good")</f>
        <v>Good</v>
      </c>
      <c r="Y69" t="str">
        <f>IFERROR(__xludf.DUMMYFUNCTION("""COMPUTED_VALUE"""),"Good")</f>
        <v>Good</v>
      </c>
      <c r="Z69" t="str">
        <f>IFERROR(__xludf.DUMMYFUNCTION("""COMPUTED_VALUE"""),"Good")</f>
        <v>Good</v>
      </c>
      <c r="AA69" t="str">
        <f>IFERROR(__xludf.DUMMYFUNCTION("""COMPUTED_VALUE"""),"Good")</f>
        <v>Good</v>
      </c>
      <c r="AB69" t="str">
        <f>IFERROR(__xludf.DUMMYFUNCTION("""COMPUTED_VALUE"""),"Good")</f>
        <v>Good</v>
      </c>
      <c r="AC69" t="str">
        <f>IFERROR(__xludf.DUMMYFUNCTION("""COMPUTED_VALUE"""),"Good")</f>
        <v>Good</v>
      </c>
      <c r="AE69" s="11"/>
      <c r="AF69" t="b">
        <v>0</v>
      </c>
      <c r="AG69" s="17" t="s">
        <v>18</v>
      </c>
      <c r="AH69" s="12"/>
      <c r="AI69" s="12" t="s">
        <v>145</v>
      </c>
      <c r="AJ69" s="19" t="s">
        <v>146</v>
      </c>
      <c r="AK69" s="20" t="str">
        <f>HYPERLINK("https://docs.google.com/document/d/1-UbK8hMJUW_5g5Rku1FY9ewcvvUW5AHNrwKQATrchv4/edit?usp=drivesdk","Silas Tanner - 5/29/2018 9:30 AM")</f>
        <v>Silas Tanner - 5/29/2018 9:30 AM</v>
      </c>
      <c r="AL69" s="12" t="s">
        <v>147</v>
      </c>
    </row>
    <row r="70">
      <c r="A70" s="10">
        <f>IFERROR(__xludf.DUMMYFUNCTION("""COMPUTED_VALUE"""),43250.39838402778)</f>
        <v>43250.39838</v>
      </c>
      <c r="B70" s="11" t="str">
        <f>IFERROR(__xludf.DUMMYFUNCTION("""COMPUTED_VALUE"""),"James Tomazinis")</f>
        <v>James Tomazinis</v>
      </c>
      <c r="C70" t="str">
        <f>IFERROR(__xludf.DUMMYFUNCTION("""COMPUTED_VALUE"""),"james.tomazinis@floridadep.gov")</f>
        <v>james.tomazinis@floridadep.gov</v>
      </c>
      <c r="D70" t="str">
        <f>IFERROR(__xludf.DUMMYFUNCTION("""COMPUTED_VALUE"""),"Stewardship (Aquatic)")</f>
        <v>Stewardship (Aquatic)</v>
      </c>
      <c r="E70" t="str">
        <f>IFERROR(__xludf.DUMMYFUNCTION("""COMPUTED_VALUE"""),"dam")</f>
        <v>dam</v>
      </c>
      <c r="F70" s="13">
        <f>IFERROR(__xludf.DUMMYFUNCTION("""COMPUTED_VALUE"""),0.40625)</f>
        <v>0.40625</v>
      </c>
      <c r="G70" s="14">
        <f>IFERROR(__xludf.DUMMYFUNCTION("""COMPUTED_VALUE"""),43250.0)</f>
        <v>43250</v>
      </c>
      <c r="H70" t="str">
        <f>IFERROR(__xludf.DUMMYFUNCTION("""COMPUTED_VALUE"""),"Guana sample sites")</f>
        <v>Guana sample sites</v>
      </c>
      <c r="I70" s="15">
        <f>IFERROR(__xludf.DUMMYFUNCTION("""COMPUTED_VALUE"""),0.5416666666678793)</f>
        <v>0.5416666667</v>
      </c>
      <c r="J70" s="16"/>
      <c r="K70" t="str">
        <f>IFERROR(__xludf.DUMMYFUNCTION("""COMPUTED_VALUE"""),"Jon Boat FL0484NP DEP06819")</f>
        <v>Jon Boat FL0484NP DEP06819</v>
      </c>
      <c r="M70" t="str">
        <f>IFERROR(__xludf.DUMMYFUNCTION("""COMPUTED_VALUE"""),"Ford Explorer 2002 - DEP05465 (AP)")</f>
        <v>Ford Explorer 2002 - DEP05465 (AP)</v>
      </c>
      <c r="N70" t="str">
        <f>IFERROR(__xludf.DUMMYFUNCTION("""COMPUTED_VALUE"""),"Jimmy Tomazinis, (904) 547-0094")</f>
        <v>Jimmy Tomazinis, (904) 547-0094</v>
      </c>
      <c r="O70" t="str">
        <f>IFERROR(__xludf.DUMMYFUNCTION("""COMPUTED_VALUE"""),"Hunter Mathews")</f>
        <v>Hunter Mathews</v>
      </c>
      <c r="P70" t="str">
        <f>IFERROR(__xludf.DUMMYFUNCTION("""COMPUTED_VALUE"""),"Jimmy")</f>
        <v>Jimmy</v>
      </c>
      <c r="Q70" t="str">
        <f>IFERROR(__xludf.DUMMYFUNCTION("""COMPUTED_VALUE"""),"Good")</f>
        <v>Good</v>
      </c>
      <c r="R70" t="str">
        <f>IFERROR(__xludf.DUMMYFUNCTION("""COMPUTED_VALUE"""),"Good")</f>
        <v>Good</v>
      </c>
      <c r="S70" t="str">
        <f>IFERROR(__xludf.DUMMYFUNCTION("""COMPUTED_VALUE"""),"Good")</f>
        <v>Good</v>
      </c>
      <c r="T70" t="str">
        <f>IFERROR(__xludf.DUMMYFUNCTION("""COMPUTED_VALUE"""),"Good")</f>
        <v>Good</v>
      </c>
      <c r="U70" t="str">
        <f>IFERROR(__xludf.DUMMYFUNCTION("""COMPUTED_VALUE"""),"Good")</f>
        <v>Good</v>
      </c>
      <c r="V70" t="str">
        <f>IFERROR(__xludf.DUMMYFUNCTION("""COMPUTED_VALUE"""),"Good")</f>
        <v>Good</v>
      </c>
      <c r="W70" t="str">
        <f>IFERROR(__xludf.DUMMYFUNCTION("""COMPUTED_VALUE"""),"Good")</f>
        <v>Good</v>
      </c>
      <c r="X70" t="str">
        <f>IFERROR(__xludf.DUMMYFUNCTION("""COMPUTED_VALUE"""),"Good")</f>
        <v>Good</v>
      </c>
      <c r="Y70" t="str">
        <f>IFERROR(__xludf.DUMMYFUNCTION("""COMPUTED_VALUE"""),"Good")</f>
        <v>Good</v>
      </c>
      <c r="Z70" t="str">
        <f>IFERROR(__xludf.DUMMYFUNCTION("""COMPUTED_VALUE"""),"Good")</f>
        <v>Good</v>
      </c>
      <c r="AA70" t="str">
        <f>IFERROR(__xludf.DUMMYFUNCTION("""COMPUTED_VALUE"""),"Good")</f>
        <v>Good</v>
      </c>
      <c r="AB70" t="str">
        <f>IFERROR(__xludf.DUMMYFUNCTION("""COMPUTED_VALUE"""),"Good")</f>
        <v>Good</v>
      </c>
      <c r="AC70" t="str">
        <f>IFERROR(__xludf.DUMMYFUNCTION("""COMPUTED_VALUE"""),"Good")</f>
        <v>Good</v>
      </c>
      <c r="AE70" s="11"/>
      <c r="AF70" t="s">
        <v>32</v>
      </c>
      <c r="AG70" s="17" t="s">
        <v>18</v>
      </c>
      <c r="AH70" s="12"/>
      <c r="AI70" s="12" t="s">
        <v>148</v>
      </c>
      <c r="AJ70" s="19" t="s">
        <v>149</v>
      </c>
      <c r="AK70" s="20" t="str">
        <f>HYPERLINK("https://docs.google.com/document/d/1WsrMwbtq1vkTBudK_ew-NbpNttOyEo3T3Yuj3AdKLcs/edit?usp=drivesdk","James Tomazinis - 5/30/2018 9:45 AM")</f>
        <v>James Tomazinis - 5/30/2018 9:45 AM</v>
      </c>
      <c r="AL70" s="12" t="s">
        <v>150</v>
      </c>
    </row>
    <row r="71">
      <c r="A71" s="10">
        <f>IFERROR(__xludf.DUMMYFUNCTION("""COMPUTED_VALUE"""),43250.442842881945)</f>
        <v>43250.44284</v>
      </c>
      <c r="B71" s="11" t="str">
        <f>IFERROR(__xludf.DUMMYFUNCTION("""COMPUTED_VALUE"""),"Ben Mowbray")</f>
        <v>Ben Mowbray</v>
      </c>
      <c r="C71" t="str">
        <f>IFERROR(__xludf.DUMMYFUNCTION("""COMPUTED_VALUE"""),"ben.mowbray@dep.state.fl.us")</f>
        <v>ben.mowbray@dep.state.fl.us</v>
      </c>
      <c r="D71" t="str">
        <f>IFERROR(__xludf.DUMMYFUNCTION("""COMPUTED_VALUE"""),"Research")</f>
        <v>Research</v>
      </c>
      <c r="E71" t="str">
        <f>IFERROR(__xludf.DUMMYFUNCTION("""COMPUTED_VALUE"""),"Whitney Lab")</f>
        <v>Whitney Lab</v>
      </c>
      <c r="F71" s="13">
        <f>IFERROR(__xludf.DUMMYFUNCTION("""COMPUTED_VALUE"""),0.5)</f>
        <v>0.5</v>
      </c>
      <c r="G71" s="14">
        <f>IFERROR(__xludf.DUMMYFUNCTION("""COMPUTED_VALUE"""),43250.0)</f>
        <v>43250</v>
      </c>
      <c r="H71" t="str">
        <f>IFERROR(__xludf.DUMMYFUNCTION("""COMPUTED_VALUE"""),"Kimbro Sites")</f>
        <v>Kimbro Sites</v>
      </c>
      <c r="I71" s="15">
        <f>IFERROR(__xludf.DUMMYFUNCTION("""COMPUTED_VALUE"""),0.8055555555547471)</f>
        <v>0.8055555556</v>
      </c>
      <c r="J71" s="16">
        <f>IFERROR(__xludf.DUMMYFUNCTION("""COMPUTED_VALUE"""),43250.84722222222)</f>
        <v>43250.84722</v>
      </c>
      <c r="K71" t="str">
        <f>IFERROR(__xludf.DUMMYFUNCTION("""COMPUTED_VALUE"""),"23ft Skiff (Bertha) FL7972LJ DEP07613, Kayak(s)")</f>
        <v>23ft Skiff (Bertha) FL7972LJ DEP07613, Kayak(s)</v>
      </c>
      <c r="L71">
        <f>IFERROR(__xludf.DUMMYFUNCTION("""COMPUTED_VALUE"""),2.0)</f>
        <v>2</v>
      </c>
      <c r="M71" t="str">
        <f>IFERROR(__xludf.DUMMYFUNCTION("""COMPUTED_VALUE"""),"Ford F150 2008 - DEP18041 (SWMP Thing)")</f>
        <v>Ford F150 2008 - DEP18041 (SWMP Thing)</v>
      </c>
      <c r="N71" t="str">
        <f>IFERROR(__xludf.DUMMYFUNCTION("""COMPUTED_VALUE"""),"Pam Marcum, (480) 332-5414, Ben Mowbray, (407) 962-8782")</f>
        <v>Pam Marcum, (480) 332-5414, Ben Mowbray, (407) 962-8782</v>
      </c>
      <c r="O71" t="str">
        <f>IFERROR(__xludf.DUMMYFUNCTION("""COMPUTED_VALUE"""),"Kimbro Team")</f>
        <v>Kimbro Team</v>
      </c>
      <c r="P71" t="str">
        <f>IFERROR(__xludf.DUMMYFUNCTION("""COMPUTED_VALUE"""),"Ben")</f>
        <v>Ben</v>
      </c>
      <c r="Q71" t="str">
        <f>IFERROR(__xludf.DUMMYFUNCTION("""COMPUTED_VALUE"""),"Good")</f>
        <v>Good</v>
      </c>
      <c r="R71" t="str">
        <f>IFERROR(__xludf.DUMMYFUNCTION("""COMPUTED_VALUE"""),"Good")</f>
        <v>Good</v>
      </c>
      <c r="S71" t="str">
        <f>IFERROR(__xludf.DUMMYFUNCTION("""COMPUTED_VALUE"""),"Good")</f>
        <v>Good</v>
      </c>
      <c r="T71" t="str">
        <f>IFERROR(__xludf.DUMMYFUNCTION("""COMPUTED_VALUE"""),"Good")</f>
        <v>Good</v>
      </c>
      <c r="U71" t="str">
        <f>IFERROR(__xludf.DUMMYFUNCTION("""COMPUTED_VALUE"""),"Good")</f>
        <v>Good</v>
      </c>
      <c r="V71" t="str">
        <f>IFERROR(__xludf.DUMMYFUNCTION("""COMPUTED_VALUE"""),"Good")</f>
        <v>Good</v>
      </c>
      <c r="W71" t="str">
        <f>IFERROR(__xludf.DUMMYFUNCTION("""COMPUTED_VALUE"""),"Good")</f>
        <v>Good</v>
      </c>
      <c r="X71" t="str">
        <f>IFERROR(__xludf.DUMMYFUNCTION("""COMPUTED_VALUE"""),"Good")</f>
        <v>Good</v>
      </c>
      <c r="Y71" t="str">
        <f>IFERROR(__xludf.DUMMYFUNCTION("""COMPUTED_VALUE"""),"Good")</f>
        <v>Good</v>
      </c>
      <c r="Z71" t="str">
        <f>IFERROR(__xludf.DUMMYFUNCTION("""COMPUTED_VALUE"""),"Good")</f>
        <v>Good</v>
      </c>
      <c r="AA71" t="str">
        <f>IFERROR(__xludf.DUMMYFUNCTION("""COMPUTED_VALUE"""),"Good")</f>
        <v>Good</v>
      </c>
      <c r="AB71" t="str">
        <f>IFERROR(__xludf.DUMMYFUNCTION("""COMPUTED_VALUE"""),"Good")</f>
        <v>Good</v>
      </c>
      <c r="AC71" t="str">
        <f>IFERROR(__xludf.DUMMYFUNCTION("""COMPUTED_VALUE"""),"Good")</f>
        <v>Good</v>
      </c>
      <c r="AE71" s="11"/>
      <c r="AF71" t="b">
        <v>0</v>
      </c>
      <c r="AG71" s="17" t="s">
        <v>18</v>
      </c>
      <c r="AH71" s="12"/>
      <c r="AI71" s="12" t="s">
        <v>151</v>
      </c>
      <c r="AJ71" s="19" t="s">
        <v>152</v>
      </c>
      <c r="AK71" s="20" t="str">
        <f>HYPERLINK("https://docs.google.com/document/d/1QBVhj8T9wlvA9MtmpE0nIHEBCK43PFkjVDTBjO99NHM/edit?usp=drivesdk","Ben Mowbray - 5/30/2018 12:00 PM")</f>
        <v>Ben Mowbray - 5/30/2018 12:00 PM</v>
      </c>
      <c r="AL71" s="12" t="s">
        <v>153</v>
      </c>
    </row>
    <row r="72">
      <c r="A72" s="10">
        <f>IFERROR(__xludf.DUMMYFUNCTION("""COMPUTED_VALUE"""),43250.488843298604)</f>
        <v>43250.48884</v>
      </c>
      <c r="B72" s="11" t="str">
        <f>IFERROR(__xludf.DUMMYFUNCTION("""COMPUTED_VALUE"""),"Silas Tanner")</f>
        <v>Silas Tanner</v>
      </c>
      <c r="C72" t="str">
        <f>IFERROR(__xludf.DUMMYFUNCTION("""COMPUTED_VALUE"""),"silas.tanner@floridadep.gov")</f>
        <v>silas.tanner@floridadep.gov</v>
      </c>
      <c r="D72" t="str">
        <f>IFERROR(__xludf.DUMMYFUNCTION("""COMPUTED_VALUE"""),"Research")</f>
        <v>Research</v>
      </c>
      <c r="E72" t="str">
        <f>IFERROR(__xludf.DUMMYFUNCTION("""COMPUTED_VALUE"""),"Vilano Ramp; Green Rd")</f>
        <v>Vilano Ramp; Green Rd</v>
      </c>
      <c r="F72" s="13">
        <f>IFERROR(__xludf.DUMMYFUNCTION("""COMPUTED_VALUE"""),0.3645833333321207)</f>
        <v>0.3645833333</v>
      </c>
      <c r="G72" s="14">
        <f>IFERROR(__xludf.DUMMYFUNCTION("""COMPUTED_VALUE"""),43251.0)</f>
        <v>43251</v>
      </c>
      <c r="H72" t="str">
        <f>IFERROR(__xludf.DUMMYFUNCTION("""COMPUTED_VALUE"""),"ICW - SWMP sites")</f>
        <v>ICW - SWMP sites</v>
      </c>
      <c r="I72" s="15">
        <f>IFERROR(__xludf.DUMMYFUNCTION("""COMPUTED_VALUE"""),0.5833333333321207)</f>
        <v>0.5833333333</v>
      </c>
      <c r="J72" s="16">
        <f>IFERROR(__xludf.DUMMYFUNCTION("""COMPUTED_VALUE"""),43251.60416666667)</f>
        <v>43251.60417</v>
      </c>
      <c r="K72" t="str">
        <f>IFERROR(__xludf.DUMMYFUNCTION("""COMPUTED_VALUE"""),"20ft Sea Ark FL5351SJ UNF 2015")</f>
        <v>20ft Sea Ark FL5351SJ UNF 2015</v>
      </c>
      <c r="M72" t="str">
        <f>IFERROR(__xludf.DUMMYFUNCTION("""COMPUTED_VALUE"""),"Ford F250 2017 (Moby Dix) - DEP0021578")</f>
        <v>Ford F250 2017 (Moby Dix) - DEP0021578</v>
      </c>
      <c r="N72" t="str">
        <f>IFERROR(__xludf.DUMMYFUNCTION("""COMPUTED_VALUE"""),"Silas Tanner, (904) 483-8423, Remo Mondazi")</f>
        <v>Silas Tanner, (904) 483-8423, Remo Mondazi</v>
      </c>
      <c r="P72" t="str">
        <f>IFERROR(__xludf.DUMMYFUNCTION("""COMPUTED_VALUE"""),"Silas Tanner")</f>
        <v>Silas Tanner</v>
      </c>
      <c r="Q72" t="str">
        <f>IFERROR(__xludf.DUMMYFUNCTION("""COMPUTED_VALUE"""),"Good")</f>
        <v>Good</v>
      </c>
      <c r="R72" t="str">
        <f>IFERROR(__xludf.DUMMYFUNCTION("""COMPUTED_VALUE"""),"Good")</f>
        <v>Good</v>
      </c>
      <c r="S72" t="str">
        <f>IFERROR(__xludf.DUMMYFUNCTION("""COMPUTED_VALUE"""),"Good")</f>
        <v>Good</v>
      </c>
      <c r="T72" t="str">
        <f>IFERROR(__xludf.DUMMYFUNCTION("""COMPUTED_VALUE"""),"Good")</f>
        <v>Good</v>
      </c>
      <c r="U72" t="str">
        <f>IFERROR(__xludf.DUMMYFUNCTION("""COMPUTED_VALUE"""),"Good")</f>
        <v>Good</v>
      </c>
      <c r="V72" t="str">
        <f>IFERROR(__xludf.DUMMYFUNCTION("""COMPUTED_VALUE"""),"Good")</f>
        <v>Good</v>
      </c>
      <c r="W72" t="str">
        <f>IFERROR(__xludf.DUMMYFUNCTION("""COMPUTED_VALUE"""),"Good")</f>
        <v>Good</v>
      </c>
      <c r="X72" t="str">
        <f>IFERROR(__xludf.DUMMYFUNCTION("""COMPUTED_VALUE"""),"Good")</f>
        <v>Good</v>
      </c>
      <c r="Y72" t="str">
        <f>IFERROR(__xludf.DUMMYFUNCTION("""COMPUTED_VALUE"""),"Good")</f>
        <v>Good</v>
      </c>
      <c r="Z72" t="str">
        <f>IFERROR(__xludf.DUMMYFUNCTION("""COMPUTED_VALUE"""),"Good")</f>
        <v>Good</v>
      </c>
      <c r="AA72" t="str">
        <f>IFERROR(__xludf.DUMMYFUNCTION("""COMPUTED_VALUE"""),"Good")</f>
        <v>Good</v>
      </c>
      <c r="AB72" t="str">
        <f>IFERROR(__xludf.DUMMYFUNCTION("""COMPUTED_VALUE"""),"Good")</f>
        <v>Good</v>
      </c>
      <c r="AC72" t="str">
        <f>IFERROR(__xludf.DUMMYFUNCTION("""COMPUTED_VALUE"""),"Good")</f>
        <v>Good</v>
      </c>
      <c r="AE72" s="11"/>
      <c r="AF72" t="b">
        <v>0</v>
      </c>
      <c r="AG72" s="17" t="s">
        <v>18</v>
      </c>
      <c r="AH72" s="12"/>
      <c r="AI72" s="12" t="s">
        <v>154</v>
      </c>
      <c r="AJ72" s="19" t="s">
        <v>155</v>
      </c>
      <c r="AK72" s="20" t="str">
        <f>HYPERLINK("https://docs.google.com/document/d/18xsY3dGulHPGl_CAhmxP1foemiasC677-RRywmPh4mc/edit?usp=drivesdk","Silas Tanner - 5/31/2018 8:45 AM")</f>
        <v>Silas Tanner - 5/31/2018 8:45 AM</v>
      </c>
      <c r="AL72" s="12" t="s">
        <v>156</v>
      </c>
    </row>
    <row r="73">
      <c r="A73" s="10">
        <f>IFERROR(__xludf.DUMMYFUNCTION("""COMPUTED_VALUE"""),43251.47559137731)</f>
        <v>43251.47559</v>
      </c>
      <c r="B73" s="11" t="str">
        <f>IFERROR(__xludf.DUMMYFUNCTION("""COMPUTED_VALUE"""),"Ben Mowbray")</f>
        <v>Ben Mowbray</v>
      </c>
      <c r="C73" t="str">
        <f>IFERROR(__xludf.DUMMYFUNCTION("""COMPUTED_VALUE"""),"ben.mowbray@dep.state.fl.us")</f>
        <v>ben.mowbray@dep.state.fl.us</v>
      </c>
      <c r="D73" t="str">
        <f>IFERROR(__xludf.DUMMYFUNCTION("""COMPUTED_VALUE"""),"Research")</f>
        <v>Research</v>
      </c>
      <c r="E73" t="str">
        <f>IFERROR(__xludf.DUMMYFUNCTION("""COMPUTED_VALUE"""),"Green Rd.")</f>
        <v>Green Rd.</v>
      </c>
      <c r="F73" s="13">
        <f>IFERROR(__xludf.DUMMYFUNCTION("""COMPUTED_VALUE"""),0.5416666666678793)</f>
        <v>0.5416666667</v>
      </c>
      <c r="G73" s="14">
        <f>IFERROR(__xludf.DUMMYFUNCTION("""COMPUTED_VALUE"""),43251.0)</f>
        <v>43251</v>
      </c>
      <c r="H73" t="str">
        <f>IFERROR(__xludf.DUMMYFUNCTION("""COMPUTED_VALUE"""),"Kimbro Sites")</f>
        <v>Kimbro Sites</v>
      </c>
      <c r="I73" s="15">
        <f>IFERROR(__xludf.DUMMYFUNCTION("""COMPUTED_VALUE"""),0.7916666666678793)</f>
        <v>0.7916666667</v>
      </c>
      <c r="J73" s="16">
        <f>IFERROR(__xludf.DUMMYFUNCTION("""COMPUTED_VALUE"""),43251.83333333333)</f>
        <v>43251.83333</v>
      </c>
      <c r="K73" t="str">
        <f>IFERROR(__xludf.DUMMYFUNCTION("""COMPUTED_VALUE"""),"23ft Skiff (Bertha) FL7972LJ DEP07613, Kayak(s)")</f>
        <v>23ft Skiff (Bertha) FL7972LJ DEP07613, Kayak(s)</v>
      </c>
      <c r="L73">
        <f>IFERROR(__xludf.DUMMYFUNCTION("""COMPUTED_VALUE"""),2.0)</f>
        <v>2</v>
      </c>
      <c r="M73" t="str">
        <f>IFERROR(__xludf.DUMMYFUNCTION("""COMPUTED_VALUE"""),"Ford F150 2008 - DEP18041 (SWMP Thing)")</f>
        <v>Ford F150 2008 - DEP18041 (SWMP Thing)</v>
      </c>
      <c r="N73" t="str">
        <f>IFERROR(__xludf.DUMMYFUNCTION("""COMPUTED_VALUE"""),"Pam Marcum, (480) 332-5414, Ben Mowbray, (407) 962-8782")</f>
        <v>Pam Marcum, (480) 332-5414, Ben Mowbray, (407) 962-8782</v>
      </c>
      <c r="O73" t="str">
        <f>IFERROR(__xludf.DUMMYFUNCTION("""COMPUTED_VALUE"""),"Craig + Kimbro's team")</f>
        <v>Craig + Kimbro's team</v>
      </c>
      <c r="P73" t="str">
        <f>IFERROR(__xludf.DUMMYFUNCTION("""COMPUTED_VALUE"""),"Ben")</f>
        <v>Ben</v>
      </c>
      <c r="Q73" t="str">
        <f>IFERROR(__xludf.DUMMYFUNCTION("""COMPUTED_VALUE"""),"Good")</f>
        <v>Good</v>
      </c>
      <c r="R73" t="str">
        <f>IFERROR(__xludf.DUMMYFUNCTION("""COMPUTED_VALUE"""),"Good")</f>
        <v>Good</v>
      </c>
      <c r="S73" t="str">
        <f>IFERROR(__xludf.DUMMYFUNCTION("""COMPUTED_VALUE"""),"Good")</f>
        <v>Good</v>
      </c>
      <c r="T73" t="str">
        <f>IFERROR(__xludf.DUMMYFUNCTION("""COMPUTED_VALUE"""),"Good")</f>
        <v>Good</v>
      </c>
      <c r="U73" t="str">
        <f>IFERROR(__xludf.DUMMYFUNCTION("""COMPUTED_VALUE"""),"Good")</f>
        <v>Good</v>
      </c>
      <c r="V73" t="str">
        <f>IFERROR(__xludf.DUMMYFUNCTION("""COMPUTED_VALUE"""),"Good")</f>
        <v>Good</v>
      </c>
      <c r="W73" t="str">
        <f>IFERROR(__xludf.DUMMYFUNCTION("""COMPUTED_VALUE"""),"Good")</f>
        <v>Good</v>
      </c>
      <c r="X73" t="str">
        <f>IFERROR(__xludf.DUMMYFUNCTION("""COMPUTED_VALUE"""),"Good")</f>
        <v>Good</v>
      </c>
      <c r="Y73" t="str">
        <f>IFERROR(__xludf.DUMMYFUNCTION("""COMPUTED_VALUE"""),"Good")</f>
        <v>Good</v>
      </c>
      <c r="Z73" t="str">
        <f>IFERROR(__xludf.DUMMYFUNCTION("""COMPUTED_VALUE"""),"Good")</f>
        <v>Good</v>
      </c>
      <c r="AA73" t="str">
        <f>IFERROR(__xludf.DUMMYFUNCTION("""COMPUTED_VALUE"""),"Good")</f>
        <v>Good</v>
      </c>
      <c r="AB73" t="str">
        <f>IFERROR(__xludf.DUMMYFUNCTION("""COMPUTED_VALUE"""),"Good")</f>
        <v>Good</v>
      </c>
      <c r="AC73" t="str">
        <f>IFERROR(__xludf.DUMMYFUNCTION("""COMPUTED_VALUE"""),"Good")</f>
        <v>Good</v>
      </c>
      <c r="AE73" s="11"/>
      <c r="AF73" t="b">
        <v>0</v>
      </c>
      <c r="AG73" s="17" t="s">
        <v>43</v>
      </c>
      <c r="AH73" s="12"/>
      <c r="AI73" s="12" t="s">
        <v>157</v>
      </c>
      <c r="AJ73" s="19" t="s">
        <v>158</v>
      </c>
      <c r="AK73" s="20" t="str">
        <f>HYPERLINK("https://docs.google.com/document/d/1GGxNyt9MBnblp9Zx3L_z8an_bzsgGlS6W15cDVnm3fk/edit?usp=drivesdk","Ben Mowbray - 5/31/2018 1:00 PM")</f>
        <v>Ben Mowbray - 5/31/2018 1:00 PM</v>
      </c>
      <c r="AL73" s="12" t="s">
        <v>159</v>
      </c>
    </row>
    <row r="74">
      <c r="A74" s="10">
        <f>IFERROR(__xludf.DUMMYFUNCTION("""COMPUTED_VALUE"""),43252.41232859954)</f>
        <v>43252.41233</v>
      </c>
      <c r="B74" s="11" t="str">
        <f>IFERROR(__xludf.DUMMYFUNCTION("""COMPUTED_VALUE"""),"Pamela Marcum")</f>
        <v>Pamela Marcum</v>
      </c>
      <c r="C74" t="str">
        <f>IFERROR(__xludf.DUMMYFUNCTION("""COMPUTED_VALUE"""),"Pamela.Marcum@dep.state.fl.us")</f>
        <v>Pamela.Marcum@dep.state.fl.us</v>
      </c>
      <c r="D74" t="str">
        <f>IFERROR(__xludf.DUMMYFUNCTION("""COMPUTED_VALUE"""),"Research")</f>
        <v>Research</v>
      </c>
      <c r="E74" t="str">
        <f>IFERROR(__xludf.DUMMYFUNCTION("""COMPUTED_VALUE"""),"Whitney Lab")</f>
        <v>Whitney Lab</v>
      </c>
      <c r="F74" s="13">
        <f>IFERROR(__xludf.DUMMYFUNCTION("""COMPUTED_VALUE"""),0.4583333333321207)</f>
        <v>0.4583333333</v>
      </c>
      <c r="G74" s="14">
        <f>IFERROR(__xludf.DUMMYFUNCTION("""COMPUTED_VALUE"""),43252.0)</f>
        <v>43252</v>
      </c>
      <c r="H74" t="str">
        <f>IFERROR(__xludf.DUMMYFUNCTION("""COMPUTED_VALUE"""),"Fort Matanzas area")</f>
        <v>Fort Matanzas area</v>
      </c>
      <c r="I74" s="15">
        <f>IFERROR(__xludf.DUMMYFUNCTION("""COMPUTED_VALUE"""),0.6666666666678793)</f>
        <v>0.6666666667</v>
      </c>
      <c r="J74" s="16">
        <f>IFERROR(__xludf.DUMMYFUNCTION("""COMPUTED_VALUE"""),43253.70833333333)</f>
        <v>43253.70833</v>
      </c>
      <c r="K74" t="str">
        <f>IFERROR(__xludf.DUMMYFUNCTION("""COMPUTED_VALUE"""),"20ft Sea Ark FL5351SJ UNF 2015")</f>
        <v>20ft Sea Ark FL5351SJ UNF 2015</v>
      </c>
      <c r="M74" t="str">
        <f>IFERROR(__xludf.DUMMYFUNCTION("""COMPUTED_VALUE"""),"Ford F150 2008 - DEP18041 (SWMP Thing)")</f>
        <v>Ford F150 2008 - DEP18041 (SWMP Thing)</v>
      </c>
      <c r="N74" t="str">
        <f>IFERROR(__xludf.DUMMYFUNCTION("""COMPUTED_VALUE"""),"Pam Marcum, (480) 332-5414")</f>
        <v>Pam Marcum, (480) 332-5414</v>
      </c>
      <c r="O74" t="str">
        <f>IFERROR(__xludf.DUMMYFUNCTION("""COMPUTED_VALUE"""),"Tricia Kaiser, Eben Broadbent")</f>
        <v>Tricia Kaiser, Eben Broadbent</v>
      </c>
      <c r="P74" t="str">
        <f>IFERROR(__xludf.DUMMYFUNCTION("""COMPUTED_VALUE"""),"Pam Marcum")</f>
        <v>Pam Marcum</v>
      </c>
      <c r="Q74" t="str">
        <f>IFERROR(__xludf.DUMMYFUNCTION("""COMPUTED_VALUE"""),"Good")</f>
        <v>Good</v>
      </c>
      <c r="R74" t="str">
        <f>IFERROR(__xludf.DUMMYFUNCTION("""COMPUTED_VALUE"""),"Good")</f>
        <v>Good</v>
      </c>
      <c r="S74" t="str">
        <f>IFERROR(__xludf.DUMMYFUNCTION("""COMPUTED_VALUE"""),"Good")</f>
        <v>Good</v>
      </c>
      <c r="T74" t="str">
        <f>IFERROR(__xludf.DUMMYFUNCTION("""COMPUTED_VALUE"""),"Good")</f>
        <v>Good</v>
      </c>
      <c r="U74" t="str">
        <f>IFERROR(__xludf.DUMMYFUNCTION("""COMPUTED_VALUE"""),"Good")</f>
        <v>Good</v>
      </c>
      <c r="V74" t="str">
        <f>IFERROR(__xludf.DUMMYFUNCTION("""COMPUTED_VALUE"""),"Good")</f>
        <v>Good</v>
      </c>
      <c r="W74" t="str">
        <f>IFERROR(__xludf.DUMMYFUNCTION("""COMPUTED_VALUE"""),"Good")</f>
        <v>Good</v>
      </c>
      <c r="X74" t="str">
        <f>IFERROR(__xludf.DUMMYFUNCTION("""COMPUTED_VALUE"""),"Good")</f>
        <v>Good</v>
      </c>
      <c r="Y74" t="str">
        <f>IFERROR(__xludf.DUMMYFUNCTION("""COMPUTED_VALUE"""),"Good")</f>
        <v>Good</v>
      </c>
      <c r="Z74" t="str">
        <f>IFERROR(__xludf.DUMMYFUNCTION("""COMPUTED_VALUE"""),"Good")</f>
        <v>Good</v>
      </c>
      <c r="AA74" t="str">
        <f>IFERROR(__xludf.DUMMYFUNCTION("""COMPUTED_VALUE"""),"Good")</f>
        <v>Good</v>
      </c>
      <c r="AB74" t="str">
        <f>IFERROR(__xludf.DUMMYFUNCTION("""COMPUTED_VALUE"""),"Good")</f>
        <v>Good</v>
      </c>
      <c r="AC74" t="str">
        <f>IFERROR(__xludf.DUMMYFUNCTION("""COMPUTED_VALUE"""),"Good")</f>
        <v>Good</v>
      </c>
      <c r="AE74" s="11"/>
      <c r="AF74" t="b">
        <v>0</v>
      </c>
      <c r="AG74" s="17" t="s">
        <v>43</v>
      </c>
      <c r="AH74" s="12"/>
      <c r="AI74" s="12" t="s">
        <v>160</v>
      </c>
      <c r="AJ74" s="19" t="s">
        <v>161</v>
      </c>
      <c r="AK74" s="20" t="str">
        <f>HYPERLINK("https://docs.google.com/document/d/1Meihg5Jrur5EeX5nc6SpgFu2CqSqHvOVRaDjMu8Kzjw/edit?usp=drivesdk","Pamela Marcum - 6/1/2018 11:00 AM")</f>
        <v>Pamela Marcum - 6/1/2018 11:00 AM</v>
      </c>
      <c r="AL74" s="12" t="s">
        <v>162</v>
      </c>
    </row>
    <row r="75">
      <c r="A75" s="10">
        <f>IFERROR(__xludf.DUMMYFUNCTION("""COMPUTED_VALUE"""),43252.97022325232)</f>
        <v>43252.97022</v>
      </c>
      <c r="B75" s="11" t="str">
        <f>IFERROR(__xludf.DUMMYFUNCTION("""COMPUTED_VALUE"""),"Pamela Marcum")</f>
        <v>Pamela Marcum</v>
      </c>
      <c r="C75" t="str">
        <f>IFERROR(__xludf.DUMMYFUNCTION("""COMPUTED_VALUE"""),"Pamela.Marcum@dep.state.fl.us")</f>
        <v>Pamela.Marcum@dep.state.fl.us</v>
      </c>
      <c r="D75" t="str">
        <f>IFERROR(__xludf.DUMMYFUNCTION("""COMPUTED_VALUE"""),"Research")</f>
        <v>Research</v>
      </c>
      <c r="E75" t="str">
        <f>IFERROR(__xludf.DUMMYFUNCTION("""COMPUTED_VALUE"""),"Douglas Crane Park Shore Dr. ")</f>
        <v>Douglas Crane Park Shore Dr. </v>
      </c>
      <c r="F75" s="13">
        <f>IFERROR(__xludf.DUMMYFUNCTION("""COMPUTED_VALUE"""),0.25)</f>
        <v>0.25</v>
      </c>
      <c r="G75" s="14">
        <f>IFERROR(__xludf.DUMMYFUNCTION("""COMPUTED_VALUE"""),43253.0)</f>
        <v>43253</v>
      </c>
      <c r="H75" t="str">
        <f>IFERROR(__xludf.DUMMYFUNCTION("""COMPUTED_VALUE"""),"Spat sites")</f>
        <v>Spat sites</v>
      </c>
      <c r="I75" s="15">
        <f>IFERROR(__xludf.DUMMYFUNCTION("""COMPUTED_VALUE"""),0.5)</f>
        <v>0.5</v>
      </c>
      <c r="J75" s="16">
        <f>IFERROR(__xludf.DUMMYFUNCTION("""COMPUTED_VALUE"""),43252.54166666667)</f>
        <v>43252.54167</v>
      </c>
      <c r="K75" t="str">
        <f>IFERROR(__xludf.DUMMYFUNCTION("""COMPUTED_VALUE"""),"20ft Sea Ark FL5351SJ UNF 2015")</f>
        <v>20ft Sea Ark FL5351SJ UNF 2015</v>
      </c>
      <c r="M75" t="str">
        <f>IFERROR(__xludf.DUMMYFUNCTION("""COMPUTED_VALUE"""),"Ford F150 2008 - DEP18041 (SWMP Thing)")</f>
        <v>Ford F150 2008 - DEP18041 (SWMP Thing)</v>
      </c>
      <c r="N75" t="str">
        <f>IFERROR(__xludf.DUMMYFUNCTION("""COMPUTED_VALUE"""),"Pam Marcum, (480) 332-5414")</f>
        <v>Pam Marcum, (480) 332-5414</v>
      </c>
      <c r="O75" t="str">
        <f>IFERROR(__xludf.DUMMYFUNCTION("""COMPUTED_VALUE"""),"David Kimbro, Rodrigo")</f>
        <v>David Kimbro, Rodrigo</v>
      </c>
      <c r="P75" t="str">
        <f>IFERROR(__xludf.DUMMYFUNCTION("""COMPUTED_VALUE"""),"Pam")</f>
        <v>Pam</v>
      </c>
      <c r="Q75" t="str">
        <f>IFERROR(__xludf.DUMMYFUNCTION("""COMPUTED_VALUE"""),"Good")</f>
        <v>Good</v>
      </c>
      <c r="R75" t="str">
        <f>IFERROR(__xludf.DUMMYFUNCTION("""COMPUTED_VALUE"""),"Good")</f>
        <v>Good</v>
      </c>
      <c r="S75" t="str">
        <f>IFERROR(__xludf.DUMMYFUNCTION("""COMPUTED_VALUE"""),"Good")</f>
        <v>Good</v>
      </c>
      <c r="T75" t="str">
        <f>IFERROR(__xludf.DUMMYFUNCTION("""COMPUTED_VALUE"""),"Good")</f>
        <v>Good</v>
      </c>
      <c r="U75" t="str">
        <f>IFERROR(__xludf.DUMMYFUNCTION("""COMPUTED_VALUE"""),"Good")</f>
        <v>Good</v>
      </c>
      <c r="V75" t="str">
        <f>IFERROR(__xludf.DUMMYFUNCTION("""COMPUTED_VALUE"""),"Good")</f>
        <v>Good</v>
      </c>
      <c r="W75" t="str">
        <f>IFERROR(__xludf.DUMMYFUNCTION("""COMPUTED_VALUE"""),"Good")</f>
        <v>Good</v>
      </c>
      <c r="X75" t="str">
        <f>IFERROR(__xludf.DUMMYFUNCTION("""COMPUTED_VALUE"""),"Good")</f>
        <v>Good</v>
      </c>
      <c r="Y75" t="str">
        <f>IFERROR(__xludf.DUMMYFUNCTION("""COMPUTED_VALUE"""),"Good")</f>
        <v>Good</v>
      </c>
      <c r="Z75" t="str">
        <f>IFERROR(__xludf.DUMMYFUNCTION("""COMPUTED_VALUE"""),"Good")</f>
        <v>Good</v>
      </c>
      <c r="AA75" t="str">
        <f>IFERROR(__xludf.DUMMYFUNCTION("""COMPUTED_VALUE"""),"Good")</f>
        <v>Good</v>
      </c>
      <c r="AB75" t="str">
        <f>IFERROR(__xludf.DUMMYFUNCTION("""COMPUTED_VALUE"""),"Good")</f>
        <v>Good</v>
      </c>
      <c r="AC75" t="str">
        <f>IFERROR(__xludf.DUMMYFUNCTION("""COMPUTED_VALUE"""),"Good")</f>
        <v>Good</v>
      </c>
      <c r="AE75" s="11"/>
      <c r="AF75" t="b">
        <v>0</v>
      </c>
      <c r="AG75" s="17" t="s">
        <v>43</v>
      </c>
      <c r="AH75" s="12"/>
      <c r="AI75" s="12" t="s">
        <v>163</v>
      </c>
      <c r="AJ75" s="19" t="s">
        <v>164</v>
      </c>
      <c r="AK75" s="20" t="str">
        <f>HYPERLINK("https://docs.google.com/document/d/1_BU8DyN37-pP7dXayBuVa2UgN4SSVZhJ2PswBb3iWpA/edit?usp=drivesdk","Pamela Marcum - 6/2/2018 6:00 AM")</f>
        <v>Pamela Marcum - 6/2/2018 6:00 AM</v>
      </c>
      <c r="AL75" s="12" t="s">
        <v>165</v>
      </c>
    </row>
    <row r="76">
      <c r="A76" s="10">
        <f>IFERROR(__xludf.DUMMYFUNCTION("""COMPUTED_VALUE"""),43255.50650001157)</f>
        <v>43255.5065</v>
      </c>
      <c r="B76" s="11" t="str">
        <f>IFERROR(__xludf.DUMMYFUNCTION("""COMPUTED_VALUE"""),"Kenneth Rainer")</f>
        <v>Kenneth Rainer</v>
      </c>
      <c r="C76" t="str">
        <f>IFERROR(__xludf.DUMMYFUNCTION("""COMPUTED_VALUE"""),"Kenneth.Rainer@dep.state.fl.us")</f>
        <v>Kenneth.Rainer@dep.state.fl.us</v>
      </c>
      <c r="D76" t="str">
        <f>IFERROR(__xludf.DUMMYFUNCTION("""COMPUTED_VALUE"""),"Education")</f>
        <v>Education</v>
      </c>
      <c r="E76" t="str">
        <f>IFERROR(__xludf.DUMMYFUNCTION("""COMPUTED_VALUE"""),"Green Road Boat Ramp")</f>
        <v>Green Road Boat Ramp</v>
      </c>
      <c r="F76" s="13">
        <f>IFERROR(__xludf.DUMMYFUNCTION("""COMPUTED_VALUE"""),0.4166666666678793)</f>
        <v>0.4166666667</v>
      </c>
      <c r="G76" s="14">
        <f>IFERROR(__xludf.DUMMYFUNCTION("""COMPUTED_VALUE"""),43256.0)</f>
        <v>43256</v>
      </c>
      <c r="H76" t="str">
        <f>IFERROR(__xludf.DUMMYFUNCTION("""COMPUTED_VALUE"""),"Jason's Creek/ Matanzas Inlet")</f>
        <v>Jason's Creek/ Matanzas Inlet</v>
      </c>
      <c r="I76" s="15">
        <f>IFERROR(__xludf.DUMMYFUNCTION("""COMPUTED_VALUE"""),0.6458333333321207)</f>
        <v>0.6458333333</v>
      </c>
      <c r="J76" s="16">
        <f>IFERROR(__xludf.DUMMYFUNCTION("""COMPUTED_VALUE"""),43257.64583333333)</f>
        <v>43257.64583</v>
      </c>
      <c r="K76" t="str">
        <f>IFERROR(__xludf.DUMMYFUNCTION("""COMPUTED_VALUE"""),"23ft Skiff (Bertha) FL7972LJ DEP07613, Kayak(s)")</f>
        <v>23ft Skiff (Bertha) FL7972LJ DEP07613, Kayak(s)</v>
      </c>
      <c r="L76">
        <f>IFERROR(__xludf.DUMMYFUNCTION("""COMPUTED_VALUE"""),6.0)</f>
        <v>6</v>
      </c>
      <c r="M76" t="str">
        <f>IFERROR(__xludf.DUMMYFUNCTION("""COMPUTED_VALUE"""),"Ford F250 2017 (Moby Dix) - DEP0021578")</f>
        <v>Ford F250 2017 (Moby Dix) - DEP0021578</v>
      </c>
      <c r="N76" t="str">
        <f>IFERROR(__xludf.DUMMYFUNCTION("""COMPUTED_VALUE"""),"Kenneth Rainer, (936) 499-1853, Jimmy Tomazinis, (904) 547-0094")</f>
        <v>Kenneth Rainer, (936) 499-1853, Jimmy Tomazinis, (904) 547-0094</v>
      </c>
      <c r="O76" t="str">
        <f>IFERROR(__xludf.DUMMYFUNCTION("""COMPUTED_VALUE"""),"Gabriela Canas, (904) 891-9743, Emma Hanson, Summer Campers and Summer Camp Interns")</f>
        <v>Gabriela Canas, (904) 891-9743, Emma Hanson, Summer Campers and Summer Camp Interns</v>
      </c>
      <c r="P76" t="str">
        <f>IFERROR(__xludf.DUMMYFUNCTION("""COMPUTED_VALUE"""),"Kenneth Rainer")</f>
        <v>Kenneth Rainer</v>
      </c>
      <c r="Q76" t="str">
        <f>IFERROR(__xludf.DUMMYFUNCTION("""COMPUTED_VALUE"""),"Good")</f>
        <v>Good</v>
      </c>
      <c r="R76" t="str">
        <f>IFERROR(__xludf.DUMMYFUNCTION("""COMPUTED_VALUE"""),"Good")</f>
        <v>Good</v>
      </c>
      <c r="S76" t="str">
        <f>IFERROR(__xludf.DUMMYFUNCTION("""COMPUTED_VALUE"""),"Good")</f>
        <v>Good</v>
      </c>
      <c r="T76" t="str">
        <f>IFERROR(__xludf.DUMMYFUNCTION("""COMPUTED_VALUE"""),"Good")</f>
        <v>Good</v>
      </c>
      <c r="U76" t="str">
        <f>IFERROR(__xludf.DUMMYFUNCTION("""COMPUTED_VALUE"""),"Good")</f>
        <v>Good</v>
      </c>
      <c r="V76" t="str">
        <f>IFERROR(__xludf.DUMMYFUNCTION("""COMPUTED_VALUE"""),"Good")</f>
        <v>Good</v>
      </c>
      <c r="W76" t="str">
        <f>IFERROR(__xludf.DUMMYFUNCTION("""COMPUTED_VALUE"""),"Good")</f>
        <v>Good</v>
      </c>
      <c r="X76" t="str">
        <f>IFERROR(__xludf.DUMMYFUNCTION("""COMPUTED_VALUE"""),"Good")</f>
        <v>Good</v>
      </c>
      <c r="Y76" t="str">
        <f>IFERROR(__xludf.DUMMYFUNCTION("""COMPUTED_VALUE"""),"Good")</f>
        <v>Good</v>
      </c>
      <c r="Z76" t="str">
        <f>IFERROR(__xludf.DUMMYFUNCTION("""COMPUTED_VALUE"""),"Good")</f>
        <v>Good</v>
      </c>
      <c r="AA76" t="str">
        <f>IFERROR(__xludf.DUMMYFUNCTION("""COMPUTED_VALUE"""),"Good")</f>
        <v>Good</v>
      </c>
      <c r="AB76" t="str">
        <f>IFERROR(__xludf.DUMMYFUNCTION("""COMPUTED_VALUE"""),"Good")</f>
        <v>Good</v>
      </c>
      <c r="AC76" t="str">
        <f>IFERROR(__xludf.DUMMYFUNCTION("""COMPUTED_VALUE"""),"Good")</f>
        <v>Good</v>
      </c>
      <c r="AD76" t="str">
        <f>IFERROR(__xludf.DUMMYFUNCTION("""COMPUTED_VALUE"""),"88F; 2%; 7 mph WNW")</f>
        <v>88F; 2%; 7 mph WNW</v>
      </c>
      <c r="AE76" s="11" t="str">
        <f>IFERROR(__xludf.DUMMYFUNCTION("""COMPUTED_VALUE"""),"H (1:35 a.m. | 3.51ft), L (8:21 a.m. | 0.37ft), H (2:06 p.m. | 2.87ft), L (8:17 p.m. | 0.55ft)")</f>
        <v>H (1:35 a.m. | 3.51ft), L (8:21 a.m. | 0.37ft), H (2:06 p.m. | 2.87ft), L (8:17 p.m. | 0.55ft)</v>
      </c>
      <c r="AF76" t="s">
        <v>9</v>
      </c>
      <c r="AG76" s="17" t="s">
        <v>18</v>
      </c>
      <c r="AH76" s="12"/>
      <c r="AI76" s="12" t="s">
        <v>166</v>
      </c>
      <c r="AJ76" s="19" t="s">
        <v>167</v>
      </c>
      <c r="AK76" s="20" t="str">
        <f>HYPERLINK("https://docs.google.com/document/d/1_99TZLD-k-C9EsSVpSJNccEWzt4WrxyVPB59pY1zq1c/edit?usp=drivesdk","Kenneth Rainer - 6/5/2018 10:00 AM")</f>
        <v>Kenneth Rainer - 6/5/2018 10:00 AM</v>
      </c>
      <c r="AL76" s="12" t="s">
        <v>168</v>
      </c>
    </row>
    <row r="77">
      <c r="A77" s="10">
        <f>IFERROR(__xludf.DUMMYFUNCTION("""COMPUTED_VALUE"""),43255.509085983795)</f>
        <v>43255.50909</v>
      </c>
      <c r="B77" s="11" t="str">
        <f>IFERROR(__xludf.DUMMYFUNCTION("""COMPUTED_VALUE"""),"Jimmy Tomazinis")</f>
        <v>Jimmy Tomazinis</v>
      </c>
      <c r="C77" t="str">
        <f>IFERROR(__xludf.DUMMYFUNCTION("""COMPUTED_VALUE"""),"james.tomazinis@floridadep.gov")</f>
        <v>james.tomazinis@floridadep.gov</v>
      </c>
      <c r="D77" t="str">
        <f>IFERROR(__xludf.DUMMYFUNCTION("""COMPUTED_VALUE"""),"Education")</f>
        <v>Education</v>
      </c>
      <c r="E77" t="str">
        <f>IFERROR(__xludf.DUMMYFUNCTION("""COMPUTED_VALUE"""),"Green Road Boat Ramp")</f>
        <v>Green Road Boat Ramp</v>
      </c>
      <c r="F77" s="13">
        <f>IFERROR(__xludf.DUMMYFUNCTION("""COMPUTED_VALUE"""),0.4166666666678793)</f>
        <v>0.4166666667</v>
      </c>
      <c r="G77" s="14">
        <f>IFERROR(__xludf.DUMMYFUNCTION("""COMPUTED_VALUE"""),43256.0)</f>
        <v>43256</v>
      </c>
      <c r="H77" t="str">
        <f>IFERROR(__xludf.DUMMYFUNCTION("""COMPUTED_VALUE"""),"Jason's Creek / Matanzas Inlet")</f>
        <v>Jason's Creek / Matanzas Inlet</v>
      </c>
      <c r="I77" s="15">
        <f>IFERROR(__xludf.DUMMYFUNCTION("""COMPUTED_VALUE"""),0.6458333333321207)</f>
        <v>0.6458333333</v>
      </c>
      <c r="J77" s="16">
        <f>IFERROR(__xludf.DUMMYFUNCTION("""COMPUTED_VALUE"""),43257.64583333333)</f>
        <v>43257.64583</v>
      </c>
      <c r="K77" t="str">
        <f>IFERROR(__xludf.DUMMYFUNCTION("""COMPUTED_VALUE"""),"F 20ft Sea Ark (Easy 200) FL8534PY DEP21451")</f>
        <v>F 20ft Sea Ark (Easy 200) FL8534PY DEP21451</v>
      </c>
      <c r="M77" t="str">
        <f>IFERROR(__xludf.DUMMYFUNCTION("""COMPUTED_VALUE"""),"Ford F150 2008 - DEP18041 (SWMP Thing)")</f>
        <v>Ford F150 2008 - DEP18041 (SWMP Thing)</v>
      </c>
      <c r="N77" t="str">
        <f>IFERROR(__xludf.DUMMYFUNCTION("""COMPUTED_VALUE"""),"Kenneth Rainer, (936) 499-1853, Jimmy Tomazinis, (904) 547-0094")</f>
        <v>Kenneth Rainer, (936) 499-1853, Jimmy Tomazinis, (904) 547-0094</v>
      </c>
      <c r="O77" t="str">
        <f>IFERROR(__xludf.DUMMYFUNCTION("""COMPUTED_VALUE"""),"Gabriela Canas, (904) 891-9743, Emma Hanson, Summer Campers and Summer Camp Interns")</f>
        <v>Gabriela Canas, (904) 891-9743, Emma Hanson, Summer Campers and Summer Camp Interns</v>
      </c>
      <c r="P77" t="str">
        <f>IFERROR(__xludf.DUMMYFUNCTION("""COMPUTED_VALUE"""),"James Tomazinis")</f>
        <v>James Tomazinis</v>
      </c>
      <c r="Q77" t="str">
        <f>IFERROR(__xludf.DUMMYFUNCTION("""COMPUTED_VALUE"""),"Good")</f>
        <v>Good</v>
      </c>
      <c r="R77" t="str">
        <f>IFERROR(__xludf.DUMMYFUNCTION("""COMPUTED_VALUE"""),"Good")</f>
        <v>Good</v>
      </c>
      <c r="S77" t="str">
        <f>IFERROR(__xludf.DUMMYFUNCTION("""COMPUTED_VALUE"""),"Good")</f>
        <v>Good</v>
      </c>
      <c r="T77" t="str">
        <f>IFERROR(__xludf.DUMMYFUNCTION("""COMPUTED_VALUE"""),"Good")</f>
        <v>Good</v>
      </c>
      <c r="U77" t="str">
        <f>IFERROR(__xludf.DUMMYFUNCTION("""COMPUTED_VALUE"""),"Good")</f>
        <v>Good</v>
      </c>
      <c r="V77" t="str">
        <f>IFERROR(__xludf.DUMMYFUNCTION("""COMPUTED_VALUE"""),"Good")</f>
        <v>Good</v>
      </c>
      <c r="W77" t="str">
        <f>IFERROR(__xludf.DUMMYFUNCTION("""COMPUTED_VALUE"""),"Good")</f>
        <v>Good</v>
      </c>
      <c r="X77" t="str">
        <f>IFERROR(__xludf.DUMMYFUNCTION("""COMPUTED_VALUE"""),"Good")</f>
        <v>Good</v>
      </c>
      <c r="Y77" t="str">
        <f>IFERROR(__xludf.DUMMYFUNCTION("""COMPUTED_VALUE"""),"Good")</f>
        <v>Good</v>
      </c>
      <c r="Z77" t="str">
        <f>IFERROR(__xludf.DUMMYFUNCTION("""COMPUTED_VALUE"""),"Good")</f>
        <v>Good</v>
      </c>
      <c r="AA77" t="str">
        <f>IFERROR(__xludf.DUMMYFUNCTION("""COMPUTED_VALUE"""),"Good")</f>
        <v>Good</v>
      </c>
      <c r="AB77" t="str">
        <f>IFERROR(__xludf.DUMMYFUNCTION("""COMPUTED_VALUE"""),"Good")</f>
        <v>Good</v>
      </c>
      <c r="AC77" t="str">
        <f>IFERROR(__xludf.DUMMYFUNCTION("""COMPUTED_VALUE"""),"Good")</f>
        <v>Good</v>
      </c>
      <c r="AD77" t="str">
        <f>IFERROR(__xludf.DUMMYFUNCTION("""COMPUTED_VALUE"""),"88F; 2%; 7 mph WNW")</f>
        <v>88F; 2%; 7 mph WNW</v>
      </c>
      <c r="AE77" s="11" t="str">
        <f>IFERROR(__xludf.DUMMYFUNCTION("""COMPUTED_VALUE"""),"H (1:35 a.m. | 3.51ft), L (8:21 a.m. | 0.37ft), H (2:06 p.m. | 2.87ft), L (8:17 p.m. | 0.55ft)")</f>
        <v>H (1:35 a.m. | 3.51ft), L (8:21 a.m. | 0.37ft), H (2:06 p.m. | 2.87ft), L (8:17 p.m. | 0.55ft)</v>
      </c>
      <c r="AF77" t="s">
        <v>9</v>
      </c>
      <c r="AG77" s="17" t="s">
        <v>18</v>
      </c>
      <c r="AH77" s="12"/>
      <c r="AI77" s="12" t="s">
        <v>169</v>
      </c>
      <c r="AJ77" s="19" t="s">
        <v>170</v>
      </c>
      <c r="AK77" s="20" t="str">
        <f>HYPERLINK("https://docs.google.com/document/d/1OT1kes3CIgU0ZoBNEpPtzP0zZ3y229Cg9-mTm6wn5UM/edit?usp=drivesdk","Jimmy Tomazinis - 6/5/2018 10:00 AM")</f>
        <v>Jimmy Tomazinis - 6/5/2018 10:00 AM</v>
      </c>
      <c r="AL77" s="12" t="s">
        <v>171</v>
      </c>
    </row>
    <row r="78">
      <c r="A78" s="10">
        <f>IFERROR(__xludf.DUMMYFUNCTION("""COMPUTED_VALUE"""),43255.5117305324)</f>
        <v>43255.51173</v>
      </c>
      <c r="B78" s="11" t="str">
        <f>IFERROR(__xludf.DUMMYFUNCTION("""COMPUTED_VALUE"""),"Kenneth Rainer")</f>
        <v>Kenneth Rainer</v>
      </c>
      <c r="C78" t="str">
        <f>IFERROR(__xludf.DUMMYFUNCTION("""COMPUTED_VALUE"""),"Kenneth.Rainer@dep.state.fl.us")</f>
        <v>Kenneth.Rainer@dep.state.fl.us</v>
      </c>
      <c r="D78" t="str">
        <f>IFERROR(__xludf.DUMMYFUNCTION("""COMPUTED_VALUE"""),"Education")</f>
        <v>Education</v>
      </c>
      <c r="E78" t="str">
        <f>IFERROR(__xludf.DUMMYFUNCTION("""COMPUTED_VALUE"""),"Usina Boat Ramp")</f>
        <v>Usina Boat Ramp</v>
      </c>
      <c r="F78" s="13">
        <f>IFERROR(__xludf.DUMMYFUNCTION("""COMPUTED_VALUE"""),0.3958333333321207)</f>
        <v>0.3958333333</v>
      </c>
      <c r="G78" s="14">
        <f>IFERROR(__xludf.DUMMYFUNCTION("""COMPUTED_VALUE"""),43258.0)</f>
        <v>43258</v>
      </c>
      <c r="H78" t="str">
        <f>IFERROR(__xludf.DUMMYFUNCTION("""COMPUTED_VALUE"""),"Wright's Landing; Shell Bluff; Angelini Project")</f>
        <v>Wright's Landing; Shell Bluff; Angelini Project</v>
      </c>
      <c r="I78" s="15">
        <f>IFERROR(__xludf.DUMMYFUNCTION("""COMPUTED_VALUE"""),0.6458333333321207)</f>
        <v>0.6458333333</v>
      </c>
      <c r="J78" s="16">
        <f>IFERROR(__xludf.DUMMYFUNCTION("""COMPUTED_VALUE"""),43258.66666666667)</f>
        <v>43258.66667</v>
      </c>
      <c r="K78" t="str">
        <f>IFERROR(__xludf.DUMMYFUNCTION("""COMPUTED_VALUE"""),"23ft Skiff (Bertha) FL7972LJ DEP07613")</f>
        <v>23ft Skiff (Bertha) FL7972LJ DEP07613</v>
      </c>
      <c r="M78" t="str">
        <f>IFERROR(__xludf.DUMMYFUNCTION("""COMPUTED_VALUE"""),"Ford F250 2017 (Moby Dix) - DEP0021578")</f>
        <v>Ford F250 2017 (Moby Dix) - DEP0021578</v>
      </c>
      <c r="N78" t="str">
        <f>IFERROR(__xludf.DUMMYFUNCTION("""COMPUTED_VALUE"""),"Kenneth Rainer, (936) 499-1853, Silas Tanner, (904) 483-8423")</f>
        <v>Kenneth Rainer, (936) 499-1853, Silas Tanner, (904) 483-8423</v>
      </c>
      <c r="O78" t="str">
        <f>IFERROR(__xludf.DUMMYFUNCTION("""COMPUTED_VALUE"""),"Gabriela Canas, (904) 891-9743, Emma Hanson, Josie Spearman, (386) 627-0816, Summer Campers and Summer Camp Interns")</f>
        <v>Gabriela Canas, (904) 891-9743, Emma Hanson, Josie Spearman, (386) 627-0816, Summer Campers and Summer Camp Interns</v>
      </c>
      <c r="P78" t="str">
        <f>IFERROR(__xludf.DUMMYFUNCTION("""COMPUTED_VALUE"""),"Kenneth Rainer")</f>
        <v>Kenneth Rainer</v>
      </c>
      <c r="Q78" t="str">
        <f>IFERROR(__xludf.DUMMYFUNCTION("""COMPUTED_VALUE"""),"Good")</f>
        <v>Good</v>
      </c>
      <c r="R78" t="str">
        <f>IFERROR(__xludf.DUMMYFUNCTION("""COMPUTED_VALUE"""),"Good")</f>
        <v>Good</v>
      </c>
      <c r="S78" t="str">
        <f>IFERROR(__xludf.DUMMYFUNCTION("""COMPUTED_VALUE"""),"Good")</f>
        <v>Good</v>
      </c>
      <c r="T78" t="str">
        <f>IFERROR(__xludf.DUMMYFUNCTION("""COMPUTED_VALUE"""),"Good")</f>
        <v>Good</v>
      </c>
      <c r="U78" t="str">
        <f>IFERROR(__xludf.DUMMYFUNCTION("""COMPUTED_VALUE"""),"Good")</f>
        <v>Good</v>
      </c>
      <c r="V78" t="str">
        <f>IFERROR(__xludf.DUMMYFUNCTION("""COMPUTED_VALUE"""),"Good")</f>
        <v>Good</v>
      </c>
      <c r="W78" t="str">
        <f>IFERROR(__xludf.DUMMYFUNCTION("""COMPUTED_VALUE"""),"Good")</f>
        <v>Good</v>
      </c>
      <c r="X78" t="str">
        <f>IFERROR(__xludf.DUMMYFUNCTION("""COMPUTED_VALUE"""),"Good")</f>
        <v>Good</v>
      </c>
      <c r="Y78" t="str">
        <f>IFERROR(__xludf.DUMMYFUNCTION("""COMPUTED_VALUE"""),"Good")</f>
        <v>Good</v>
      </c>
      <c r="Z78" t="str">
        <f>IFERROR(__xludf.DUMMYFUNCTION("""COMPUTED_VALUE"""),"Good")</f>
        <v>Good</v>
      </c>
      <c r="AA78" t="str">
        <f>IFERROR(__xludf.DUMMYFUNCTION("""COMPUTED_VALUE"""),"Good")</f>
        <v>Good</v>
      </c>
      <c r="AB78" t="str">
        <f>IFERROR(__xludf.DUMMYFUNCTION("""COMPUTED_VALUE"""),"Good")</f>
        <v>Good</v>
      </c>
      <c r="AC78" t="str">
        <f>IFERROR(__xludf.DUMMYFUNCTION("""COMPUTED_VALUE"""),"Good")</f>
        <v>Good</v>
      </c>
      <c r="AD78" t="str">
        <f>IFERROR(__xludf.DUMMYFUNCTION("""COMPUTED_VALUE"""),"87F; 34%; 10 mph ESE (scattered thunderstorms and partly cloudy)")</f>
        <v>87F; 34%; 10 mph ESE (scattered thunderstorms and partly cloudy)</v>
      </c>
      <c r="AE78" s="11" t="str">
        <f>IFERROR(__xludf.DUMMYFUNCTION("""COMPUTED_VALUE"""),"H (3:18 a.m. | 3.36ft), L (9:46 a.m. | -0.27ft), H (4:02 p.m. | 3.32ft), L (10:08 p.m. | 0.08ft)")</f>
        <v>H (3:18 a.m. | 3.36ft), L (9:46 a.m. | -0.27ft), H (4:02 p.m. | 3.32ft), L (10:08 p.m. | 0.08ft)</v>
      </c>
      <c r="AF78" t="s">
        <v>9</v>
      </c>
      <c r="AG78" s="17" t="s">
        <v>7</v>
      </c>
      <c r="AH78" s="12"/>
      <c r="AI78" s="12" t="s">
        <v>172</v>
      </c>
      <c r="AJ78" s="19" t="s">
        <v>173</v>
      </c>
      <c r="AK78" s="20" t="str">
        <f>HYPERLINK("https://docs.google.com/document/d/1f4rCTUh5g2HKvT37iHIzLi2xkFwrlxrV8ZlB-EPRd_0/edit?usp=drivesdk","Kenneth Rainer - 6/7/2018 9:30 AM")</f>
        <v>Kenneth Rainer - 6/7/2018 9:30 AM</v>
      </c>
      <c r="AL78" s="12" t="s">
        <v>174</v>
      </c>
    </row>
    <row r="79">
      <c r="A79" s="10">
        <f>IFERROR(__xludf.DUMMYFUNCTION("""COMPUTED_VALUE"""),43255.51348325231)</f>
        <v>43255.51348</v>
      </c>
      <c r="B79" s="11" t="str">
        <f>IFERROR(__xludf.DUMMYFUNCTION("""COMPUTED_VALUE"""),"Silas Tanner")</f>
        <v>Silas Tanner</v>
      </c>
      <c r="C79" t="str">
        <f>IFERROR(__xludf.DUMMYFUNCTION("""COMPUTED_VALUE"""),"silas.tanner@floridadep.gov")</f>
        <v>silas.tanner@floridadep.gov</v>
      </c>
      <c r="D79" t="str">
        <f>IFERROR(__xludf.DUMMYFUNCTION("""COMPUTED_VALUE"""),"Education")</f>
        <v>Education</v>
      </c>
      <c r="E79" t="str">
        <f>IFERROR(__xludf.DUMMYFUNCTION("""COMPUTED_VALUE"""),"Usina Boat Ramp")</f>
        <v>Usina Boat Ramp</v>
      </c>
      <c r="F79" s="13">
        <f>IFERROR(__xludf.DUMMYFUNCTION("""COMPUTED_VALUE"""),0.3958333333321207)</f>
        <v>0.3958333333</v>
      </c>
      <c r="G79" s="14">
        <f>IFERROR(__xludf.DUMMYFUNCTION("""COMPUTED_VALUE"""),43258.0)</f>
        <v>43258</v>
      </c>
      <c r="H79" t="str">
        <f>IFERROR(__xludf.DUMMYFUNCTION("""COMPUTED_VALUE"""),"Wright's Landing; Shell Bluff; Angelini Project")</f>
        <v>Wright's Landing; Shell Bluff; Angelini Project</v>
      </c>
      <c r="I79" s="15">
        <f>IFERROR(__xludf.DUMMYFUNCTION("""COMPUTED_VALUE"""),0.6458333333321207)</f>
        <v>0.6458333333</v>
      </c>
      <c r="J79" s="16">
        <f>IFERROR(__xludf.DUMMYFUNCTION("""COMPUTED_VALUE"""),43258.66666666667)</f>
        <v>43258.66667</v>
      </c>
      <c r="K79" t="str">
        <f>IFERROR(__xludf.DUMMYFUNCTION("""COMPUTED_VALUE"""),"F 20ft Sea Ark (Easy 200) FL8534PY DEP21451")</f>
        <v>F 20ft Sea Ark (Easy 200) FL8534PY DEP21451</v>
      </c>
      <c r="M79" t="str">
        <f>IFERROR(__xludf.DUMMYFUNCTION("""COMPUTED_VALUE"""),"Ford F150 2008 - DEP18041 (SWMP Thing)")</f>
        <v>Ford F150 2008 - DEP18041 (SWMP Thing)</v>
      </c>
      <c r="N79" t="str">
        <f>IFERROR(__xludf.DUMMYFUNCTION("""COMPUTED_VALUE"""),"Kenneth Rainer, (936) 499-1853, Silas Tanner, (904) 483-8423")</f>
        <v>Kenneth Rainer, (936) 499-1853, Silas Tanner, (904) 483-8423</v>
      </c>
      <c r="O79" t="str">
        <f>IFERROR(__xludf.DUMMYFUNCTION("""COMPUTED_VALUE"""),"Gabriela Canas, (904) 891-9743, Emma Hanson, Josie Spearman, (386) 627-0816, Summer Campers and Summer Camp Interns")</f>
        <v>Gabriela Canas, (904) 891-9743, Emma Hanson, Josie Spearman, (386) 627-0816, Summer Campers and Summer Camp Interns</v>
      </c>
      <c r="P79" t="str">
        <f>IFERROR(__xludf.DUMMYFUNCTION("""COMPUTED_VALUE"""),"Silas Tanner")</f>
        <v>Silas Tanner</v>
      </c>
      <c r="Q79" t="str">
        <f>IFERROR(__xludf.DUMMYFUNCTION("""COMPUTED_VALUE"""),"Good")</f>
        <v>Good</v>
      </c>
      <c r="R79" t="str">
        <f>IFERROR(__xludf.DUMMYFUNCTION("""COMPUTED_VALUE"""),"Good")</f>
        <v>Good</v>
      </c>
      <c r="S79" t="str">
        <f>IFERROR(__xludf.DUMMYFUNCTION("""COMPUTED_VALUE"""),"Good")</f>
        <v>Good</v>
      </c>
      <c r="T79" t="str">
        <f>IFERROR(__xludf.DUMMYFUNCTION("""COMPUTED_VALUE"""),"Good")</f>
        <v>Good</v>
      </c>
      <c r="U79" t="str">
        <f>IFERROR(__xludf.DUMMYFUNCTION("""COMPUTED_VALUE"""),"Good")</f>
        <v>Good</v>
      </c>
      <c r="V79" t="str">
        <f>IFERROR(__xludf.DUMMYFUNCTION("""COMPUTED_VALUE"""),"Good")</f>
        <v>Good</v>
      </c>
      <c r="W79" t="str">
        <f>IFERROR(__xludf.DUMMYFUNCTION("""COMPUTED_VALUE"""),"Good")</f>
        <v>Good</v>
      </c>
      <c r="X79" t="str">
        <f>IFERROR(__xludf.DUMMYFUNCTION("""COMPUTED_VALUE"""),"Good")</f>
        <v>Good</v>
      </c>
      <c r="Y79" t="str">
        <f>IFERROR(__xludf.DUMMYFUNCTION("""COMPUTED_VALUE"""),"Good")</f>
        <v>Good</v>
      </c>
      <c r="Z79" t="str">
        <f>IFERROR(__xludf.DUMMYFUNCTION("""COMPUTED_VALUE"""),"Good")</f>
        <v>Good</v>
      </c>
      <c r="AA79" t="str">
        <f>IFERROR(__xludf.DUMMYFUNCTION("""COMPUTED_VALUE"""),"Good")</f>
        <v>Good</v>
      </c>
      <c r="AB79" t="str">
        <f>IFERROR(__xludf.DUMMYFUNCTION("""COMPUTED_VALUE"""),"Good")</f>
        <v>Good</v>
      </c>
      <c r="AC79" t="str">
        <f>IFERROR(__xludf.DUMMYFUNCTION("""COMPUTED_VALUE"""),"Good")</f>
        <v>Good</v>
      </c>
      <c r="AD79" t="str">
        <f>IFERROR(__xludf.DUMMYFUNCTION("""COMPUTED_VALUE"""),"87F; 34%; 10 mph ESE (scattered thunderstorms and partly cloudy)")</f>
        <v>87F; 34%; 10 mph ESE (scattered thunderstorms and partly cloudy)</v>
      </c>
      <c r="AE79" s="11" t="str">
        <f>IFERROR(__xludf.DUMMYFUNCTION("""COMPUTED_VALUE"""),"H (3:18 a.m. | 3.36ft), L (9:46 a.m. | -0.27ft), H (4:02 p.m. | 3.32ft), L (10:08 p.m. | 0.08ft)")</f>
        <v>H (3:18 a.m. | 3.36ft), L (9:46 a.m. | -0.27ft), H (4:02 p.m. | 3.32ft), L (10:08 p.m. | 0.08ft)</v>
      </c>
      <c r="AF79" t="s">
        <v>9</v>
      </c>
      <c r="AG79" s="17" t="s">
        <v>7</v>
      </c>
      <c r="AH79" s="12"/>
      <c r="AI79" s="12" t="s">
        <v>175</v>
      </c>
      <c r="AJ79" s="19" t="s">
        <v>176</v>
      </c>
      <c r="AK79" s="20" t="str">
        <f>HYPERLINK("https://docs.google.com/document/d/1omI7AifJyv7VBder7xWpamlAqbP_DccSbkNyJKL1wJk/edit?usp=drivesdk","Silas Tanner - 6/7/2018 9:30 AM")</f>
        <v>Silas Tanner - 6/7/2018 9:30 AM</v>
      </c>
      <c r="AL79" s="12" t="s">
        <v>177</v>
      </c>
    </row>
    <row r="80">
      <c r="A80" s="10">
        <f>IFERROR(__xludf.DUMMYFUNCTION("""COMPUTED_VALUE"""),43262.36147427084)</f>
        <v>43262.36147</v>
      </c>
      <c r="B80" s="11" t="str">
        <f>IFERROR(__xludf.DUMMYFUNCTION("""COMPUTED_VALUE"""),"James Tomazinis")</f>
        <v>James Tomazinis</v>
      </c>
      <c r="C80" t="str">
        <f>IFERROR(__xludf.DUMMYFUNCTION("""COMPUTED_VALUE"""),"james.tomazinis@floridadep.gov")</f>
        <v>james.tomazinis@floridadep.gov</v>
      </c>
      <c r="D80" t="str">
        <f>IFERROR(__xludf.DUMMYFUNCTION("""COMPUTED_VALUE"""),"Stewardship (Aquatic)")</f>
        <v>Stewardship (Aquatic)</v>
      </c>
      <c r="E80" t="str">
        <f>IFERROR(__xludf.DUMMYFUNCTION("""COMPUTED_VALUE"""),"Guana Dam")</f>
        <v>Guana Dam</v>
      </c>
      <c r="F80" s="13">
        <f>IFERROR(__xludf.DUMMYFUNCTION("""COMPUTED_VALUE"""),0.3541666666678793)</f>
        <v>0.3541666667</v>
      </c>
      <c r="G80" s="14">
        <f>IFERROR(__xludf.DUMMYFUNCTION("""COMPUTED_VALUE"""),43262.0)</f>
        <v>43262</v>
      </c>
      <c r="H80" t="str">
        <f>IFERROR(__xludf.DUMMYFUNCTION("""COMPUTED_VALUE"""),"Guana WQ sites")</f>
        <v>Guana WQ sites</v>
      </c>
      <c r="I80" s="15">
        <f>IFERROR(__xludf.DUMMYFUNCTION("""COMPUTED_VALUE"""),0.5)</f>
        <v>0.5</v>
      </c>
      <c r="J80" s="16"/>
      <c r="K80" t="str">
        <f>IFERROR(__xludf.DUMMYFUNCTION("""COMPUTED_VALUE"""),"Jon Boat FL0484NP DEP06819")</f>
        <v>Jon Boat FL0484NP DEP06819</v>
      </c>
      <c r="M80" t="str">
        <f>IFERROR(__xludf.DUMMYFUNCTION("""COMPUTED_VALUE"""),"Ford Explorer 2002 - DEP05465 (AP)")</f>
        <v>Ford Explorer 2002 - DEP05465 (AP)</v>
      </c>
      <c r="N80" t="str">
        <f>IFERROR(__xludf.DUMMYFUNCTION("""COMPUTED_VALUE"""),"Jimmy Tomazinis, (904) 547-0094")</f>
        <v>Jimmy Tomazinis, (904) 547-0094</v>
      </c>
      <c r="O80" t="str">
        <f>IFERROR(__xludf.DUMMYFUNCTION("""COMPUTED_VALUE"""),"Hunter Mathews")</f>
        <v>Hunter Mathews</v>
      </c>
      <c r="P80" t="str">
        <f>IFERROR(__xludf.DUMMYFUNCTION("""COMPUTED_VALUE"""),"Jimmy")</f>
        <v>Jimmy</v>
      </c>
      <c r="Q80" t="str">
        <f>IFERROR(__xludf.DUMMYFUNCTION("""COMPUTED_VALUE"""),"Good")</f>
        <v>Good</v>
      </c>
      <c r="R80" t="str">
        <f>IFERROR(__xludf.DUMMYFUNCTION("""COMPUTED_VALUE"""),"Good")</f>
        <v>Good</v>
      </c>
      <c r="S80" t="str">
        <f>IFERROR(__xludf.DUMMYFUNCTION("""COMPUTED_VALUE"""),"Good")</f>
        <v>Good</v>
      </c>
      <c r="T80" t="str">
        <f>IFERROR(__xludf.DUMMYFUNCTION("""COMPUTED_VALUE"""),"Good")</f>
        <v>Good</v>
      </c>
      <c r="U80" t="str">
        <f>IFERROR(__xludf.DUMMYFUNCTION("""COMPUTED_VALUE"""),"Good")</f>
        <v>Good</v>
      </c>
      <c r="V80" t="str">
        <f>IFERROR(__xludf.DUMMYFUNCTION("""COMPUTED_VALUE"""),"Good")</f>
        <v>Good</v>
      </c>
      <c r="W80" t="str">
        <f>IFERROR(__xludf.DUMMYFUNCTION("""COMPUTED_VALUE"""),"Good")</f>
        <v>Good</v>
      </c>
      <c r="X80" t="str">
        <f>IFERROR(__xludf.DUMMYFUNCTION("""COMPUTED_VALUE"""),"Good")</f>
        <v>Good</v>
      </c>
      <c r="Y80" t="str">
        <f>IFERROR(__xludf.DUMMYFUNCTION("""COMPUTED_VALUE"""),"Good")</f>
        <v>Good</v>
      </c>
      <c r="Z80" t="str">
        <f>IFERROR(__xludf.DUMMYFUNCTION("""COMPUTED_VALUE"""),"Good")</f>
        <v>Good</v>
      </c>
      <c r="AA80" t="str">
        <f>IFERROR(__xludf.DUMMYFUNCTION("""COMPUTED_VALUE"""),"Good")</f>
        <v>Good</v>
      </c>
      <c r="AB80" t="str">
        <f>IFERROR(__xludf.DUMMYFUNCTION("""COMPUTED_VALUE"""),"Good")</f>
        <v>Good</v>
      </c>
      <c r="AC80" t="str">
        <f>IFERROR(__xludf.DUMMYFUNCTION("""COMPUTED_VALUE"""),"Good")</f>
        <v>Good</v>
      </c>
      <c r="AE80" s="11"/>
      <c r="AF80" t="s">
        <v>32</v>
      </c>
      <c r="AG80" s="17" t="s">
        <v>18</v>
      </c>
      <c r="AH80" s="12"/>
      <c r="AI80" s="12" t="s">
        <v>178</v>
      </c>
      <c r="AJ80" s="19" t="s">
        <v>179</v>
      </c>
      <c r="AK80" s="20" t="str">
        <f>HYPERLINK("https://docs.google.com/document/d/1nhihx7WUJyq9xrne-IuE8z6M1bOCmJPhlEGshsFWGQU/edit?usp=drivesdk","James Tomazinis - 6/11/2018 8:30 AM")</f>
        <v>James Tomazinis - 6/11/2018 8:30 AM</v>
      </c>
      <c r="AL80" s="12" t="s">
        <v>180</v>
      </c>
    </row>
    <row r="81">
      <c r="A81" s="10">
        <f>IFERROR(__xludf.DUMMYFUNCTION("""COMPUTED_VALUE"""),43263.29583268519)</f>
        <v>43263.29583</v>
      </c>
      <c r="B81" s="11" t="str">
        <f>IFERROR(__xludf.DUMMYFUNCTION("""COMPUTED_VALUE"""),"Silas Tanner")</f>
        <v>Silas Tanner</v>
      </c>
      <c r="C81" t="str">
        <f>IFERROR(__xludf.DUMMYFUNCTION("""COMPUTED_VALUE"""),"silas.tanner@dep.state.fl.us")</f>
        <v>silas.tanner@dep.state.fl.us</v>
      </c>
      <c r="D81" t="str">
        <f>IFERROR(__xludf.DUMMYFUNCTION("""COMPUTED_VALUE"""),"Research")</f>
        <v>Research</v>
      </c>
      <c r="E81" t="str">
        <f>IFERROR(__xludf.DUMMYFUNCTION("""COMPUTED_VALUE"""),"Vilano County ramp")</f>
        <v>Vilano County ramp</v>
      </c>
      <c r="F81" s="13">
        <f>IFERROR(__xludf.DUMMYFUNCTION("""COMPUTED_VALUE"""),0.3645833333321207)</f>
        <v>0.3645833333</v>
      </c>
      <c r="G81" s="14">
        <f>IFERROR(__xludf.DUMMYFUNCTION("""COMPUTED_VALUE"""),43263.0)</f>
        <v>43263</v>
      </c>
      <c r="H81" t="str">
        <f>IFERROR(__xludf.DUMMYFUNCTION("""COMPUTED_VALUE"""),"ICW SWMP sites")</f>
        <v>ICW SWMP sites</v>
      </c>
      <c r="I81" s="15">
        <f>IFERROR(__xludf.DUMMYFUNCTION("""COMPUTED_VALUE"""),0.5833333333321207)</f>
        <v>0.5833333333</v>
      </c>
      <c r="J81" s="16">
        <f>IFERROR(__xludf.DUMMYFUNCTION("""COMPUTED_VALUE"""),43263.60416666667)</f>
        <v>43263.60417</v>
      </c>
      <c r="K81" t="str">
        <f>IFERROR(__xludf.DUMMYFUNCTION("""COMPUTED_VALUE"""),"23ft Skiff (Bertha) FL7972LJ DEP07613")</f>
        <v>23ft Skiff (Bertha) FL7972LJ DEP07613</v>
      </c>
      <c r="M81" t="str">
        <f>IFERROR(__xludf.DUMMYFUNCTION("""COMPUTED_VALUE"""),"Ford F150 2008 - DEP18041 (SWMP Thing)")</f>
        <v>Ford F150 2008 - DEP18041 (SWMP Thing)</v>
      </c>
      <c r="N81" t="str">
        <f>IFERROR(__xludf.DUMMYFUNCTION("""COMPUTED_VALUE"""),"Silas Tanner, (904) 483-8423, Jimmy Tomazinis, (904) 547-0094")</f>
        <v>Silas Tanner, (904) 483-8423, Jimmy Tomazinis, (904) 547-0094</v>
      </c>
      <c r="O81" t="str">
        <f>IFERROR(__xludf.DUMMYFUNCTION("""COMPUTED_VALUE"""),"Sam Shaw, Terri Calleson")</f>
        <v>Sam Shaw, Terri Calleson</v>
      </c>
      <c r="P81" t="str">
        <f>IFERROR(__xludf.DUMMYFUNCTION("""COMPUTED_VALUE"""),"Tomazinis")</f>
        <v>Tomazinis</v>
      </c>
      <c r="Q81" t="str">
        <f>IFERROR(__xludf.DUMMYFUNCTION("""COMPUTED_VALUE"""),"Good")</f>
        <v>Good</v>
      </c>
      <c r="R81" t="str">
        <f>IFERROR(__xludf.DUMMYFUNCTION("""COMPUTED_VALUE"""),"Good")</f>
        <v>Good</v>
      </c>
      <c r="S81" t="str">
        <f>IFERROR(__xludf.DUMMYFUNCTION("""COMPUTED_VALUE"""),"Good")</f>
        <v>Good</v>
      </c>
      <c r="T81" t="str">
        <f>IFERROR(__xludf.DUMMYFUNCTION("""COMPUTED_VALUE"""),"Good")</f>
        <v>Good</v>
      </c>
      <c r="U81" t="str">
        <f>IFERROR(__xludf.DUMMYFUNCTION("""COMPUTED_VALUE"""),"Good")</f>
        <v>Good</v>
      </c>
      <c r="V81" t="str">
        <f>IFERROR(__xludf.DUMMYFUNCTION("""COMPUTED_VALUE"""),"Good")</f>
        <v>Good</v>
      </c>
      <c r="W81" t="str">
        <f>IFERROR(__xludf.DUMMYFUNCTION("""COMPUTED_VALUE"""),"Good")</f>
        <v>Good</v>
      </c>
      <c r="X81" t="str">
        <f>IFERROR(__xludf.DUMMYFUNCTION("""COMPUTED_VALUE"""),"Good")</f>
        <v>Good</v>
      </c>
      <c r="Y81" t="str">
        <f>IFERROR(__xludf.DUMMYFUNCTION("""COMPUTED_VALUE"""),"Good")</f>
        <v>Good</v>
      </c>
      <c r="Z81" t="str">
        <f>IFERROR(__xludf.DUMMYFUNCTION("""COMPUTED_VALUE"""),"Good")</f>
        <v>Good</v>
      </c>
      <c r="AA81" t="str">
        <f>IFERROR(__xludf.DUMMYFUNCTION("""COMPUTED_VALUE"""),"Good")</f>
        <v>Good</v>
      </c>
      <c r="AB81" t="str">
        <f>IFERROR(__xludf.DUMMYFUNCTION("""COMPUTED_VALUE"""),"Good")</f>
        <v>Good</v>
      </c>
      <c r="AC81" t="str">
        <f>IFERROR(__xludf.DUMMYFUNCTION("""COMPUTED_VALUE"""),"Good")</f>
        <v>Good</v>
      </c>
      <c r="AE81" s="11"/>
      <c r="AF81" t="b">
        <v>0</v>
      </c>
      <c r="AG81" s="17" t="s">
        <v>18</v>
      </c>
      <c r="AH81" s="12"/>
      <c r="AI81" s="12" t="s">
        <v>181</v>
      </c>
      <c r="AJ81" s="19" t="s">
        <v>182</v>
      </c>
      <c r="AK81" s="20" t="str">
        <f>HYPERLINK("https://docs.google.com/document/d/14xL-FgR87Xdn5S8WoYx0_em_jRQvOEXqyE9kNUhAwZs/edit?usp=drivesdk","Silas Tanner - 6/12/2018 8:45 AM")</f>
        <v>Silas Tanner - 6/12/2018 8:45 AM</v>
      </c>
      <c r="AL81" s="12" t="s">
        <v>183</v>
      </c>
    </row>
    <row r="82">
      <c r="A82" s="10">
        <f>IFERROR(__xludf.DUMMYFUNCTION("""COMPUTED_VALUE"""),43263.545481180554)</f>
        <v>43263.54548</v>
      </c>
      <c r="B82" s="11" t="str">
        <f>IFERROR(__xludf.DUMMYFUNCTION("""COMPUTED_VALUE"""),"Kenneth Rainer")</f>
        <v>Kenneth Rainer</v>
      </c>
      <c r="C82" t="str">
        <f>IFERROR(__xludf.DUMMYFUNCTION("""COMPUTED_VALUE"""),"Kenneth.Rainer@floridadep.gov")</f>
        <v>Kenneth.Rainer@floridadep.gov</v>
      </c>
      <c r="D82" t="str">
        <f>IFERROR(__xludf.DUMMYFUNCTION("""COMPUTED_VALUE"""),"Education")</f>
        <v>Education</v>
      </c>
      <c r="E82" t="str">
        <f>IFERROR(__xludf.DUMMYFUNCTION("""COMPUTED_VALUE"""),"Vilano Boat Ramp")</f>
        <v>Vilano Boat Ramp</v>
      </c>
      <c r="F82" s="13">
        <f>IFERROR(__xludf.DUMMYFUNCTION("""COMPUTED_VALUE"""),0.5208333333321207)</f>
        <v>0.5208333333</v>
      </c>
      <c r="G82" s="14">
        <f>IFERROR(__xludf.DUMMYFUNCTION("""COMPUTED_VALUE"""),43265.0)</f>
        <v>43265</v>
      </c>
      <c r="H82" t="str">
        <f>IFERROR(__xludf.DUMMYFUNCTION("""COMPUTED_VALUE"""),"GTM NERR Northern Component")</f>
        <v>GTM NERR Northern Component</v>
      </c>
      <c r="I82" s="15">
        <f>IFERROR(__xludf.DUMMYFUNCTION("""COMPUTED_VALUE"""),0.6875)</f>
        <v>0.6875</v>
      </c>
      <c r="J82" s="16">
        <f>IFERROR(__xludf.DUMMYFUNCTION("""COMPUTED_VALUE"""),43265.70833333333)</f>
        <v>43265.70833</v>
      </c>
      <c r="K82" t="str">
        <f>IFERROR(__xludf.DUMMYFUNCTION("""COMPUTED_VALUE"""),"23ft Skiff (Bertha) FL7972LJ DEP07613")</f>
        <v>23ft Skiff (Bertha) FL7972LJ DEP07613</v>
      </c>
      <c r="M82" t="str">
        <f>IFERROR(__xludf.DUMMYFUNCTION("""COMPUTED_VALUE"""),"Ford F250 2017 (Moby Dix) - DEP0021578")</f>
        <v>Ford F250 2017 (Moby Dix) - DEP0021578</v>
      </c>
      <c r="N82" t="str">
        <f>IFERROR(__xludf.DUMMYFUNCTION("""COMPUTED_VALUE"""),"Nikki Dix, (352) 219-4079, Kenneth Rainer, (936) 499-1853")</f>
        <v>Nikki Dix, (352) 219-4079, Kenneth Rainer, (936) 499-1853</v>
      </c>
      <c r="O82" t="str">
        <f>IFERROR(__xludf.DUMMYFUNCTION("""COMPUTED_VALUE"""),"UF Professor and Students (with completed Release Waivers)")</f>
        <v>UF Professor and Students (with completed Release Waivers)</v>
      </c>
      <c r="P82" t="str">
        <f>IFERROR(__xludf.DUMMYFUNCTION("""COMPUTED_VALUE"""),"Kenneth Rainer")</f>
        <v>Kenneth Rainer</v>
      </c>
      <c r="Q82" t="str">
        <f>IFERROR(__xludf.DUMMYFUNCTION("""COMPUTED_VALUE"""),"Good")</f>
        <v>Good</v>
      </c>
      <c r="R82" t="str">
        <f>IFERROR(__xludf.DUMMYFUNCTION("""COMPUTED_VALUE"""),"Good")</f>
        <v>Good</v>
      </c>
      <c r="S82" t="str">
        <f>IFERROR(__xludf.DUMMYFUNCTION("""COMPUTED_VALUE"""),"Good")</f>
        <v>Good</v>
      </c>
      <c r="T82" t="str">
        <f>IFERROR(__xludf.DUMMYFUNCTION("""COMPUTED_VALUE"""),"Good")</f>
        <v>Good</v>
      </c>
      <c r="U82" t="str">
        <f>IFERROR(__xludf.DUMMYFUNCTION("""COMPUTED_VALUE"""),"Good")</f>
        <v>Good</v>
      </c>
      <c r="V82" t="str">
        <f>IFERROR(__xludf.DUMMYFUNCTION("""COMPUTED_VALUE"""),"Good")</f>
        <v>Good</v>
      </c>
      <c r="W82" t="str">
        <f>IFERROR(__xludf.DUMMYFUNCTION("""COMPUTED_VALUE"""),"Good")</f>
        <v>Good</v>
      </c>
      <c r="X82" t="str">
        <f>IFERROR(__xludf.DUMMYFUNCTION("""COMPUTED_VALUE"""),"Good")</f>
        <v>Good</v>
      </c>
      <c r="Y82" t="str">
        <f>IFERROR(__xludf.DUMMYFUNCTION("""COMPUTED_VALUE"""),"Good")</f>
        <v>Good</v>
      </c>
      <c r="Z82" t="str">
        <f>IFERROR(__xludf.DUMMYFUNCTION("""COMPUTED_VALUE"""),"Good")</f>
        <v>Good</v>
      </c>
      <c r="AA82" t="str">
        <f>IFERROR(__xludf.DUMMYFUNCTION("""COMPUTED_VALUE"""),"Good")</f>
        <v>Good</v>
      </c>
      <c r="AB82" t="str">
        <f>IFERROR(__xludf.DUMMYFUNCTION("""COMPUTED_VALUE"""),"Good")</f>
        <v>Good</v>
      </c>
      <c r="AC82" t="str">
        <f>IFERROR(__xludf.DUMMYFUNCTION("""COMPUTED_VALUE"""),"Good")</f>
        <v>Good</v>
      </c>
      <c r="AD82" t="str">
        <f>IFERROR(__xludf.DUMMYFUNCTION("""COMPUTED_VALUE"""),"Partly cloudy. A stray shower or thunderstorm is possible. High 89F. Winds WSW at 5 to 10 mph.")</f>
        <v>Partly cloudy. A stray shower or thunderstorm is possible. High 89F. Winds WSW at 5 to 10 mph.</v>
      </c>
      <c r="AE82" s="11" t="str">
        <f>IFERROR(__xludf.DUMMYFUNCTION("""COMPUTED_VALUE"""),"High 09:43AM (3.82ft); Low 03:37PM (-1.22ft)")</f>
        <v>High 09:43AM (3.82ft); Low 03:37PM (-1.22ft)</v>
      </c>
      <c r="AF82" t="s">
        <v>9</v>
      </c>
      <c r="AG82" s="7" t="s">
        <v>18</v>
      </c>
      <c r="AH82" s="12"/>
      <c r="AI82" s="12" t="s">
        <v>184</v>
      </c>
      <c r="AJ82" s="19" t="s">
        <v>185</v>
      </c>
      <c r="AK82" s="20" t="str">
        <f>HYPERLINK("https://docs.google.com/document/d/1Ad-FJGyHWoa6R8teeyJx_5DdPsF8CvyTVaG0dnm6hzA/edit?usp=drivesdk","Kenneth Rainer - 6/14/2018 12:30 PM")</f>
        <v>Kenneth Rainer - 6/14/2018 12:30 PM</v>
      </c>
      <c r="AL82" s="12" t="s">
        <v>186</v>
      </c>
    </row>
    <row r="83">
      <c r="A83" s="10">
        <f>IFERROR(__xludf.DUMMYFUNCTION("""COMPUTED_VALUE"""),43264.68505503472)</f>
        <v>43264.68506</v>
      </c>
      <c r="B83" s="11" t="str">
        <f>IFERROR(__xludf.DUMMYFUNCTION("""COMPUTED_VALUE"""),"Silas Tanner")</f>
        <v>Silas Tanner</v>
      </c>
      <c r="C83" t="str">
        <f>IFERROR(__xludf.DUMMYFUNCTION("""COMPUTED_VALUE"""),"silas.tanner@floridadep.gov")</f>
        <v>silas.tanner@floridadep.gov</v>
      </c>
      <c r="D83" t="str">
        <f>IFERROR(__xludf.DUMMYFUNCTION("""COMPUTED_VALUE"""),"Research")</f>
        <v>Research</v>
      </c>
      <c r="E83" t="str">
        <f>IFERROR(__xludf.DUMMYFUNCTION("""COMPUTED_VALUE"""),"Bing's")</f>
        <v>Bing's</v>
      </c>
      <c r="F83" s="13">
        <f>IFERROR(__xludf.DUMMYFUNCTION("""COMPUTED_VALUE"""),0.5)</f>
        <v>0.5</v>
      </c>
      <c r="G83" s="14">
        <f>IFERROR(__xludf.DUMMYFUNCTION("""COMPUTED_VALUE"""),43265.0)</f>
        <v>43265</v>
      </c>
      <c r="H83" t="str">
        <f>IFERROR(__xludf.DUMMYFUNCTION("""COMPUTED_VALUE"""),"ICW - Rattlesnake Island to Bing's")</f>
        <v>ICW - Rattlesnake Island to Bing's</v>
      </c>
      <c r="I83" s="15">
        <f>IFERROR(__xludf.DUMMYFUNCTION("""COMPUTED_VALUE"""),0.6666666666678793)</f>
        <v>0.6666666667</v>
      </c>
      <c r="J83" s="16">
        <f>IFERROR(__xludf.DUMMYFUNCTION("""COMPUTED_VALUE"""),43265.69791666667)</f>
        <v>43265.69792</v>
      </c>
      <c r="K83" t="str">
        <f>IFERROR(__xludf.DUMMYFUNCTION("""COMPUTED_VALUE"""),"F 20ft Sea Ark (Easy 200) FL8534PY DEP21451")</f>
        <v>F 20ft Sea Ark (Easy 200) FL8534PY DEP21451</v>
      </c>
      <c r="M83" t="str">
        <f>IFERROR(__xludf.DUMMYFUNCTION("""COMPUTED_VALUE"""),"Ford F150 2008 - DEP18041 (SWMP Thing)")</f>
        <v>Ford F150 2008 - DEP18041 (SWMP Thing)</v>
      </c>
      <c r="N83" t="str">
        <f>IFERROR(__xludf.DUMMYFUNCTION("""COMPUTED_VALUE"""),"Silas Tanner, (904) 483-8423")</f>
        <v>Silas Tanner, (904) 483-8423</v>
      </c>
      <c r="O83" t="str">
        <f>IFERROR(__xludf.DUMMYFUNCTION("""COMPUTED_VALUE"""),"Hunter Mathews, Matt Brown, Westly Woodward")</f>
        <v>Hunter Mathews, Matt Brown, Westly Woodward</v>
      </c>
      <c r="P83" t="str">
        <f>IFERROR(__xludf.DUMMYFUNCTION("""COMPUTED_VALUE"""),"Tanner")</f>
        <v>Tanner</v>
      </c>
      <c r="Q83" t="str">
        <f>IFERROR(__xludf.DUMMYFUNCTION("""COMPUTED_VALUE"""),"Good")</f>
        <v>Good</v>
      </c>
      <c r="R83" t="str">
        <f>IFERROR(__xludf.DUMMYFUNCTION("""COMPUTED_VALUE"""),"Good")</f>
        <v>Good</v>
      </c>
      <c r="S83" t="str">
        <f>IFERROR(__xludf.DUMMYFUNCTION("""COMPUTED_VALUE"""),"Good")</f>
        <v>Good</v>
      </c>
      <c r="T83" t="str">
        <f>IFERROR(__xludf.DUMMYFUNCTION("""COMPUTED_VALUE"""),"Good")</f>
        <v>Good</v>
      </c>
      <c r="U83" t="str">
        <f>IFERROR(__xludf.DUMMYFUNCTION("""COMPUTED_VALUE"""),"Good")</f>
        <v>Good</v>
      </c>
      <c r="V83" t="str">
        <f>IFERROR(__xludf.DUMMYFUNCTION("""COMPUTED_VALUE"""),"Good")</f>
        <v>Good</v>
      </c>
      <c r="W83" t="str">
        <f>IFERROR(__xludf.DUMMYFUNCTION("""COMPUTED_VALUE"""),"Good")</f>
        <v>Good</v>
      </c>
      <c r="X83" t="str">
        <f>IFERROR(__xludf.DUMMYFUNCTION("""COMPUTED_VALUE"""),"Good")</f>
        <v>Good</v>
      </c>
      <c r="Y83" t="str">
        <f>IFERROR(__xludf.DUMMYFUNCTION("""COMPUTED_VALUE"""),"Good")</f>
        <v>Good</v>
      </c>
      <c r="Z83" t="str">
        <f>IFERROR(__xludf.DUMMYFUNCTION("""COMPUTED_VALUE"""),"Good")</f>
        <v>Good</v>
      </c>
      <c r="AA83" t="str">
        <f>IFERROR(__xludf.DUMMYFUNCTION("""COMPUTED_VALUE"""),"Good")</f>
        <v>Good</v>
      </c>
      <c r="AB83" t="str">
        <f>IFERROR(__xludf.DUMMYFUNCTION("""COMPUTED_VALUE"""),"Good")</f>
        <v>Good</v>
      </c>
      <c r="AC83" t="str">
        <f>IFERROR(__xludf.DUMMYFUNCTION("""COMPUTED_VALUE"""),"Good")</f>
        <v>Good</v>
      </c>
      <c r="AE83" s="11"/>
      <c r="AF83" t="b">
        <v>0</v>
      </c>
      <c r="AG83" s="17" t="s">
        <v>56</v>
      </c>
      <c r="AH83" s="12"/>
      <c r="AI83" s="12" t="s">
        <v>187</v>
      </c>
      <c r="AJ83" s="19" t="s">
        <v>188</v>
      </c>
      <c r="AK83" s="20" t="str">
        <f>HYPERLINK("https://docs.google.com/document/d/1ZVWr_QqAdt-Iz7q9i3GNK8i0lyZgwCCfyxmlR1hJwkw/edit?usp=drivesdk","Silas Tanner - 6/14/2018 12:00 PM")</f>
        <v>Silas Tanner - 6/14/2018 12:00 PM</v>
      </c>
      <c r="AL83" s="12" t="s">
        <v>189</v>
      </c>
    </row>
    <row r="84">
      <c r="A84" s="10">
        <f>IFERROR(__xludf.DUMMYFUNCTION("""COMPUTED_VALUE"""),43266.392776643515)</f>
        <v>43266.39278</v>
      </c>
      <c r="B84" s="11" t="str">
        <f>IFERROR(__xludf.DUMMYFUNCTION("""COMPUTED_VALUE"""),"James Tomazinis")</f>
        <v>James Tomazinis</v>
      </c>
      <c r="C84" t="str">
        <f>IFERROR(__xludf.DUMMYFUNCTION("""COMPUTED_VALUE"""),"james.tomazinis@floridadep.gov")</f>
        <v>james.tomazinis@floridadep.gov</v>
      </c>
      <c r="D84" t="str">
        <f>IFERROR(__xludf.DUMMYFUNCTION("""COMPUTED_VALUE"""),"Stewardship (Aquatic)")</f>
        <v>Stewardship (Aquatic)</v>
      </c>
      <c r="E84" t="str">
        <f>IFERROR(__xludf.DUMMYFUNCTION("""COMPUTED_VALUE"""),"Lighthouse park")</f>
        <v>Lighthouse park</v>
      </c>
      <c r="F84" s="13">
        <f>IFERROR(__xludf.DUMMYFUNCTION("""COMPUTED_VALUE"""),0.4166666666678793)</f>
        <v>0.4166666667</v>
      </c>
      <c r="G84" s="14">
        <f>IFERROR(__xludf.DUMMYFUNCTION("""COMPUTED_VALUE"""),43266.0)</f>
        <v>43266</v>
      </c>
      <c r="H84" t="str">
        <f>IFERROR(__xludf.DUMMYFUNCTION("""COMPUTED_VALUE"""),"Greater St. Augustine area")</f>
        <v>Greater St. Augustine area</v>
      </c>
      <c r="I84" s="15">
        <f>IFERROR(__xludf.DUMMYFUNCTION("""COMPUTED_VALUE"""),0.7083333333321207)</f>
        <v>0.7083333333</v>
      </c>
      <c r="J84" s="16"/>
      <c r="K84" t="str">
        <f>IFERROR(__xludf.DUMMYFUNCTION("""COMPUTED_VALUE"""),"23ft Skiff (Bertha) FL7972LJ DEP07613")</f>
        <v>23ft Skiff (Bertha) FL7972LJ DEP07613</v>
      </c>
      <c r="M84" t="str">
        <f>IFERROR(__xludf.DUMMYFUNCTION("""COMPUTED_VALUE"""),"Ford F150 2015 (White) - DEP21448")</f>
        <v>Ford F150 2015 (White) - DEP21448</v>
      </c>
      <c r="N84" t="str">
        <f>IFERROR(__xludf.DUMMYFUNCTION("""COMPUTED_VALUE"""),"Scott Eastman, (904) 501-9267, Pam Marcum, (480) 332-5414, Jimmy Tomazinis, (904) 547-0094")</f>
        <v>Scott Eastman, (904) 501-9267, Pam Marcum, (480) 332-5414, Jimmy Tomazinis, (904) 547-0094</v>
      </c>
      <c r="O84" t="str">
        <f>IFERROR(__xludf.DUMMYFUNCTION("""COMPUTED_VALUE"""),"Jeff Loflin")</f>
        <v>Jeff Loflin</v>
      </c>
      <c r="P84" t="str">
        <f>IFERROR(__xludf.DUMMYFUNCTION("""COMPUTED_VALUE"""),"James Tomazinis")</f>
        <v>James Tomazinis</v>
      </c>
      <c r="Q84" t="str">
        <f>IFERROR(__xludf.DUMMYFUNCTION("""COMPUTED_VALUE"""),"Good")</f>
        <v>Good</v>
      </c>
      <c r="R84" t="str">
        <f>IFERROR(__xludf.DUMMYFUNCTION("""COMPUTED_VALUE"""),"Good")</f>
        <v>Good</v>
      </c>
      <c r="S84" t="str">
        <f>IFERROR(__xludf.DUMMYFUNCTION("""COMPUTED_VALUE"""),"Good")</f>
        <v>Good</v>
      </c>
      <c r="T84" t="str">
        <f>IFERROR(__xludf.DUMMYFUNCTION("""COMPUTED_VALUE"""),"Good")</f>
        <v>Good</v>
      </c>
      <c r="U84" t="str">
        <f>IFERROR(__xludf.DUMMYFUNCTION("""COMPUTED_VALUE"""),"Good")</f>
        <v>Good</v>
      </c>
      <c r="V84" t="str">
        <f>IFERROR(__xludf.DUMMYFUNCTION("""COMPUTED_VALUE"""),"Good")</f>
        <v>Good</v>
      </c>
      <c r="W84" t="str">
        <f>IFERROR(__xludf.DUMMYFUNCTION("""COMPUTED_VALUE"""),"Good")</f>
        <v>Good</v>
      </c>
      <c r="X84" t="str">
        <f>IFERROR(__xludf.DUMMYFUNCTION("""COMPUTED_VALUE"""),"Good")</f>
        <v>Good</v>
      </c>
      <c r="Y84" t="str">
        <f>IFERROR(__xludf.DUMMYFUNCTION("""COMPUTED_VALUE"""),"Good")</f>
        <v>Good</v>
      </c>
      <c r="Z84" t="str">
        <f>IFERROR(__xludf.DUMMYFUNCTION("""COMPUTED_VALUE"""),"Good")</f>
        <v>Good</v>
      </c>
      <c r="AA84" t="str">
        <f>IFERROR(__xludf.DUMMYFUNCTION("""COMPUTED_VALUE"""),"Good")</f>
        <v>Good</v>
      </c>
      <c r="AB84" t="str">
        <f>IFERROR(__xludf.DUMMYFUNCTION("""COMPUTED_VALUE"""),"Good")</f>
        <v>Good</v>
      </c>
      <c r="AC84" t="str">
        <f>IFERROR(__xludf.DUMMYFUNCTION("""COMPUTED_VALUE"""),"Good")</f>
        <v>Good</v>
      </c>
      <c r="AE84" s="11"/>
      <c r="AF84" t="s">
        <v>32</v>
      </c>
      <c r="AG84" s="17" t="s">
        <v>115</v>
      </c>
      <c r="AH84" s="12"/>
      <c r="AI84" s="12" t="s">
        <v>190</v>
      </c>
      <c r="AJ84" s="19" t="s">
        <v>191</v>
      </c>
      <c r="AK84" s="20" t="str">
        <f>HYPERLINK("https://docs.google.com/document/d/1segsGRdC7iRishkJwC9X3suCxEE9-PDWq8OEnJz3WW4/edit?usp=drivesdk","James Tomazinis - 6/15/2018 10:00 AM")</f>
        <v>James Tomazinis - 6/15/2018 10:00 AM</v>
      </c>
      <c r="AL84" s="12" t="s">
        <v>192</v>
      </c>
    </row>
    <row r="85">
      <c r="A85" s="10">
        <f>IFERROR(__xludf.DUMMYFUNCTION("""COMPUTED_VALUE"""),43266.46594609954)</f>
        <v>43266.46595</v>
      </c>
      <c r="B85" s="11" t="str">
        <f>IFERROR(__xludf.DUMMYFUNCTION("""COMPUTED_VALUE"""),"Silas Tanner")</f>
        <v>Silas Tanner</v>
      </c>
      <c r="C85" t="str">
        <f>IFERROR(__xludf.DUMMYFUNCTION("""COMPUTED_VALUE"""),"silas.tanner@floridadep.gov")</f>
        <v>silas.tanner@floridadep.gov</v>
      </c>
      <c r="D85" t="str">
        <f>IFERROR(__xludf.DUMMYFUNCTION("""COMPUTED_VALUE"""),"Research")</f>
        <v>Research</v>
      </c>
      <c r="E85" t="str">
        <f>IFERROR(__xludf.DUMMYFUNCTION("""COMPUTED_VALUE"""),"Bing's")</f>
        <v>Bing's</v>
      </c>
      <c r="F85" s="13">
        <f>IFERROR(__xludf.DUMMYFUNCTION("""COMPUTED_VALUE"""),0.5416666666678793)</f>
        <v>0.5416666667</v>
      </c>
      <c r="G85" s="14">
        <f>IFERROR(__xludf.DUMMYFUNCTION("""COMPUTED_VALUE"""),43266.0)</f>
        <v>43266</v>
      </c>
      <c r="H85" t="str">
        <f>IFERROR(__xludf.DUMMYFUNCTION("""COMPUTED_VALUE"""),"ICW Summerhaven area")</f>
        <v>ICW Summerhaven area</v>
      </c>
      <c r="I85" s="15">
        <f>IFERROR(__xludf.DUMMYFUNCTION("""COMPUTED_VALUE"""),0.6666666666678793)</f>
        <v>0.6666666667</v>
      </c>
      <c r="J85" s="16">
        <f>IFERROR(__xludf.DUMMYFUNCTION("""COMPUTED_VALUE"""),43266.70833333333)</f>
        <v>43266.70833</v>
      </c>
      <c r="K85" t="str">
        <f>IFERROR(__xludf.DUMMYFUNCTION("""COMPUTED_VALUE"""),"F 20ft Sea Ark (Easy 200) FL8534PY DEP21451")</f>
        <v>F 20ft Sea Ark (Easy 200) FL8534PY DEP21451</v>
      </c>
      <c r="M85" t="str">
        <f>IFERROR(__xludf.DUMMYFUNCTION("""COMPUTED_VALUE"""),"Ford F150 2008 - DEP18041 (SWMP Thing)")</f>
        <v>Ford F150 2008 - DEP18041 (SWMP Thing)</v>
      </c>
      <c r="N85" t="str">
        <f>IFERROR(__xludf.DUMMYFUNCTION("""COMPUTED_VALUE"""),"Silas Tanner, (904) 483-8423")</f>
        <v>Silas Tanner, (904) 483-8423</v>
      </c>
      <c r="O85" t="str">
        <f>IFERROR(__xludf.DUMMYFUNCTION("""COMPUTED_VALUE"""),"Matt Brown")</f>
        <v>Matt Brown</v>
      </c>
      <c r="P85" t="str">
        <f>IFERROR(__xludf.DUMMYFUNCTION("""COMPUTED_VALUE"""),"Silas Tanner")</f>
        <v>Silas Tanner</v>
      </c>
      <c r="Q85" t="str">
        <f>IFERROR(__xludf.DUMMYFUNCTION("""COMPUTED_VALUE"""),"Good")</f>
        <v>Good</v>
      </c>
      <c r="R85" t="str">
        <f>IFERROR(__xludf.DUMMYFUNCTION("""COMPUTED_VALUE"""),"Good")</f>
        <v>Good</v>
      </c>
      <c r="S85" t="str">
        <f>IFERROR(__xludf.DUMMYFUNCTION("""COMPUTED_VALUE"""),"Good")</f>
        <v>Good</v>
      </c>
      <c r="T85" t="str">
        <f>IFERROR(__xludf.DUMMYFUNCTION("""COMPUTED_VALUE"""),"Good")</f>
        <v>Good</v>
      </c>
      <c r="U85" t="str">
        <f>IFERROR(__xludf.DUMMYFUNCTION("""COMPUTED_VALUE"""),"Good")</f>
        <v>Good</v>
      </c>
      <c r="V85" t="str">
        <f>IFERROR(__xludf.DUMMYFUNCTION("""COMPUTED_VALUE"""),"Good")</f>
        <v>Good</v>
      </c>
      <c r="W85" t="str">
        <f>IFERROR(__xludf.DUMMYFUNCTION("""COMPUTED_VALUE"""),"Good")</f>
        <v>Good</v>
      </c>
      <c r="X85" t="str">
        <f>IFERROR(__xludf.DUMMYFUNCTION("""COMPUTED_VALUE"""),"Good")</f>
        <v>Good</v>
      </c>
      <c r="Y85" t="str">
        <f>IFERROR(__xludf.DUMMYFUNCTION("""COMPUTED_VALUE"""),"Good")</f>
        <v>Good</v>
      </c>
      <c r="Z85" t="str">
        <f>IFERROR(__xludf.DUMMYFUNCTION("""COMPUTED_VALUE"""),"Good")</f>
        <v>Good</v>
      </c>
      <c r="AA85" t="str">
        <f>IFERROR(__xludf.DUMMYFUNCTION("""COMPUTED_VALUE"""),"Good")</f>
        <v>Good</v>
      </c>
      <c r="AB85" t="str">
        <f>IFERROR(__xludf.DUMMYFUNCTION("""COMPUTED_VALUE"""),"Good")</f>
        <v>Good</v>
      </c>
      <c r="AC85" t="str">
        <f>IFERROR(__xludf.DUMMYFUNCTION("""COMPUTED_VALUE"""),"Good")</f>
        <v>Good</v>
      </c>
      <c r="AE85" s="11"/>
      <c r="AF85" t="b">
        <v>0</v>
      </c>
      <c r="AG85" s="17" t="s">
        <v>18</v>
      </c>
      <c r="AH85" s="12"/>
      <c r="AI85" s="12" t="s">
        <v>193</v>
      </c>
      <c r="AJ85" s="19" t="s">
        <v>194</v>
      </c>
      <c r="AK85" s="20" t="str">
        <f>HYPERLINK("https://docs.google.com/document/d/1YErNHz-z5auJhRmMWf7quuIOf99gflm67GG5yE4XHtw/edit?usp=drivesdk","Silas Tanner - 6/15/2018 1:00 PM")</f>
        <v>Silas Tanner - 6/15/2018 1:00 PM</v>
      </c>
      <c r="AL85" s="12" t="s">
        <v>195</v>
      </c>
    </row>
    <row r="86">
      <c r="A86" s="10">
        <f>IFERROR(__xludf.DUMMYFUNCTION("""COMPUTED_VALUE"""),43267.41427137732)</f>
        <v>43267.41427</v>
      </c>
      <c r="B86" s="11" t="str">
        <f>IFERROR(__xludf.DUMMYFUNCTION("""COMPUTED_VALUE"""),"Gabriela Canas")</f>
        <v>Gabriela Canas</v>
      </c>
      <c r="C86" t="str">
        <f>IFERROR(__xludf.DUMMYFUNCTION("""COMPUTED_VALUE"""),"gabriela.canas@dep.state.fl.us")</f>
        <v>gabriela.canas@dep.state.fl.us</v>
      </c>
      <c r="D86" t="str">
        <f>IFERROR(__xludf.DUMMYFUNCTION("""COMPUTED_VALUE"""),"Research")</f>
        <v>Research</v>
      </c>
      <c r="E86" t="str">
        <f>IFERROR(__xludf.DUMMYFUNCTION("""COMPUTED_VALUE"""),"Shore drive boat ramp")</f>
        <v>Shore drive boat ramp</v>
      </c>
      <c r="F86" s="13">
        <f>IFERROR(__xludf.DUMMYFUNCTION("""COMPUTED_VALUE"""),0.4375)</f>
        <v>0.4375</v>
      </c>
      <c r="G86" s="14">
        <f>IFERROR(__xludf.DUMMYFUNCTION("""COMPUTED_VALUE"""),43267.0)</f>
        <v>43267</v>
      </c>
      <c r="H86" t="str">
        <f>IFERROR(__xludf.DUMMYFUNCTION("""COMPUTED_VALUE"""),"Gabby’s creek ")</f>
        <v>Gabby’s creek </v>
      </c>
      <c r="I86" s="15">
        <f>IFERROR(__xludf.DUMMYFUNCTION("""COMPUTED_VALUE"""),0.625)</f>
        <v>0.625</v>
      </c>
      <c r="J86" s="16">
        <f>IFERROR(__xludf.DUMMYFUNCTION("""COMPUTED_VALUE"""),43267.66666666667)</f>
        <v>43267.66667</v>
      </c>
      <c r="K86" t="str">
        <f>IFERROR(__xludf.DUMMYFUNCTION("""COMPUTED_VALUE"""),"F 20ft Sea Ark (Easy 200) FL8534PY DEP21451")</f>
        <v>F 20ft Sea Ark (Easy 200) FL8534PY DEP21451</v>
      </c>
      <c r="M86" t="str">
        <f>IFERROR(__xludf.DUMMYFUNCTION("""COMPUTED_VALUE"""),"Ford F250 2017 (Moby Dix) - DEP0021578")</f>
        <v>Ford F250 2017 (Moby Dix) - DEP0021578</v>
      </c>
      <c r="N86" t="str">
        <f>IFERROR(__xludf.DUMMYFUNCTION("""COMPUTED_VALUE"""),"Ben Mowbray, (407) 962-8782")</f>
        <v>Ben Mowbray, (407) 962-8782</v>
      </c>
      <c r="O86" t="str">
        <f>IFERROR(__xludf.DUMMYFUNCTION("""COMPUTED_VALUE"""),"Gabriela Canas, (904) 891-9743, 2 volunteers Alee knowell, Charles Huber ")</f>
        <v>Gabriela Canas, (904) 891-9743, 2 volunteers Alee knowell, Charles Huber </v>
      </c>
      <c r="P86" t="str">
        <f>IFERROR(__xludf.DUMMYFUNCTION("""COMPUTED_VALUE"""),"Ben Mowbray ")</f>
        <v>Ben Mowbray </v>
      </c>
      <c r="Q86" t="str">
        <f>IFERROR(__xludf.DUMMYFUNCTION("""COMPUTED_VALUE"""),"Good")</f>
        <v>Good</v>
      </c>
      <c r="R86" t="str">
        <f>IFERROR(__xludf.DUMMYFUNCTION("""COMPUTED_VALUE"""),"Good")</f>
        <v>Good</v>
      </c>
      <c r="S86" t="str">
        <f>IFERROR(__xludf.DUMMYFUNCTION("""COMPUTED_VALUE"""),"Good")</f>
        <v>Good</v>
      </c>
      <c r="T86" t="str">
        <f>IFERROR(__xludf.DUMMYFUNCTION("""COMPUTED_VALUE"""),"Good")</f>
        <v>Good</v>
      </c>
      <c r="U86" t="str">
        <f>IFERROR(__xludf.DUMMYFUNCTION("""COMPUTED_VALUE"""),"Good")</f>
        <v>Good</v>
      </c>
      <c r="V86" t="str">
        <f>IFERROR(__xludf.DUMMYFUNCTION("""COMPUTED_VALUE"""),"Good")</f>
        <v>Good</v>
      </c>
      <c r="W86" t="str">
        <f>IFERROR(__xludf.DUMMYFUNCTION("""COMPUTED_VALUE"""),"Good")</f>
        <v>Good</v>
      </c>
      <c r="X86" t="str">
        <f>IFERROR(__xludf.DUMMYFUNCTION("""COMPUTED_VALUE"""),"Good")</f>
        <v>Good</v>
      </c>
      <c r="Y86" t="str">
        <f>IFERROR(__xludf.DUMMYFUNCTION("""COMPUTED_VALUE"""),"Good")</f>
        <v>Good</v>
      </c>
      <c r="Z86" t="str">
        <f>IFERROR(__xludf.DUMMYFUNCTION("""COMPUTED_VALUE"""),"Good")</f>
        <v>Good</v>
      </c>
      <c r="AA86" t="str">
        <f>IFERROR(__xludf.DUMMYFUNCTION("""COMPUTED_VALUE"""),"Good")</f>
        <v>Good</v>
      </c>
      <c r="AB86" t="str">
        <f>IFERROR(__xludf.DUMMYFUNCTION("""COMPUTED_VALUE"""),"Good")</f>
        <v>Good</v>
      </c>
      <c r="AC86" t="str">
        <f>IFERROR(__xludf.DUMMYFUNCTION("""COMPUTED_VALUE"""),"Good")</f>
        <v>Good</v>
      </c>
      <c r="AD86" t="str">
        <f>IFERROR(__xludf.DUMMYFUNCTION("""COMPUTED_VALUE"""),"Afternoon storms")</f>
        <v>Afternoon storms</v>
      </c>
      <c r="AE86" s="11" t="str">
        <f>IFERROR(__xludf.DUMMYFUNCTION("""COMPUTED_VALUE"""),"11:30 high tide")</f>
        <v>11:30 high tide</v>
      </c>
      <c r="AF86" t="b">
        <v>0</v>
      </c>
      <c r="AG86" s="17" t="s">
        <v>7</v>
      </c>
      <c r="AH86" s="12"/>
      <c r="AI86" s="12" t="s">
        <v>196</v>
      </c>
      <c r="AJ86" s="19" t="s">
        <v>197</v>
      </c>
      <c r="AK86" s="20" t="str">
        <f>HYPERLINK("https://docs.google.com/document/d/1zx2ToY0GcjujicDXZiUTnvQUpIp0-oiJuQlUByUuEXk/edit?usp=drivesdk","Gabriela Canas - 6/16/2018 10:30 AM")</f>
        <v>Gabriela Canas - 6/16/2018 10:30 AM</v>
      </c>
      <c r="AL86" s="12" t="s">
        <v>198</v>
      </c>
    </row>
    <row r="87">
      <c r="A87" s="10">
        <f>IFERROR(__xludf.DUMMYFUNCTION("""COMPUTED_VALUE"""),43269.25535648148)</f>
        <v>43269.25536</v>
      </c>
      <c r="B87" s="11" t="str">
        <f>IFERROR(__xludf.DUMMYFUNCTION("""COMPUTED_VALUE"""),"Pamela Marcum")</f>
        <v>Pamela Marcum</v>
      </c>
      <c r="C87" t="str">
        <f>IFERROR(__xludf.DUMMYFUNCTION("""COMPUTED_VALUE"""),"Pamela.Marcum@dep.state.fl.us")</f>
        <v>Pamela.Marcum@dep.state.fl.us</v>
      </c>
      <c r="D87" t="str">
        <f>IFERROR(__xludf.DUMMYFUNCTION("""COMPUTED_VALUE"""),"Research")</f>
        <v>Research</v>
      </c>
      <c r="E87" t="str">
        <f>IFERROR(__xludf.DUMMYFUNCTION("""COMPUTED_VALUE"""),"Whitney &amp; Green Rd")</f>
        <v>Whitney &amp; Green Rd</v>
      </c>
      <c r="F87" s="13">
        <f>IFERROR(__xludf.DUMMYFUNCTION("""COMPUTED_VALUE"""),0.2916666666678793)</f>
        <v>0.2916666667</v>
      </c>
      <c r="G87" s="14">
        <f>IFERROR(__xludf.DUMMYFUNCTION("""COMPUTED_VALUE"""),43269.0)</f>
        <v>43269</v>
      </c>
      <c r="H87" t="str">
        <f>IFERROR(__xludf.DUMMYFUNCTION("""COMPUTED_VALUE"""),"Kimbro Sites- Pellicer &amp; Moses")</f>
        <v>Kimbro Sites- Pellicer &amp; Moses</v>
      </c>
      <c r="I87" s="15">
        <f>IFERROR(__xludf.DUMMYFUNCTION("""COMPUTED_VALUE"""),0.625)</f>
        <v>0.625</v>
      </c>
      <c r="J87" s="16">
        <f>IFERROR(__xludf.DUMMYFUNCTION("""COMPUTED_VALUE"""),43269.70833333333)</f>
        <v>43269.70833</v>
      </c>
      <c r="K87" t="str">
        <f>IFERROR(__xludf.DUMMYFUNCTION("""COMPUTED_VALUE"""),"23ft Skiff (Bertha) FL7972LJ DEP07613")</f>
        <v>23ft Skiff (Bertha) FL7972LJ DEP07613</v>
      </c>
      <c r="M87" t="str">
        <f>IFERROR(__xludf.DUMMYFUNCTION("""COMPUTED_VALUE"""),"Ford F150 2008 - DEP18041 (SWMP Thing)")</f>
        <v>Ford F150 2008 - DEP18041 (SWMP Thing)</v>
      </c>
      <c r="N87" t="str">
        <f>IFERROR(__xludf.DUMMYFUNCTION("""COMPUTED_VALUE"""),"Pam Marcum, (480) 332-5414, Ben Mowbray, (407) 962-8782")</f>
        <v>Pam Marcum, (480) 332-5414, Ben Mowbray, (407) 962-8782</v>
      </c>
      <c r="O87" t="str">
        <f>IFERROR(__xludf.DUMMYFUNCTION("""COMPUTED_VALUE"""),"David Kimbro, Nicole Peckham, Rodrigo")</f>
        <v>David Kimbro, Nicole Peckham, Rodrigo</v>
      </c>
      <c r="P87" t="str">
        <f>IFERROR(__xludf.DUMMYFUNCTION("""COMPUTED_VALUE"""),"Pam Marcum")</f>
        <v>Pam Marcum</v>
      </c>
      <c r="Q87" t="str">
        <f>IFERROR(__xludf.DUMMYFUNCTION("""COMPUTED_VALUE"""),"Good")</f>
        <v>Good</v>
      </c>
      <c r="R87" t="str">
        <f>IFERROR(__xludf.DUMMYFUNCTION("""COMPUTED_VALUE"""),"Good")</f>
        <v>Good</v>
      </c>
      <c r="S87" t="str">
        <f>IFERROR(__xludf.DUMMYFUNCTION("""COMPUTED_VALUE"""),"Good")</f>
        <v>Good</v>
      </c>
      <c r="T87" t="str">
        <f>IFERROR(__xludf.DUMMYFUNCTION("""COMPUTED_VALUE"""),"Good")</f>
        <v>Good</v>
      </c>
      <c r="U87" t="str">
        <f>IFERROR(__xludf.DUMMYFUNCTION("""COMPUTED_VALUE"""),"Good")</f>
        <v>Good</v>
      </c>
      <c r="V87" t="str">
        <f>IFERROR(__xludf.DUMMYFUNCTION("""COMPUTED_VALUE"""),"Good")</f>
        <v>Good</v>
      </c>
      <c r="W87" t="str">
        <f>IFERROR(__xludf.DUMMYFUNCTION("""COMPUTED_VALUE"""),"Good")</f>
        <v>Good</v>
      </c>
      <c r="X87" t="str">
        <f>IFERROR(__xludf.DUMMYFUNCTION("""COMPUTED_VALUE"""),"Good")</f>
        <v>Good</v>
      </c>
      <c r="Y87" t="str">
        <f>IFERROR(__xludf.DUMMYFUNCTION("""COMPUTED_VALUE"""),"Good")</f>
        <v>Good</v>
      </c>
      <c r="Z87" t="str">
        <f>IFERROR(__xludf.DUMMYFUNCTION("""COMPUTED_VALUE"""),"Good")</f>
        <v>Good</v>
      </c>
      <c r="AA87" t="str">
        <f>IFERROR(__xludf.DUMMYFUNCTION("""COMPUTED_VALUE"""),"Good")</f>
        <v>Good</v>
      </c>
      <c r="AB87" t="str">
        <f>IFERROR(__xludf.DUMMYFUNCTION("""COMPUTED_VALUE"""),"Good")</f>
        <v>Good</v>
      </c>
      <c r="AC87" t="str">
        <f>IFERROR(__xludf.DUMMYFUNCTION("""COMPUTED_VALUE"""),"Good")</f>
        <v>Good</v>
      </c>
      <c r="AE87" s="11"/>
      <c r="AF87" t="b">
        <v>0</v>
      </c>
      <c r="AG87" s="17" t="s">
        <v>18</v>
      </c>
      <c r="AH87" s="12"/>
      <c r="AI87" s="12" t="s">
        <v>199</v>
      </c>
      <c r="AJ87" s="19" t="s">
        <v>200</v>
      </c>
      <c r="AK87" s="20" t="str">
        <f>HYPERLINK("https://docs.google.com/document/d/1KwWbRZ0rfVkD6cgG4sahSuTzc2waIBHIwhs9aelaYeM/edit?usp=drivesdk","Pamela Marcum - 6/18/2018 7:00 AM")</f>
        <v>Pamela Marcum - 6/18/2018 7:00 AM</v>
      </c>
      <c r="AL87" s="12" t="s">
        <v>201</v>
      </c>
    </row>
    <row r="88">
      <c r="A88" s="10">
        <f>IFERROR(__xludf.DUMMYFUNCTION("""COMPUTED_VALUE"""),43270.230364710646)</f>
        <v>43270.23036</v>
      </c>
      <c r="B88" s="11" t="str">
        <f>IFERROR(__xludf.DUMMYFUNCTION("""COMPUTED_VALUE"""),"Ben Mowbray")</f>
        <v>Ben Mowbray</v>
      </c>
      <c r="C88" t="str">
        <f>IFERROR(__xludf.DUMMYFUNCTION("""COMPUTED_VALUE"""),"ben.mowbray@dep.state.fl.us")</f>
        <v>ben.mowbray@dep.state.fl.us</v>
      </c>
      <c r="D88" t="str">
        <f>IFERROR(__xludf.DUMMYFUNCTION("""COMPUTED_VALUE"""),"Research")</f>
        <v>Research</v>
      </c>
      <c r="E88" t="str">
        <f>IFERROR(__xludf.DUMMYFUNCTION("""COMPUTED_VALUE"""),"Green Rd. Boat Ramp")</f>
        <v>Green Rd. Boat Ramp</v>
      </c>
      <c r="F88" s="13">
        <f>IFERROR(__xludf.DUMMYFUNCTION("""COMPUTED_VALUE"""),0.375)</f>
        <v>0.375</v>
      </c>
      <c r="G88" s="14">
        <f>IFERROR(__xludf.DUMMYFUNCTION("""COMPUTED_VALUE"""),43270.0)</f>
        <v>43270</v>
      </c>
      <c r="H88" t="str">
        <f>IFERROR(__xludf.DUMMYFUNCTION("""COMPUTED_VALUE"""),"Moses Kimbro Site")</f>
        <v>Moses Kimbro Site</v>
      </c>
      <c r="I88" s="15">
        <f>IFERROR(__xludf.DUMMYFUNCTION("""COMPUTED_VALUE"""),0.5625)</f>
        <v>0.5625</v>
      </c>
      <c r="J88" s="16">
        <f>IFERROR(__xludf.DUMMYFUNCTION("""COMPUTED_VALUE"""),43270.625)</f>
        <v>43270.625</v>
      </c>
      <c r="K88" t="str">
        <f>IFERROR(__xludf.DUMMYFUNCTION("""COMPUTED_VALUE"""),"23ft Skiff (Bertha) FL7972LJ DEP07613, Kayak(s)")</f>
        <v>23ft Skiff (Bertha) FL7972LJ DEP07613, Kayak(s)</v>
      </c>
      <c r="L88">
        <f>IFERROR(__xludf.DUMMYFUNCTION("""COMPUTED_VALUE"""),1.0)</f>
        <v>1</v>
      </c>
      <c r="M88" t="str">
        <f>IFERROR(__xludf.DUMMYFUNCTION("""COMPUTED_VALUE"""),"Ford F150 2015 (White) - DEP21448")</f>
        <v>Ford F150 2015 (White) - DEP21448</v>
      </c>
      <c r="N88" t="str">
        <f>IFERROR(__xludf.DUMMYFUNCTION("""COMPUTED_VALUE"""),"Ben Mowbray, (407) 962-8782")</f>
        <v>Ben Mowbray, (407) 962-8782</v>
      </c>
      <c r="O88" t="str">
        <f>IFERROR(__xludf.DUMMYFUNCTION("""COMPUTED_VALUE"""),"Nicole Peckham, Adrienne, Rodrigo")</f>
        <v>Nicole Peckham, Adrienne, Rodrigo</v>
      </c>
      <c r="P88" t="str">
        <f>IFERROR(__xludf.DUMMYFUNCTION("""COMPUTED_VALUE"""),"Ben")</f>
        <v>Ben</v>
      </c>
      <c r="Q88" t="str">
        <f>IFERROR(__xludf.DUMMYFUNCTION("""COMPUTED_VALUE"""),"Good")</f>
        <v>Good</v>
      </c>
      <c r="R88" t="str">
        <f>IFERROR(__xludf.DUMMYFUNCTION("""COMPUTED_VALUE"""),"Good")</f>
        <v>Good</v>
      </c>
      <c r="S88" t="str">
        <f>IFERROR(__xludf.DUMMYFUNCTION("""COMPUTED_VALUE"""),"Good")</f>
        <v>Good</v>
      </c>
      <c r="T88" t="str">
        <f>IFERROR(__xludf.DUMMYFUNCTION("""COMPUTED_VALUE"""),"Good")</f>
        <v>Good</v>
      </c>
      <c r="U88" t="str">
        <f>IFERROR(__xludf.DUMMYFUNCTION("""COMPUTED_VALUE"""),"Good")</f>
        <v>Good</v>
      </c>
      <c r="V88" t="str">
        <f>IFERROR(__xludf.DUMMYFUNCTION("""COMPUTED_VALUE"""),"Good")</f>
        <v>Good</v>
      </c>
      <c r="W88" t="str">
        <f>IFERROR(__xludf.DUMMYFUNCTION("""COMPUTED_VALUE"""),"Good")</f>
        <v>Good</v>
      </c>
      <c r="X88" t="str">
        <f>IFERROR(__xludf.DUMMYFUNCTION("""COMPUTED_VALUE"""),"Good")</f>
        <v>Good</v>
      </c>
      <c r="Y88" t="str">
        <f>IFERROR(__xludf.DUMMYFUNCTION("""COMPUTED_VALUE"""),"Good")</f>
        <v>Good</v>
      </c>
      <c r="Z88" t="str">
        <f>IFERROR(__xludf.DUMMYFUNCTION("""COMPUTED_VALUE"""),"Good")</f>
        <v>Good</v>
      </c>
      <c r="AA88" t="str">
        <f>IFERROR(__xludf.DUMMYFUNCTION("""COMPUTED_VALUE"""),"Good")</f>
        <v>Good</v>
      </c>
      <c r="AB88" t="str">
        <f>IFERROR(__xludf.DUMMYFUNCTION("""COMPUTED_VALUE"""),"Good")</f>
        <v>Good</v>
      </c>
      <c r="AC88" t="str">
        <f>IFERROR(__xludf.DUMMYFUNCTION("""COMPUTED_VALUE"""),"Good")</f>
        <v>Good</v>
      </c>
      <c r="AE88" s="11"/>
      <c r="AF88" t="b">
        <v>0</v>
      </c>
      <c r="AG88" s="17" t="s">
        <v>18</v>
      </c>
      <c r="AH88" s="12"/>
      <c r="AI88" s="12" t="s">
        <v>202</v>
      </c>
      <c r="AJ88" s="19" t="s">
        <v>203</v>
      </c>
      <c r="AK88" s="20" t="str">
        <f>HYPERLINK("https://docs.google.com/document/d/18sH7tpcvRVPrnvu5INSV_e-yIKj2uGcQozGVLnx_pZU/edit?usp=drivesdk","Ben Mowbray - 6/19/2018 9:00 AM")</f>
        <v>Ben Mowbray - 6/19/2018 9:00 AM</v>
      </c>
      <c r="AL88" s="12" t="s">
        <v>204</v>
      </c>
    </row>
    <row r="89">
      <c r="A89" s="10">
        <f>IFERROR(__xludf.DUMMYFUNCTION("""COMPUTED_VALUE"""),43272.359175879625)</f>
        <v>43272.35918</v>
      </c>
      <c r="B89" s="11" t="str">
        <f>IFERROR(__xludf.DUMMYFUNCTION("""COMPUTED_VALUE"""),"James Tomazinis")</f>
        <v>James Tomazinis</v>
      </c>
      <c r="C89" t="str">
        <f>IFERROR(__xludf.DUMMYFUNCTION("""COMPUTED_VALUE"""),"james.tomazinis@floridadep.gov")</f>
        <v>james.tomazinis@floridadep.gov</v>
      </c>
      <c r="D89" t="str">
        <f>IFERROR(__xludf.DUMMYFUNCTION("""COMPUTED_VALUE"""),"Stewardship (Aquatic)")</f>
        <v>Stewardship (Aquatic)</v>
      </c>
      <c r="E89" t="str">
        <f>IFERROR(__xludf.DUMMYFUNCTION("""COMPUTED_VALUE"""),"Sawpit creek")</f>
        <v>Sawpit creek</v>
      </c>
      <c r="F89" s="13">
        <f>IFERROR(__xludf.DUMMYFUNCTION("""COMPUTED_VALUE"""),0.40625)</f>
        <v>0.40625</v>
      </c>
      <c r="G89" s="14">
        <f>IFERROR(__xludf.DUMMYFUNCTION("""COMPUTED_VALUE"""),43272.0)</f>
        <v>43272</v>
      </c>
      <c r="H89" t="str">
        <f>IFERROR(__xludf.DUMMYFUNCTION("""COMPUTED_VALUE"""),"Nassauville restoration site and mangroves")</f>
        <v>Nassauville restoration site and mangroves</v>
      </c>
      <c r="I89" s="15">
        <f>IFERROR(__xludf.DUMMYFUNCTION("""COMPUTED_VALUE"""),0.7083333333321207)</f>
        <v>0.7083333333</v>
      </c>
      <c r="J89" s="16"/>
      <c r="K89" t="str">
        <f>IFERROR(__xludf.DUMMYFUNCTION("""COMPUTED_VALUE"""),"F 20ft Sea Ark (Easy 200) FL8534PY DEP21451")</f>
        <v>F 20ft Sea Ark (Easy 200) FL8534PY DEP21451</v>
      </c>
      <c r="M89" t="str">
        <f>IFERROR(__xludf.DUMMYFUNCTION("""COMPUTED_VALUE"""),"Ford F250 2017 (Moby Dix) - DEP0021578")</f>
        <v>Ford F250 2017 (Moby Dix) - DEP0021578</v>
      </c>
      <c r="N89" t="str">
        <f>IFERROR(__xludf.DUMMYFUNCTION("""COMPUTED_VALUE"""),"Scott Eastman, (904) 501-9267, Jimmy Tomazinis, (904) 547-0094")</f>
        <v>Scott Eastman, (904) 501-9267, Jimmy Tomazinis, (904) 547-0094</v>
      </c>
      <c r="O89" t="str">
        <f>IFERROR(__xludf.DUMMYFUNCTION("""COMPUTED_VALUE"""),"Mike Dickson")</f>
        <v>Mike Dickson</v>
      </c>
      <c r="P89" t="str">
        <f>IFERROR(__xludf.DUMMYFUNCTION("""COMPUTED_VALUE"""),"Jimmy")</f>
        <v>Jimmy</v>
      </c>
      <c r="Q89" t="str">
        <f>IFERROR(__xludf.DUMMYFUNCTION("""COMPUTED_VALUE"""),"Good")</f>
        <v>Good</v>
      </c>
      <c r="R89" t="str">
        <f>IFERROR(__xludf.DUMMYFUNCTION("""COMPUTED_VALUE"""),"Good")</f>
        <v>Good</v>
      </c>
      <c r="S89" t="str">
        <f>IFERROR(__xludf.DUMMYFUNCTION("""COMPUTED_VALUE"""),"Good")</f>
        <v>Good</v>
      </c>
      <c r="T89" t="str">
        <f>IFERROR(__xludf.DUMMYFUNCTION("""COMPUTED_VALUE"""),"Good")</f>
        <v>Good</v>
      </c>
      <c r="U89" t="str">
        <f>IFERROR(__xludf.DUMMYFUNCTION("""COMPUTED_VALUE"""),"Good")</f>
        <v>Good</v>
      </c>
      <c r="V89" t="str">
        <f>IFERROR(__xludf.DUMMYFUNCTION("""COMPUTED_VALUE"""),"Good")</f>
        <v>Good</v>
      </c>
      <c r="W89" t="str">
        <f>IFERROR(__xludf.DUMMYFUNCTION("""COMPUTED_VALUE"""),"Good")</f>
        <v>Good</v>
      </c>
      <c r="X89" t="str">
        <f>IFERROR(__xludf.DUMMYFUNCTION("""COMPUTED_VALUE"""),"Good")</f>
        <v>Good</v>
      </c>
      <c r="Y89" t="str">
        <f>IFERROR(__xludf.DUMMYFUNCTION("""COMPUTED_VALUE"""),"Good")</f>
        <v>Good</v>
      </c>
      <c r="Z89" t="str">
        <f>IFERROR(__xludf.DUMMYFUNCTION("""COMPUTED_VALUE"""),"Good")</f>
        <v>Good</v>
      </c>
      <c r="AA89" t="str">
        <f>IFERROR(__xludf.DUMMYFUNCTION("""COMPUTED_VALUE"""),"Good")</f>
        <v>Good</v>
      </c>
      <c r="AB89" t="str">
        <f>IFERROR(__xludf.DUMMYFUNCTION("""COMPUTED_VALUE"""),"Good")</f>
        <v>Good</v>
      </c>
      <c r="AC89" t="str">
        <f>IFERROR(__xludf.DUMMYFUNCTION("""COMPUTED_VALUE"""),"Good")</f>
        <v>Good</v>
      </c>
      <c r="AE89" s="11"/>
      <c r="AF89" t="s">
        <v>32</v>
      </c>
      <c r="AG89" s="17" t="s">
        <v>18</v>
      </c>
      <c r="AH89" s="12"/>
      <c r="AI89" s="12" t="s">
        <v>205</v>
      </c>
      <c r="AJ89" s="19" t="s">
        <v>206</v>
      </c>
      <c r="AK89" s="20" t="str">
        <f>HYPERLINK("https://docs.google.com/document/d/1v7q-IULNLh2s7jlsl-iuhE7Fi_UIkWYnjOZQaPhKCSs/edit?usp=drivesdk","James Tomazinis - 6/21/2018 9:45 AM")</f>
        <v>James Tomazinis - 6/21/2018 9:45 AM</v>
      </c>
      <c r="AL89" s="12" t="s">
        <v>207</v>
      </c>
    </row>
    <row r="90">
      <c r="A90" s="10">
        <f>IFERROR(__xludf.DUMMYFUNCTION("""COMPUTED_VALUE"""),43276.37586149305)</f>
        <v>43276.37586</v>
      </c>
      <c r="B90" s="11" t="str">
        <f>IFERROR(__xludf.DUMMYFUNCTION("""COMPUTED_VALUE"""),"Pamela Marcum")</f>
        <v>Pamela Marcum</v>
      </c>
      <c r="C90" t="str">
        <f>IFERROR(__xludf.DUMMYFUNCTION("""COMPUTED_VALUE"""),"Pamela.Marcum@dep.state.fl.us")</f>
        <v>Pamela.Marcum@dep.state.fl.us</v>
      </c>
      <c r="D90" t="str">
        <f>IFERROR(__xludf.DUMMYFUNCTION("""COMPUTED_VALUE"""),"Research")</f>
        <v>Research</v>
      </c>
      <c r="E90" t="str">
        <f>IFERROR(__xludf.DUMMYFUNCTION("""COMPUTED_VALUE"""),"Bing's Landing")</f>
        <v>Bing's Landing</v>
      </c>
      <c r="F90" s="13">
        <f>IFERROR(__xludf.DUMMYFUNCTION("""COMPUTED_VALUE"""),0.5)</f>
        <v>0.5</v>
      </c>
      <c r="G90" s="14">
        <f>IFERROR(__xludf.DUMMYFUNCTION("""COMPUTED_VALUE"""),43276.0)</f>
        <v>43276</v>
      </c>
      <c r="H90" t="str">
        <f>IFERROR(__xludf.DUMMYFUNCTION("""COMPUTED_VALUE"""),"Mantanzas River")</f>
        <v>Mantanzas River</v>
      </c>
      <c r="I90" s="15">
        <f>IFERROR(__xludf.DUMMYFUNCTION("""COMPUTED_VALUE"""),0.625)</f>
        <v>0.625</v>
      </c>
      <c r="J90" s="16">
        <f>IFERROR(__xludf.DUMMYFUNCTION("""COMPUTED_VALUE"""),43276.66666666667)</f>
        <v>43276.66667</v>
      </c>
      <c r="K90" t="str">
        <f>IFERROR(__xludf.DUMMYFUNCTION("""COMPUTED_VALUE"""),"23ft Skiff (Bertha) FL7972LJ DEP07613")</f>
        <v>23ft Skiff (Bertha) FL7972LJ DEP07613</v>
      </c>
      <c r="M90" t="str">
        <f>IFERROR(__xludf.DUMMYFUNCTION("""COMPUTED_VALUE"""),"Ford F150 2008 - DEP18041 (SWMP Thing)")</f>
        <v>Ford F150 2008 - DEP18041 (SWMP Thing)</v>
      </c>
      <c r="N90" t="str">
        <f>IFERROR(__xludf.DUMMYFUNCTION("""COMPUTED_VALUE"""),"Pam Marcum, (480) 332-5414")</f>
        <v>Pam Marcum, (480) 332-5414</v>
      </c>
      <c r="O90" t="str">
        <f>IFERROR(__xludf.DUMMYFUNCTION("""COMPUTED_VALUE"""),"Benjamin Mowbray, (407) 962-8782, Remo Mondazzi")</f>
        <v>Benjamin Mowbray, (407) 962-8782, Remo Mondazzi</v>
      </c>
      <c r="P90" t="str">
        <f>IFERROR(__xludf.DUMMYFUNCTION("""COMPUTED_VALUE"""),"Pamela Marcum")</f>
        <v>Pamela Marcum</v>
      </c>
      <c r="Q90" t="str">
        <f>IFERROR(__xludf.DUMMYFUNCTION("""COMPUTED_VALUE"""),"Good")</f>
        <v>Good</v>
      </c>
      <c r="R90" t="str">
        <f>IFERROR(__xludf.DUMMYFUNCTION("""COMPUTED_VALUE"""),"Good")</f>
        <v>Good</v>
      </c>
      <c r="S90" t="str">
        <f>IFERROR(__xludf.DUMMYFUNCTION("""COMPUTED_VALUE"""),"Good")</f>
        <v>Good</v>
      </c>
      <c r="T90" t="str">
        <f>IFERROR(__xludf.DUMMYFUNCTION("""COMPUTED_VALUE"""),"Good")</f>
        <v>Good</v>
      </c>
      <c r="U90" t="str">
        <f>IFERROR(__xludf.DUMMYFUNCTION("""COMPUTED_VALUE"""),"Good")</f>
        <v>Good</v>
      </c>
      <c r="V90" t="str">
        <f>IFERROR(__xludf.DUMMYFUNCTION("""COMPUTED_VALUE"""),"Good")</f>
        <v>Good</v>
      </c>
      <c r="W90" t="str">
        <f>IFERROR(__xludf.DUMMYFUNCTION("""COMPUTED_VALUE"""),"Good")</f>
        <v>Good</v>
      </c>
      <c r="X90" t="str">
        <f>IFERROR(__xludf.DUMMYFUNCTION("""COMPUTED_VALUE"""),"Good")</f>
        <v>Good</v>
      </c>
      <c r="Y90" t="str">
        <f>IFERROR(__xludf.DUMMYFUNCTION("""COMPUTED_VALUE"""),"Good")</f>
        <v>Good</v>
      </c>
      <c r="Z90" t="str">
        <f>IFERROR(__xludf.DUMMYFUNCTION("""COMPUTED_VALUE"""),"Good")</f>
        <v>Good</v>
      </c>
      <c r="AA90" t="str">
        <f>IFERROR(__xludf.DUMMYFUNCTION("""COMPUTED_VALUE"""),"Good")</f>
        <v>Good</v>
      </c>
      <c r="AB90" t="str">
        <f>IFERROR(__xludf.DUMMYFUNCTION("""COMPUTED_VALUE"""),"Good")</f>
        <v>Good</v>
      </c>
      <c r="AC90" t="str">
        <f>IFERROR(__xludf.DUMMYFUNCTION("""COMPUTED_VALUE"""),"Good")</f>
        <v>Good</v>
      </c>
      <c r="AE90" s="11"/>
      <c r="AF90" t="b">
        <v>0</v>
      </c>
      <c r="AG90" s="17" t="s">
        <v>208</v>
      </c>
      <c r="AH90" s="12"/>
      <c r="AI90" s="12" t="s">
        <v>209</v>
      </c>
      <c r="AJ90" s="19" t="s">
        <v>210</v>
      </c>
      <c r="AK90" s="20" t="str">
        <f>HYPERLINK("https://docs.google.com/document/d/1L0kzkzO3R_dAJCQe55pzE_QXkWNAsyj-X0rnm0gVaQY/edit?usp=drivesdk","Pamela Marcum - 6/25/2018 12:00 PM")</f>
        <v>Pamela Marcum - 6/25/2018 12:00 PM</v>
      </c>
      <c r="AL90" s="12" t="s">
        <v>211</v>
      </c>
    </row>
    <row r="91">
      <c r="A91" s="10">
        <f>IFERROR(__xludf.DUMMYFUNCTION("""COMPUTED_VALUE"""),43276.43057229167)</f>
        <v>43276.43057</v>
      </c>
      <c r="B91" s="11" t="str">
        <f>IFERROR(__xludf.DUMMYFUNCTION("""COMPUTED_VALUE"""),"Kenneth Rainer")</f>
        <v>Kenneth Rainer</v>
      </c>
      <c r="C91" t="str">
        <f>IFERROR(__xludf.DUMMYFUNCTION("""COMPUTED_VALUE"""),"Kenneth.Rainer@dep.state.fl.us")</f>
        <v>Kenneth.Rainer@dep.state.fl.us</v>
      </c>
      <c r="D91" t="str">
        <f>IFERROR(__xludf.DUMMYFUNCTION("""COMPUTED_VALUE"""),"Education")</f>
        <v>Education</v>
      </c>
      <c r="E91" t="str">
        <f>IFERROR(__xludf.DUMMYFUNCTION("""COMPUTED_VALUE"""),"Usina Boat Ramp")</f>
        <v>Usina Boat Ramp</v>
      </c>
      <c r="F91" s="13">
        <f>IFERROR(__xludf.DUMMYFUNCTION("""COMPUTED_VALUE"""),0.375)</f>
        <v>0.375</v>
      </c>
      <c r="G91" s="14">
        <f>IFERROR(__xludf.DUMMYFUNCTION("""COMPUTED_VALUE"""),43277.0)</f>
        <v>43277</v>
      </c>
      <c r="H91" t="str">
        <f>IFERROR(__xludf.DUMMYFUNCTION("""COMPUTED_VALUE"""),"Northern Component - Shell Bluff")</f>
        <v>Northern Component - Shell Bluff</v>
      </c>
      <c r="I91" s="15">
        <f>IFERROR(__xludf.DUMMYFUNCTION("""COMPUTED_VALUE"""),0.5416666666678793)</f>
        <v>0.5416666667</v>
      </c>
      <c r="J91" s="16">
        <f>IFERROR(__xludf.DUMMYFUNCTION("""COMPUTED_VALUE"""),43277.58333333333)</f>
        <v>43277.58333</v>
      </c>
      <c r="K91" t="str">
        <f>IFERROR(__xludf.DUMMYFUNCTION("""COMPUTED_VALUE"""),"23ft Skiff (Bertha) FL7972LJ DEP07613")</f>
        <v>23ft Skiff (Bertha) FL7972LJ DEP07613</v>
      </c>
      <c r="M91" t="str">
        <f>IFERROR(__xludf.DUMMYFUNCTION("""COMPUTED_VALUE"""),"Ford F250 2017 (Moby Dix) - DEP0021578")</f>
        <v>Ford F250 2017 (Moby Dix) - DEP0021578</v>
      </c>
      <c r="N91" t="str">
        <f>IFERROR(__xludf.DUMMYFUNCTION("""COMPUTED_VALUE"""),"Kenneth Rainer, (936) 499-1853")</f>
        <v>Kenneth Rainer, (936) 499-1853</v>
      </c>
      <c r="O91" t="str">
        <f>IFERROR(__xludf.DUMMYFUNCTION("""COMPUTED_VALUE"""),"Gabriela Canas, (904) 891-9743, Emma Hanson, Josie Spearman, (386) 627-0816")</f>
        <v>Gabriela Canas, (904) 891-9743, Emma Hanson, Josie Spearman, (386) 627-0816</v>
      </c>
      <c r="P91" t="str">
        <f>IFERROR(__xludf.DUMMYFUNCTION("""COMPUTED_VALUE"""),"Kenneth Rainer")</f>
        <v>Kenneth Rainer</v>
      </c>
      <c r="Q91" t="str">
        <f>IFERROR(__xludf.DUMMYFUNCTION("""COMPUTED_VALUE"""),"Good")</f>
        <v>Good</v>
      </c>
      <c r="R91" t="str">
        <f>IFERROR(__xludf.DUMMYFUNCTION("""COMPUTED_VALUE"""),"Good")</f>
        <v>Good</v>
      </c>
      <c r="S91" t="str">
        <f>IFERROR(__xludf.DUMMYFUNCTION("""COMPUTED_VALUE"""),"Good")</f>
        <v>Good</v>
      </c>
      <c r="T91" t="str">
        <f>IFERROR(__xludf.DUMMYFUNCTION("""COMPUTED_VALUE"""),"Good")</f>
        <v>Good</v>
      </c>
      <c r="U91" t="str">
        <f>IFERROR(__xludf.DUMMYFUNCTION("""COMPUTED_VALUE"""),"Good")</f>
        <v>Good</v>
      </c>
      <c r="V91" t="str">
        <f>IFERROR(__xludf.DUMMYFUNCTION("""COMPUTED_VALUE"""),"Good")</f>
        <v>Good</v>
      </c>
      <c r="W91" t="str">
        <f>IFERROR(__xludf.DUMMYFUNCTION("""COMPUTED_VALUE"""),"Good")</f>
        <v>Good</v>
      </c>
      <c r="X91" t="str">
        <f>IFERROR(__xludf.DUMMYFUNCTION("""COMPUTED_VALUE"""),"Good")</f>
        <v>Good</v>
      </c>
      <c r="Y91" t="str">
        <f>IFERROR(__xludf.DUMMYFUNCTION("""COMPUTED_VALUE"""),"Good")</f>
        <v>Good</v>
      </c>
      <c r="Z91" t="str">
        <f>IFERROR(__xludf.DUMMYFUNCTION("""COMPUTED_VALUE"""),"Good")</f>
        <v>Good</v>
      </c>
      <c r="AA91" t="str">
        <f>IFERROR(__xludf.DUMMYFUNCTION("""COMPUTED_VALUE"""),"Good")</f>
        <v>Good</v>
      </c>
      <c r="AB91" t="str">
        <f>IFERROR(__xludf.DUMMYFUNCTION("""COMPUTED_VALUE"""),"Good")</f>
        <v>Good</v>
      </c>
      <c r="AC91" t="str">
        <f>IFERROR(__xludf.DUMMYFUNCTION("""COMPUTED_VALUE"""),"Good")</f>
        <v>Good</v>
      </c>
      <c r="AD91" t="str">
        <f>IFERROR(__xludf.DUMMYFUNCTION("""COMPUTED_VALUE"""),"Partly cloudy. A stray shower or thunderstorm is possible. High 89F. Winds SSE at 10 to 15 mph.")</f>
        <v>Partly cloudy. A stray shower or thunderstorm is possible. High 89F. Winds SSE at 10 to 15 mph.</v>
      </c>
      <c r="AE91" s="11" t="str">
        <f>IFERROR(__xludf.DUMMYFUNCTION("""COMPUTED_VALUE"""),"2:07 AM (-0.02); 7:59 AM (3.53); 1:56 PM (-0.26); 8:26 PM (4.52)")</f>
        <v>2:07 AM (-0.02); 7:59 AM (3.53); 1:56 PM (-0.26); 8:26 PM (4.52)</v>
      </c>
      <c r="AF91" t="s">
        <v>9</v>
      </c>
      <c r="AG91" s="17" t="s">
        <v>128</v>
      </c>
      <c r="AH91" s="12"/>
      <c r="AI91" s="12" t="s">
        <v>212</v>
      </c>
      <c r="AJ91" s="19" t="s">
        <v>213</v>
      </c>
      <c r="AK91" s="20" t="str">
        <f>HYPERLINK("https://docs.google.com/document/d/1ntrs6YFpK78CyX3JOrufebLGk1XUDopFAGN4tHmjzSY/edit?usp=drivesdk","Kenneth Rainer - 6/26/2018 9:00 AM")</f>
        <v>Kenneth Rainer - 6/26/2018 9:00 AM</v>
      </c>
      <c r="AL91" s="12" t="s">
        <v>214</v>
      </c>
    </row>
    <row r="92">
      <c r="A92" s="10">
        <f>IFERROR(__xludf.DUMMYFUNCTION("""COMPUTED_VALUE"""),43278.30461924768)</f>
        <v>43278.30462</v>
      </c>
      <c r="B92" s="11" t="str">
        <f>IFERROR(__xludf.DUMMYFUNCTION("""COMPUTED_VALUE"""),"James Tomazinis")</f>
        <v>James Tomazinis</v>
      </c>
      <c r="C92" t="str">
        <f>IFERROR(__xludf.DUMMYFUNCTION("""COMPUTED_VALUE"""),"james.tomazinis@floridadep.gov")</f>
        <v>james.tomazinis@floridadep.gov</v>
      </c>
      <c r="D92" t="str">
        <f>IFERROR(__xludf.DUMMYFUNCTION("""COMPUTED_VALUE"""),"Stewardship (Aquatic)")</f>
        <v>Stewardship (Aquatic)</v>
      </c>
      <c r="E92" t="str">
        <f>IFERROR(__xludf.DUMMYFUNCTION("""COMPUTED_VALUE"""),"Guana Dam")</f>
        <v>Guana Dam</v>
      </c>
      <c r="F92" s="13">
        <f>IFERROR(__xludf.DUMMYFUNCTION("""COMPUTED_VALUE"""),0.3125)</f>
        <v>0.3125</v>
      </c>
      <c r="G92" s="14">
        <f>IFERROR(__xludf.DUMMYFUNCTION("""COMPUTED_VALUE"""),43278.0)</f>
        <v>43278</v>
      </c>
      <c r="H92" t="str">
        <f>IFERROR(__xludf.DUMMYFUNCTION("""COMPUTED_VALUE"""),"Guana lake")</f>
        <v>Guana lake</v>
      </c>
      <c r="I92" s="15">
        <f>IFERROR(__xludf.DUMMYFUNCTION("""COMPUTED_VALUE"""),0.5416666666678793)</f>
        <v>0.5416666667</v>
      </c>
      <c r="J92" s="16"/>
      <c r="K92" t="str">
        <f>IFERROR(__xludf.DUMMYFUNCTION("""COMPUTED_VALUE"""),"Jon Boat FL0484NP DEP06819")</f>
        <v>Jon Boat FL0484NP DEP06819</v>
      </c>
      <c r="M92" t="str">
        <f>IFERROR(__xludf.DUMMYFUNCTION("""COMPUTED_VALUE"""),"Ford F150 2015 (White) - DEP21448")</f>
        <v>Ford F150 2015 (White) - DEP21448</v>
      </c>
      <c r="N92" t="str">
        <f>IFERROR(__xludf.DUMMYFUNCTION("""COMPUTED_VALUE"""),"Jimmy Tomazinis, (904) 547-0094")</f>
        <v>Jimmy Tomazinis, (904) 547-0094</v>
      </c>
      <c r="O92" t="str">
        <f>IFERROR(__xludf.DUMMYFUNCTION("""COMPUTED_VALUE"""),"Kelly Smith")</f>
        <v>Kelly Smith</v>
      </c>
      <c r="P92" t="str">
        <f>IFERROR(__xludf.DUMMYFUNCTION("""COMPUTED_VALUE"""),"Jimmy")</f>
        <v>Jimmy</v>
      </c>
      <c r="Q92" t="str">
        <f>IFERROR(__xludf.DUMMYFUNCTION("""COMPUTED_VALUE"""),"Good")</f>
        <v>Good</v>
      </c>
      <c r="R92" t="str">
        <f>IFERROR(__xludf.DUMMYFUNCTION("""COMPUTED_VALUE"""),"Good")</f>
        <v>Good</v>
      </c>
      <c r="S92" t="str">
        <f>IFERROR(__xludf.DUMMYFUNCTION("""COMPUTED_VALUE"""),"Good")</f>
        <v>Good</v>
      </c>
      <c r="T92" t="str">
        <f>IFERROR(__xludf.DUMMYFUNCTION("""COMPUTED_VALUE"""),"Good")</f>
        <v>Good</v>
      </c>
      <c r="U92" t="str">
        <f>IFERROR(__xludf.DUMMYFUNCTION("""COMPUTED_VALUE"""),"Good")</f>
        <v>Good</v>
      </c>
      <c r="V92" t="str">
        <f>IFERROR(__xludf.DUMMYFUNCTION("""COMPUTED_VALUE"""),"Good")</f>
        <v>Good</v>
      </c>
      <c r="W92" t="str">
        <f>IFERROR(__xludf.DUMMYFUNCTION("""COMPUTED_VALUE"""),"Good")</f>
        <v>Good</v>
      </c>
      <c r="X92" t="str">
        <f>IFERROR(__xludf.DUMMYFUNCTION("""COMPUTED_VALUE"""),"Good")</f>
        <v>Good</v>
      </c>
      <c r="Y92" t="str">
        <f>IFERROR(__xludf.DUMMYFUNCTION("""COMPUTED_VALUE"""),"Good")</f>
        <v>Good</v>
      </c>
      <c r="Z92" t="str">
        <f>IFERROR(__xludf.DUMMYFUNCTION("""COMPUTED_VALUE"""),"Good")</f>
        <v>Good</v>
      </c>
      <c r="AA92" t="str">
        <f>IFERROR(__xludf.DUMMYFUNCTION("""COMPUTED_VALUE"""),"Good")</f>
        <v>Good</v>
      </c>
      <c r="AB92" t="str">
        <f>IFERROR(__xludf.DUMMYFUNCTION("""COMPUTED_VALUE"""),"Good")</f>
        <v>Good</v>
      </c>
      <c r="AC92" t="str">
        <f>IFERROR(__xludf.DUMMYFUNCTION("""COMPUTED_VALUE"""),"Good")</f>
        <v>Good</v>
      </c>
      <c r="AE92" s="11"/>
      <c r="AF92" t="s">
        <v>32</v>
      </c>
      <c r="AG92" s="17" t="s">
        <v>18</v>
      </c>
      <c r="AH92" s="12"/>
      <c r="AI92" s="12" t="s">
        <v>215</v>
      </c>
      <c r="AJ92" s="19" t="s">
        <v>216</v>
      </c>
      <c r="AK92" s="20" t="str">
        <f>HYPERLINK("https://docs.google.com/document/d/1FpILXcPLEtzulcfVT6SGTL70ibQT75O0hb2ZfXmGgmI/edit?usp=drivesdk","James Tomazinis - 6/27/2018 7:30 AM")</f>
        <v>James Tomazinis - 6/27/2018 7:30 AM</v>
      </c>
      <c r="AL92" s="12" t="s">
        <v>217</v>
      </c>
    </row>
    <row r="93">
      <c r="A93" s="10">
        <f>IFERROR(__xludf.DUMMYFUNCTION("""COMPUTED_VALUE"""),43278.408061863425)</f>
        <v>43278.40806</v>
      </c>
      <c r="B93" s="11" t="str">
        <f>IFERROR(__xludf.DUMMYFUNCTION("""COMPUTED_VALUE"""),"Silas Tanner")</f>
        <v>Silas Tanner</v>
      </c>
      <c r="C93" t="str">
        <f>IFERROR(__xludf.DUMMYFUNCTION("""COMPUTED_VALUE"""),"silas.tanner@floridadep.gov")</f>
        <v>silas.tanner@floridadep.gov</v>
      </c>
      <c r="D93" t="str">
        <f>IFERROR(__xludf.DUMMYFUNCTION("""COMPUTED_VALUE"""),"Research/Nikki")</f>
        <v>Research/Nikki</v>
      </c>
      <c r="E93" t="str">
        <f>IFERROR(__xludf.DUMMYFUNCTION("""COMPUTED_VALUE"""),"Bing's")</f>
        <v>Bing's</v>
      </c>
      <c r="F93" s="13">
        <f>IFERROR(__xludf.DUMMYFUNCTION("""COMPUTED_VALUE"""),0.4583333333321207)</f>
        <v>0.4583333333</v>
      </c>
      <c r="G93" s="14">
        <f>IFERROR(__xludf.DUMMYFUNCTION("""COMPUTED_VALUE"""),43278.0)</f>
        <v>43278</v>
      </c>
      <c r="H93" t="str">
        <f>IFERROR(__xludf.DUMMYFUNCTION("""COMPUTED_VALUE"""),"ICW - Summerhaven")</f>
        <v>ICW - Summerhaven</v>
      </c>
      <c r="I93" s="15">
        <f>IFERROR(__xludf.DUMMYFUNCTION("""COMPUTED_VALUE"""),0.6041666666678793)</f>
        <v>0.6041666667</v>
      </c>
      <c r="J93" s="16">
        <f>IFERROR(__xludf.DUMMYFUNCTION("""COMPUTED_VALUE"""),43278.64583333333)</f>
        <v>43278.64583</v>
      </c>
      <c r="K93" t="str">
        <f>IFERROR(__xludf.DUMMYFUNCTION("""COMPUTED_VALUE"""),"23ft Skiff (Bertha) FL7972LJ DEP07613")</f>
        <v>23ft Skiff (Bertha) FL7972LJ DEP07613</v>
      </c>
      <c r="M93" t="str">
        <f>IFERROR(__xludf.DUMMYFUNCTION("""COMPUTED_VALUE"""),"Ford F250 2017 (Moby Dix) - DEP0021578")</f>
        <v>Ford F250 2017 (Moby Dix) - DEP0021578</v>
      </c>
      <c r="N93" t="str">
        <f>IFERROR(__xludf.DUMMYFUNCTION("""COMPUTED_VALUE"""),"Shannon Dunnigan, (803) 727-5734, Silas Tanner, (904) 483-8423")</f>
        <v>Shannon Dunnigan, (803) 727-5734, Silas Tanner, (904) 483-8423</v>
      </c>
      <c r="O93" t="str">
        <f>IFERROR(__xludf.DUMMYFUNCTION("""COMPUTED_VALUE"""),"Hunter Mathews, Matt Brown, Westly Woodward")</f>
        <v>Hunter Mathews, Matt Brown, Westly Woodward</v>
      </c>
      <c r="P93" t="str">
        <f>IFERROR(__xludf.DUMMYFUNCTION("""COMPUTED_VALUE"""),"Silas Tanner")</f>
        <v>Silas Tanner</v>
      </c>
      <c r="Q93" t="str">
        <f>IFERROR(__xludf.DUMMYFUNCTION("""COMPUTED_VALUE"""),"Good")</f>
        <v>Good</v>
      </c>
      <c r="R93" t="str">
        <f>IFERROR(__xludf.DUMMYFUNCTION("""COMPUTED_VALUE"""),"Good")</f>
        <v>Good</v>
      </c>
      <c r="S93" t="str">
        <f>IFERROR(__xludf.DUMMYFUNCTION("""COMPUTED_VALUE"""),"Good")</f>
        <v>Good</v>
      </c>
      <c r="T93" t="str">
        <f>IFERROR(__xludf.DUMMYFUNCTION("""COMPUTED_VALUE"""),"Good")</f>
        <v>Good</v>
      </c>
      <c r="U93" t="str">
        <f>IFERROR(__xludf.DUMMYFUNCTION("""COMPUTED_VALUE"""),"Good")</f>
        <v>Good</v>
      </c>
      <c r="V93" t="str">
        <f>IFERROR(__xludf.DUMMYFUNCTION("""COMPUTED_VALUE"""),"Good")</f>
        <v>Good</v>
      </c>
      <c r="W93" t="str">
        <f>IFERROR(__xludf.DUMMYFUNCTION("""COMPUTED_VALUE"""),"Good")</f>
        <v>Good</v>
      </c>
      <c r="X93" t="str">
        <f>IFERROR(__xludf.DUMMYFUNCTION("""COMPUTED_VALUE"""),"Good")</f>
        <v>Good</v>
      </c>
      <c r="Y93" t="str">
        <f>IFERROR(__xludf.DUMMYFUNCTION("""COMPUTED_VALUE"""),"Good")</f>
        <v>Good</v>
      </c>
      <c r="Z93" t="str">
        <f>IFERROR(__xludf.DUMMYFUNCTION("""COMPUTED_VALUE"""),"Good")</f>
        <v>Good</v>
      </c>
      <c r="AA93" t="str">
        <f>IFERROR(__xludf.DUMMYFUNCTION("""COMPUTED_VALUE"""),"Good")</f>
        <v>Good</v>
      </c>
      <c r="AB93" t="str">
        <f>IFERROR(__xludf.DUMMYFUNCTION("""COMPUTED_VALUE"""),"Good")</f>
        <v>Good</v>
      </c>
      <c r="AC93" t="str">
        <f>IFERROR(__xludf.DUMMYFUNCTION("""COMPUTED_VALUE"""),"Good")</f>
        <v>Good</v>
      </c>
      <c r="AE93" s="11"/>
      <c r="AF93" t="s">
        <v>218</v>
      </c>
      <c r="AG93" s="17" t="s">
        <v>18</v>
      </c>
      <c r="AH93" s="12"/>
      <c r="AI93" s="12" t="s">
        <v>219</v>
      </c>
      <c r="AJ93" s="19" t="s">
        <v>220</v>
      </c>
      <c r="AK93" s="20" t="str">
        <f>HYPERLINK("https://docs.google.com/document/d/1XauK_Lwrv1Qt95jY2ZpwtpyOvOLtQrABuSS55AExW6U/edit?usp=drivesdk","Silas Tanner - 6/27/2018 11:00 AM")</f>
        <v>Silas Tanner - 6/27/2018 11:00 AM</v>
      </c>
      <c r="AL93" s="12" t="s">
        <v>221</v>
      </c>
    </row>
    <row r="94">
      <c r="A94" s="10">
        <f>IFERROR(__xludf.DUMMYFUNCTION("""COMPUTED_VALUE"""),43280.540484293975)</f>
        <v>43280.54048</v>
      </c>
      <c r="B94" s="11" t="str">
        <f>IFERROR(__xludf.DUMMYFUNCTION("""COMPUTED_VALUE"""),"Ben Mowbray")</f>
        <v>Ben Mowbray</v>
      </c>
      <c r="C94" t="str">
        <f>IFERROR(__xludf.DUMMYFUNCTION("""COMPUTED_VALUE"""),"ben.mowbray@dep.state.fl.us")</f>
        <v>ben.mowbray@dep.state.fl.us</v>
      </c>
      <c r="D94" t="str">
        <f>IFERROR(__xludf.DUMMYFUNCTION("""COMPUTED_VALUE"""),"Research/Nikki")</f>
        <v>Research/Nikki</v>
      </c>
      <c r="E94" t="str">
        <f>IFERROR(__xludf.DUMMYFUNCTION("""COMPUTED_VALUE"""),"Aunt Kate's")</f>
        <v>Aunt Kate's</v>
      </c>
      <c r="F94" s="13">
        <f>IFERROR(__xludf.DUMMYFUNCTION("""COMPUTED_VALUE"""),0.20138888889050577)</f>
        <v>0.2013888889</v>
      </c>
      <c r="G94" s="14">
        <f>IFERROR(__xludf.DUMMYFUNCTION("""COMPUTED_VALUE"""),43281.0)</f>
        <v>43281</v>
      </c>
      <c r="H94" t="str">
        <f>IFERROR(__xludf.DUMMYFUNCTION("""COMPUTED_VALUE"""),"Oyster Reefs in Tolomato and Guana River")</f>
        <v>Oyster Reefs in Tolomato and Guana River</v>
      </c>
      <c r="I94" s="15">
        <f>IFERROR(__xludf.DUMMYFUNCTION("""COMPUTED_VALUE"""),0.5416666666678793)</f>
        <v>0.5416666667</v>
      </c>
      <c r="J94" s="16">
        <f>IFERROR(__xludf.DUMMYFUNCTION("""COMPUTED_VALUE"""),43281.5625)</f>
        <v>43281.5625</v>
      </c>
      <c r="K94" t="str">
        <f>IFERROR(__xludf.DUMMYFUNCTION("""COMPUTED_VALUE"""),"23ft Skiff (Bertha) FL7972LJ DEP07613")</f>
        <v>23ft Skiff (Bertha) FL7972LJ DEP07613</v>
      </c>
      <c r="M94" t="str">
        <f>IFERROR(__xludf.DUMMYFUNCTION("""COMPUTED_VALUE"""),"Ford F150 2008 - DEP18041 (SWMP Thing)")</f>
        <v>Ford F150 2008 - DEP18041 (SWMP Thing)</v>
      </c>
      <c r="N94" t="str">
        <f>IFERROR(__xludf.DUMMYFUNCTION("""COMPUTED_VALUE"""),"Ben Mowbray, (407) 962-8782")</f>
        <v>Ben Mowbray, (407) 962-8782</v>
      </c>
      <c r="O94" t="str">
        <f>IFERROR(__xludf.DUMMYFUNCTION("""COMPUTED_VALUE"""),"Benjamin Mowbray, (407) 962-8782, Nicole Peckham, Rodrigo Pavani, Adrienne Breef-Pilz")</f>
        <v>Benjamin Mowbray, (407) 962-8782, Nicole Peckham, Rodrigo Pavani, Adrienne Breef-Pilz</v>
      </c>
      <c r="P94" t="str">
        <f>IFERROR(__xludf.DUMMYFUNCTION("""COMPUTED_VALUE"""),"Ben")</f>
        <v>Ben</v>
      </c>
      <c r="Q94" t="str">
        <f>IFERROR(__xludf.DUMMYFUNCTION("""COMPUTED_VALUE"""),"Good")</f>
        <v>Good</v>
      </c>
      <c r="R94" t="str">
        <f>IFERROR(__xludf.DUMMYFUNCTION("""COMPUTED_VALUE"""),"Good")</f>
        <v>Good</v>
      </c>
      <c r="S94" t="str">
        <f>IFERROR(__xludf.DUMMYFUNCTION("""COMPUTED_VALUE"""),"Good")</f>
        <v>Good</v>
      </c>
      <c r="T94" t="str">
        <f>IFERROR(__xludf.DUMMYFUNCTION("""COMPUTED_VALUE"""),"Good")</f>
        <v>Good</v>
      </c>
      <c r="U94" t="str">
        <f>IFERROR(__xludf.DUMMYFUNCTION("""COMPUTED_VALUE"""),"Good")</f>
        <v>Good</v>
      </c>
      <c r="V94" t="str">
        <f>IFERROR(__xludf.DUMMYFUNCTION("""COMPUTED_VALUE"""),"Good")</f>
        <v>Good</v>
      </c>
      <c r="W94" t="str">
        <f>IFERROR(__xludf.DUMMYFUNCTION("""COMPUTED_VALUE"""),"Good")</f>
        <v>Good</v>
      </c>
      <c r="X94" t="str">
        <f>IFERROR(__xludf.DUMMYFUNCTION("""COMPUTED_VALUE"""),"Good")</f>
        <v>Good</v>
      </c>
      <c r="Y94" t="str">
        <f>IFERROR(__xludf.DUMMYFUNCTION("""COMPUTED_VALUE"""),"Good")</f>
        <v>Good</v>
      </c>
      <c r="Z94" t="str">
        <f>IFERROR(__xludf.DUMMYFUNCTION("""COMPUTED_VALUE"""),"Good")</f>
        <v>Good</v>
      </c>
      <c r="AA94" t="str">
        <f>IFERROR(__xludf.DUMMYFUNCTION("""COMPUTED_VALUE"""),"Good")</f>
        <v>Good</v>
      </c>
      <c r="AB94" t="str">
        <f>IFERROR(__xludf.DUMMYFUNCTION("""COMPUTED_VALUE"""),"Good")</f>
        <v>Good</v>
      </c>
      <c r="AC94" t="str">
        <f>IFERROR(__xludf.DUMMYFUNCTION("""COMPUTED_VALUE"""),"Good")</f>
        <v>Good</v>
      </c>
      <c r="AE94" s="11"/>
      <c r="AF94" t="s">
        <v>218</v>
      </c>
      <c r="AG94" s="17" t="s">
        <v>43</v>
      </c>
      <c r="AH94" s="12"/>
      <c r="AI94" s="12" t="s">
        <v>222</v>
      </c>
      <c r="AJ94" s="19" t="s">
        <v>223</v>
      </c>
      <c r="AK94" s="20" t="str">
        <f>HYPERLINK("https://docs.google.com/document/d/1jQ1Oq7IYAKkafOHydGGQLYmkCHw1ud0uqub5wzV9okc/edit?usp=drivesdk","Ben Mowbray - 6/30/2018 4:50 AM")</f>
        <v>Ben Mowbray - 6/30/2018 4:50 AM</v>
      </c>
      <c r="AL94" s="12" t="s">
        <v>224</v>
      </c>
    </row>
    <row r="95">
      <c r="A95" s="10">
        <f>IFERROR(__xludf.DUMMYFUNCTION("""COMPUTED_VALUE"""),43282.14363834491)</f>
        <v>43282.14364</v>
      </c>
      <c r="B95" s="11" t="str">
        <f>IFERROR(__xludf.DUMMYFUNCTION("""COMPUTED_VALUE"""),"Ben Mowbray")</f>
        <v>Ben Mowbray</v>
      </c>
      <c r="C95" t="str">
        <f>IFERROR(__xludf.DUMMYFUNCTION("""COMPUTED_VALUE"""),"ben.mowbray@dep.state.fl.us")</f>
        <v>ben.mowbray@dep.state.fl.us</v>
      </c>
      <c r="D95" t="str">
        <f>IFERROR(__xludf.DUMMYFUNCTION("""COMPUTED_VALUE"""),"Research/Nikki")</f>
        <v>Research/Nikki</v>
      </c>
      <c r="E95" t="str">
        <f>IFERROR(__xludf.DUMMYFUNCTION("""COMPUTED_VALUE"""),"Aunt Kate's")</f>
        <v>Aunt Kate's</v>
      </c>
      <c r="F95" s="13">
        <f>IFERROR(__xludf.DUMMYFUNCTION("""COMPUTED_VALUE"""),0.1875)</f>
        <v>0.1875</v>
      </c>
      <c r="G95" s="14">
        <f>IFERROR(__xludf.DUMMYFUNCTION("""COMPUTED_VALUE"""),43282.0)</f>
        <v>43282</v>
      </c>
      <c r="H95" t="str">
        <f>IFERROR(__xludf.DUMMYFUNCTION("""COMPUTED_VALUE"""),"Reefs in Tolomato")</f>
        <v>Reefs in Tolomato</v>
      </c>
      <c r="I95" s="15">
        <f>IFERROR(__xludf.DUMMYFUNCTION("""COMPUTED_VALUE"""),0.3333333333321207)</f>
        <v>0.3333333333</v>
      </c>
      <c r="J95" s="16">
        <f>IFERROR(__xludf.DUMMYFUNCTION("""COMPUTED_VALUE"""),43282.34375)</f>
        <v>43282.34375</v>
      </c>
      <c r="K95" t="str">
        <f>IFERROR(__xludf.DUMMYFUNCTION("""COMPUTED_VALUE"""),"23ft Skiff (Bertha) FL7972LJ DEP07613")</f>
        <v>23ft Skiff (Bertha) FL7972LJ DEP07613</v>
      </c>
      <c r="M95" t="str">
        <f>IFERROR(__xludf.DUMMYFUNCTION("""COMPUTED_VALUE"""),"Ford F150 2008 - DEP18041 (SWMP Thing)")</f>
        <v>Ford F150 2008 - DEP18041 (SWMP Thing)</v>
      </c>
      <c r="N95" t="str">
        <f>IFERROR(__xludf.DUMMYFUNCTION("""COMPUTED_VALUE"""),"Ben Mowbray, (407) 962-8782")</f>
        <v>Ben Mowbray, (407) 962-8782</v>
      </c>
      <c r="O95" t="str">
        <f>IFERROR(__xludf.DUMMYFUNCTION("""COMPUTED_VALUE"""),"Nicole Peckham, Rodrigo Pavani, Adrienne Breef-Pilz")</f>
        <v>Nicole Peckham, Rodrigo Pavani, Adrienne Breef-Pilz</v>
      </c>
      <c r="P95" t="str">
        <f>IFERROR(__xludf.DUMMYFUNCTION("""COMPUTED_VALUE"""),"Ben")</f>
        <v>Ben</v>
      </c>
      <c r="Q95" t="str">
        <f>IFERROR(__xludf.DUMMYFUNCTION("""COMPUTED_VALUE"""),"Good")</f>
        <v>Good</v>
      </c>
      <c r="R95" t="str">
        <f>IFERROR(__xludf.DUMMYFUNCTION("""COMPUTED_VALUE"""),"Good")</f>
        <v>Good</v>
      </c>
      <c r="T95" t="str">
        <f>IFERROR(__xludf.DUMMYFUNCTION("""COMPUTED_VALUE"""),"Good")</f>
        <v>Good</v>
      </c>
      <c r="U95" t="str">
        <f>IFERROR(__xludf.DUMMYFUNCTION("""COMPUTED_VALUE"""),"Good")</f>
        <v>Good</v>
      </c>
      <c r="V95" t="str">
        <f>IFERROR(__xludf.DUMMYFUNCTION("""COMPUTED_VALUE"""),"Good")</f>
        <v>Good</v>
      </c>
      <c r="W95" t="str">
        <f>IFERROR(__xludf.DUMMYFUNCTION("""COMPUTED_VALUE"""),"Good")</f>
        <v>Good</v>
      </c>
      <c r="X95" t="str">
        <f>IFERROR(__xludf.DUMMYFUNCTION("""COMPUTED_VALUE"""),"Good")</f>
        <v>Good</v>
      </c>
      <c r="Y95" t="str">
        <f>IFERROR(__xludf.DUMMYFUNCTION("""COMPUTED_VALUE"""),"Good")</f>
        <v>Good</v>
      </c>
      <c r="Z95" t="str">
        <f>IFERROR(__xludf.DUMMYFUNCTION("""COMPUTED_VALUE"""),"Good")</f>
        <v>Good</v>
      </c>
      <c r="AA95" t="str">
        <f>IFERROR(__xludf.DUMMYFUNCTION("""COMPUTED_VALUE"""),"Good")</f>
        <v>Good</v>
      </c>
      <c r="AB95" t="str">
        <f>IFERROR(__xludf.DUMMYFUNCTION("""COMPUTED_VALUE"""),"Good")</f>
        <v>Good</v>
      </c>
      <c r="AC95" t="str">
        <f>IFERROR(__xludf.DUMMYFUNCTION("""COMPUTED_VALUE"""),"Good")</f>
        <v>Good</v>
      </c>
      <c r="AE95" s="11"/>
      <c r="AF95" t="s">
        <v>218</v>
      </c>
      <c r="AG95" s="17" t="s">
        <v>225</v>
      </c>
      <c r="AH95" s="12"/>
      <c r="AI95" s="12" t="s">
        <v>226</v>
      </c>
      <c r="AJ95" s="19" t="s">
        <v>227</v>
      </c>
      <c r="AK95" s="20" t="str">
        <f>HYPERLINK("https://docs.google.com/document/d/1XiMLRnysfffxhmnRhmieWEnwz45lXHcfCtEJfVr3uy4/edit?usp=drivesdk","Ben Mowbray - 7/1/2018 4:30 AM")</f>
        <v>Ben Mowbray - 7/1/2018 4:30 AM</v>
      </c>
      <c r="AL95" s="12" t="s">
        <v>228</v>
      </c>
    </row>
    <row r="96">
      <c r="A96" s="10">
        <f>IFERROR(__xludf.DUMMYFUNCTION("""COMPUTED_VALUE"""),43283.193795127314)</f>
        <v>43283.1938</v>
      </c>
      <c r="B96" s="11" t="str">
        <f>IFERROR(__xludf.DUMMYFUNCTION("""COMPUTED_VALUE"""),"Ben Mowbray")</f>
        <v>Ben Mowbray</v>
      </c>
      <c r="C96" t="str">
        <f>IFERROR(__xludf.DUMMYFUNCTION("""COMPUTED_VALUE"""),"ben.mowbray@dep.state.fl.us")</f>
        <v>ben.mowbray@dep.state.fl.us</v>
      </c>
      <c r="D96" t="str">
        <f>IFERROR(__xludf.DUMMYFUNCTION("""COMPUTED_VALUE"""),"Research/Nikki")</f>
        <v>Research/Nikki</v>
      </c>
      <c r="E96" t="str">
        <f>IFERROR(__xludf.DUMMYFUNCTION("""COMPUTED_VALUE"""),"Aunt Kate's")</f>
        <v>Aunt Kate's</v>
      </c>
      <c r="F96" s="13">
        <f>IFERROR(__xludf.DUMMYFUNCTION("""COMPUTED_VALUE"""),0.20833333333212067)</f>
        <v>0.2083333333</v>
      </c>
      <c r="G96" s="14">
        <f>IFERROR(__xludf.DUMMYFUNCTION("""COMPUTED_VALUE"""),43283.0)</f>
        <v>43283</v>
      </c>
      <c r="H96" t="str">
        <f>IFERROR(__xludf.DUMMYFUNCTION("""COMPUTED_VALUE"""),"Spat Tree Reefs")</f>
        <v>Spat Tree Reefs</v>
      </c>
      <c r="I96" s="15">
        <f>IFERROR(__xludf.DUMMYFUNCTION("""COMPUTED_VALUE"""),0.3541666666678793)</f>
        <v>0.3541666667</v>
      </c>
      <c r="J96" s="16">
        <f>IFERROR(__xludf.DUMMYFUNCTION("""COMPUTED_VALUE"""),43283.375)</f>
        <v>43283.375</v>
      </c>
      <c r="K96" t="str">
        <f>IFERROR(__xludf.DUMMYFUNCTION("""COMPUTED_VALUE"""),"23ft Skiff (Bertha) FL7972LJ DEP07613")</f>
        <v>23ft Skiff (Bertha) FL7972LJ DEP07613</v>
      </c>
      <c r="M96" t="str">
        <f>IFERROR(__xludf.DUMMYFUNCTION("""COMPUTED_VALUE"""),"Ford F150 2008 - DEP18041 (SWMP Thing)")</f>
        <v>Ford F150 2008 - DEP18041 (SWMP Thing)</v>
      </c>
      <c r="N96" t="str">
        <f>IFERROR(__xludf.DUMMYFUNCTION("""COMPUTED_VALUE"""),"Pam Marcum, (480) 332-5414, Ben Mowbray, (407) 962-8782")</f>
        <v>Pam Marcum, (480) 332-5414, Ben Mowbray, (407) 962-8782</v>
      </c>
      <c r="P96" t="str">
        <f>IFERROR(__xludf.DUMMYFUNCTION("""COMPUTED_VALUE"""),"Ben")</f>
        <v>Ben</v>
      </c>
      <c r="Q96" t="str">
        <f>IFERROR(__xludf.DUMMYFUNCTION("""COMPUTED_VALUE"""),"Good")</f>
        <v>Good</v>
      </c>
      <c r="R96" t="str">
        <f>IFERROR(__xludf.DUMMYFUNCTION("""COMPUTED_VALUE"""),"Good")</f>
        <v>Good</v>
      </c>
      <c r="S96" t="str">
        <f>IFERROR(__xludf.DUMMYFUNCTION("""COMPUTED_VALUE"""),"Good")</f>
        <v>Good</v>
      </c>
      <c r="T96" t="str">
        <f>IFERROR(__xludf.DUMMYFUNCTION("""COMPUTED_VALUE"""),"Good")</f>
        <v>Good</v>
      </c>
      <c r="U96" t="str">
        <f>IFERROR(__xludf.DUMMYFUNCTION("""COMPUTED_VALUE"""),"Good")</f>
        <v>Good</v>
      </c>
      <c r="V96" t="str">
        <f>IFERROR(__xludf.DUMMYFUNCTION("""COMPUTED_VALUE"""),"Good")</f>
        <v>Good</v>
      </c>
      <c r="W96" t="str">
        <f>IFERROR(__xludf.DUMMYFUNCTION("""COMPUTED_VALUE"""),"Good")</f>
        <v>Good</v>
      </c>
      <c r="X96" t="str">
        <f>IFERROR(__xludf.DUMMYFUNCTION("""COMPUTED_VALUE"""),"Good")</f>
        <v>Good</v>
      </c>
      <c r="Y96" t="str">
        <f>IFERROR(__xludf.DUMMYFUNCTION("""COMPUTED_VALUE"""),"Good")</f>
        <v>Good</v>
      </c>
      <c r="Z96" t="str">
        <f>IFERROR(__xludf.DUMMYFUNCTION("""COMPUTED_VALUE"""),"Good")</f>
        <v>Good</v>
      </c>
      <c r="AA96" t="str">
        <f>IFERROR(__xludf.DUMMYFUNCTION("""COMPUTED_VALUE"""),"Good")</f>
        <v>Good</v>
      </c>
      <c r="AB96" t="str">
        <f>IFERROR(__xludf.DUMMYFUNCTION("""COMPUTED_VALUE"""),"Good")</f>
        <v>Good</v>
      </c>
      <c r="AC96" t="str">
        <f>IFERROR(__xludf.DUMMYFUNCTION("""COMPUTED_VALUE"""),"Good")</f>
        <v>Good</v>
      </c>
      <c r="AE96" s="11"/>
      <c r="AF96" t="s">
        <v>218</v>
      </c>
      <c r="AG96" s="17" t="s">
        <v>60</v>
      </c>
      <c r="AH96" s="12"/>
      <c r="AI96" s="12" t="s">
        <v>229</v>
      </c>
      <c r="AJ96" s="19" t="s">
        <v>230</v>
      </c>
      <c r="AK96" s="20" t="str">
        <f>HYPERLINK("https://docs.google.com/document/d/1qsBp188AIvYYa7bWDNtbtdNGEWYhVYQXnzAKQ6cwFU4/edit?usp=drivesdk","Ben Mowbray - 7/2/2018 5:00 AM")</f>
        <v>Ben Mowbray - 7/2/2018 5:00 AM</v>
      </c>
      <c r="AL96" s="12" t="s">
        <v>231</v>
      </c>
    </row>
    <row r="97">
      <c r="A97" s="10">
        <f>IFERROR(__xludf.DUMMYFUNCTION("""COMPUTED_VALUE"""),43283.53355059028)</f>
        <v>43283.53355</v>
      </c>
      <c r="B97" s="11" t="str">
        <f>IFERROR(__xludf.DUMMYFUNCTION("""COMPUTED_VALUE"""),"Silas Tanner")</f>
        <v>Silas Tanner</v>
      </c>
      <c r="C97" t="str">
        <f>IFERROR(__xludf.DUMMYFUNCTION("""COMPUTED_VALUE"""),"silas.tanner@floridadep.gov")</f>
        <v>silas.tanner@floridadep.gov</v>
      </c>
      <c r="D97" t="str">
        <f>IFERROR(__xludf.DUMMYFUNCTION("""COMPUTED_VALUE"""),"Research/Nikki")</f>
        <v>Research/Nikki</v>
      </c>
      <c r="E97" t="str">
        <f>IFERROR(__xludf.DUMMYFUNCTION("""COMPUTED_VALUE"""),"Vilano county ramp")</f>
        <v>Vilano county ramp</v>
      </c>
      <c r="F97" s="13">
        <f>IFERROR(__xludf.DUMMYFUNCTION("""COMPUTED_VALUE"""),0.5)</f>
        <v>0.5</v>
      </c>
      <c r="G97" s="14">
        <f>IFERROR(__xludf.DUMMYFUNCTION("""COMPUTED_VALUE"""),43284.0)</f>
        <v>43284</v>
      </c>
      <c r="H97" t="str">
        <f>IFERROR(__xludf.DUMMYFUNCTION("""COMPUTED_VALUE"""),"ICW - SWMP sites")</f>
        <v>ICW - SWMP sites</v>
      </c>
      <c r="I97" s="15">
        <f>IFERROR(__xludf.DUMMYFUNCTION("""COMPUTED_VALUE"""),0.6875)</f>
        <v>0.6875</v>
      </c>
      <c r="J97" s="16">
        <f>IFERROR(__xludf.DUMMYFUNCTION("""COMPUTED_VALUE"""),43284.69791666667)</f>
        <v>43284.69792</v>
      </c>
      <c r="K97" t="str">
        <f>IFERROR(__xludf.DUMMYFUNCTION("""COMPUTED_VALUE"""),"23ft Skiff (Bertha) FL7972LJ DEP07613")</f>
        <v>23ft Skiff (Bertha) FL7972LJ DEP07613</v>
      </c>
      <c r="M97" t="str">
        <f>IFERROR(__xludf.DUMMYFUNCTION("""COMPUTED_VALUE"""),"Ford F250 2017 (Moby Dix) - DEP0021578")</f>
        <v>Ford F250 2017 (Moby Dix) - DEP0021578</v>
      </c>
      <c r="N97" t="str">
        <f>IFERROR(__xludf.DUMMYFUNCTION("""COMPUTED_VALUE"""),"Silas Tanner, (904) 483-8423")</f>
        <v>Silas Tanner, (904) 483-8423</v>
      </c>
      <c r="O97" t="str">
        <f>IFERROR(__xludf.DUMMYFUNCTION("""COMPUTED_VALUE"""),"Tatum Theodore, Hunter Mathews")</f>
        <v>Tatum Theodore, Hunter Mathews</v>
      </c>
      <c r="P97" t="str">
        <f>IFERROR(__xludf.DUMMYFUNCTION("""COMPUTED_VALUE"""),"Silas Tanner")</f>
        <v>Silas Tanner</v>
      </c>
      <c r="Q97" t="str">
        <f>IFERROR(__xludf.DUMMYFUNCTION("""COMPUTED_VALUE"""),"Good")</f>
        <v>Good</v>
      </c>
      <c r="R97" t="str">
        <f>IFERROR(__xludf.DUMMYFUNCTION("""COMPUTED_VALUE"""),"Good")</f>
        <v>Good</v>
      </c>
      <c r="S97" t="str">
        <f>IFERROR(__xludf.DUMMYFUNCTION("""COMPUTED_VALUE"""),"Good")</f>
        <v>Good</v>
      </c>
      <c r="T97" t="str">
        <f>IFERROR(__xludf.DUMMYFUNCTION("""COMPUTED_VALUE"""),"Good")</f>
        <v>Good</v>
      </c>
      <c r="U97" t="str">
        <f>IFERROR(__xludf.DUMMYFUNCTION("""COMPUTED_VALUE"""),"Good")</f>
        <v>Good</v>
      </c>
      <c r="V97" t="str">
        <f>IFERROR(__xludf.DUMMYFUNCTION("""COMPUTED_VALUE"""),"Good")</f>
        <v>Good</v>
      </c>
      <c r="W97" t="str">
        <f>IFERROR(__xludf.DUMMYFUNCTION("""COMPUTED_VALUE"""),"Good")</f>
        <v>Good</v>
      </c>
      <c r="X97" t="str">
        <f>IFERROR(__xludf.DUMMYFUNCTION("""COMPUTED_VALUE"""),"Good")</f>
        <v>Good</v>
      </c>
      <c r="Y97" t="str">
        <f>IFERROR(__xludf.DUMMYFUNCTION("""COMPUTED_VALUE"""),"Good")</f>
        <v>Good</v>
      </c>
      <c r="Z97" t="str">
        <f>IFERROR(__xludf.DUMMYFUNCTION("""COMPUTED_VALUE"""),"Good")</f>
        <v>Good</v>
      </c>
      <c r="AA97" t="str">
        <f>IFERROR(__xludf.DUMMYFUNCTION("""COMPUTED_VALUE"""),"Good")</f>
        <v>Good</v>
      </c>
      <c r="AB97" t="str">
        <f>IFERROR(__xludf.DUMMYFUNCTION("""COMPUTED_VALUE"""),"Good")</f>
        <v>Good</v>
      </c>
      <c r="AC97" t="str">
        <f>IFERROR(__xludf.DUMMYFUNCTION("""COMPUTED_VALUE"""),"Good")</f>
        <v>Good</v>
      </c>
      <c r="AE97" s="11"/>
      <c r="AF97" t="s">
        <v>218</v>
      </c>
      <c r="AG97" s="17" t="s">
        <v>43</v>
      </c>
      <c r="AH97" s="12"/>
      <c r="AI97" s="12" t="s">
        <v>232</v>
      </c>
      <c r="AJ97" s="19" t="s">
        <v>233</v>
      </c>
      <c r="AK97" s="20" t="str">
        <f>HYPERLINK("https://docs.google.com/document/d/1StEQUgg0DdG61MF8-4mfq09rrv9NLcT7qfqHE2eQsnQ/edit?usp=drivesdk","Silas Tanner - 7/3/2018 12:00 PM")</f>
        <v>Silas Tanner - 7/3/2018 12:00 PM</v>
      </c>
      <c r="AL97" s="12" t="s">
        <v>234</v>
      </c>
    </row>
    <row r="98">
      <c r="A98" s="10">
        <f>IFERROR(__xludf.DUMMYFUNCTION("""COMPUTED_VALUE"""),43284.19669226851)</f>
        <v>43284.19669</v>
      </c>
      <c r="B98" s="11" t="str">
        <f>IFERROR(__xludf.DUMMYFUNCTION("""COMPUTED_VALUE"""),"Pamela Marcum")</f>
        <v>Pamela Marcum</v>
      </c>
      <c r="C98" t="str">
        <f>IFERROR(__xludf.DUMMYFUNCTION("""COMPUTED_VALUE"""),"Pamela.Marcum@dep.state.fl.us")</f>
        <v>Pamela.Marcum@dep.state.fl.us</v>
      </c>
      <c r="D98" t="str">
        <f>IFERROR(__xludf.DUMMYFUNCTION("""COMPUTED_VALUE"""),"Research/Nikki")</f>
        <v>Research/Nikki</v>
      </c>
      <c r="E98" t="str">
        <f>IFERROR(__xludf.DUMMYFUNCTION("""COMPUTED_VALUE"""),"Green Rd")</f>
        <v>Green Rd</v>
      </c>
      <c r="F98" s="13">
        <f>IFERROR(__xludf.DUMMYFUNCTION("""COMPUTED_VALUE"""),0.25)</f>
        <v>0.25</v>
      </c>
      <c r="G98" s="14">
        <f>IFERROR(__xludf.DUMMYFUNCTION("""COMPUTED_VALUE"""),43283.0)</f>
        <v>43283</v>
      </c>
      <c r="H98" t="str">
        <f>IFERROR(__xludf.DUMMYFUNCTION("""COMPUTED_VALUE"""),"Matanzas River Spat Sites")</f>
        <v>Matanzas River Spat Sites</v>
      </c>
      <c r="I98" s="15">
        <f>IFERROR(__xludf.DUMMYFUNCTION("""COMPUTED_VALUE"""),0.5)</f>
        <v>0.5</v>
      </c>
      <c r="J98" s="16">
        <f>IFERROR(__xludf.DUMMYFUNCTION("""COMPUTED_VALUE"""),43283.54166666667)</f>
        <v>43283.54167</v>
      </c>
      <c r="K98" t="str">
        <f>IFERROR(__xludf.DUMMYFUNCTION("""COMPUTED_VALUE"""),"20ft Sea Ark FL5351SJ UNF 2015")</f>
        <v>20ft Sea Ark FL5351SJ UNF 2015</v>
      </c>
      <c r="M98" t="str">
        <f>IFERROR(__xludf.DUMMYFUNCTION("""COMPUTED_VALUE"""),"Ford F150 2015 (White) - DEP21448")</f>
        <v>Ford F150 2015 (White) - DEP21448</v>
      </c>
      <c r="N98" t="str">
        <f>IFERROR(__xludf.DUMMYFUNCTION("""COMPUTED_VALUE"""),"Pam Marcum, (480) 332-5414, Remo Mondazzi")</f>
        <v>Pam Marcum, (480) 332-5414, Remo Mondazzi</v>
      </c>
      <c r="O98" t="str">
        <f>IFERROR(__xludf.DUMMYFUNCTION("""COMPUTED_VALUE"""),"Adrienne Breef-Pilz, Nicole Peckham, Rodrigo Pavani")</f>
        <v>Adrienne Breef-Pilz, Nicole Peckham, Rodrigo Pavani</v>
      </c>
      <c r="P98" t="str">
        <f>IFERROR(__xludf.DUMMYFUNCTION("""COMPUTED_VALUE"""),"Pamela Marcum")</f>
        <v>Pamela Marcum</v>
      </c>
      <c r="Q98" t="str">
        <f>IFERROR(__xludf.DUMMYFUNCTION("""COMPUTED_VALUE"""),"Good")</f>
        <v>Good</v>
      </c>
      <c r="R98" t="str">
        <f>IFERROR(__xludf.DUMMYFUNCTION("""COMPUTED_VALUE"""),"Good")</f>
        <v>Good</v>
      </c>
      <c r="S98" t="str">
        <f>IFERROR(__xludf.DUMMYFUNCTION("""COMPUTED_VALUE"""),"Good")</f>
        <v>Good</v>
      </c>
      <c r="T98" t="str">
        <f>IFERROR(__xludf.DUMMYFUNCTION("""COMPUTED_VALUE"""),"Good")</f>
        <v>Good</v>
      </c>
      <c r="U98" t="str">
        <f>IFERROR(__xludf.DUMMYFUNCTION("""COMPUTED_VALUE"""),"Good")</f>
        <v>Good</v>
      </c>
      <c r="V98" t="str">
        <f>IFERROR(__xludf.DUMMYFUNCTION("""COMPUTED_VALUE"""),"Good")</f>
        <v>Good</v>
      </c>
      <c r="W98" t="str">
        <f>IFERROR(__xludf.DUMMYFUNCTION("""COMPUTED_VALUE"""),"Good")</f>
        <v>Good</v>
      </c>
      <c r="X98" t="str">
        <f>IFERROR(__xludf.DUMMYFUNCTION("""COMPUTED_VALUE"""),"Good")</f>
        <v>Good</v>
      </c>
      <c r="Y98" t="str">
        <f>IFERROR(__xludf.DUMMYFUNCTION("""COMPUTED_VALUE"""),"Good")</f>
        <v>Good</v>
      </c>
      <c r="Z98" t="str">
        <f>IFERROR(__xludf.DUMMYFUNCTION("""COMPUTED_VALUE"""),"Good")</f>
        <v>Good</v>
      </c>
      <c r="AA98" t="str">
        <f>IFERROR(__xludf.DUMMYFUNCTION("""COMPUTED_VALUE"""),"Good")</f>
        <v>Good</v>
      </c>
      <c r="AB98" t="str">
        <f>IFERROR(__xludf.DUMMYFUNCTION("""COMPUTED_VALUE"""),"Good")</f>
        <v>Good</v>
      </c>
      <c r="AC98" t="str">
        <f>IFERROR(__xludf.DUMMYFUNCTION("""COMPUTED_VALUE"""),"Good")</f>
        <v>Good</v>
      </c>
      <c r="AE98" s="11"/>
      <c r="AF98" t="s">
        <v>218</v>
      </c>
      <c r="AG98" s="17" t="s">
        <v>18</v>
      </c>
      <c r="AH98" s="12"/>
      <c r="AI98" s="12" t="s">
        <v>235</v>
      </c>
      <c r="AJ98" s="19" t="s">
        <v>236</v>
      </c>
      <c r="AK98" s="20" t="str">
        <f>HYPERLINK("https://docs.google.com/document/d/1fdR1XrqTv5cgCvbuRnVbbi9FDd6k8Mk-S0hm8LSStSE/edit?usp=drivesdk","Pamela Marcum - 7/2/2018 6:00 AM")</f>
        <v>Pamela Marcum - 7/2/2018 6:00 AM</v>
      </c>
      <c r="AL98" s="12" t="s">
        <v>237</v>
      </c>
    </row>
    <row r="99">
      <c r="A99" s="10">
        <f>IFERROR(__xludf.DUMMYFUNCTION("""COMPUTED_VALUE"""),43286.22271133102)</f>
        <v>43286.22271</v>
      </c>
      <c r="B99" s="11" t="str">
        <f>IFERROR(__xludf.DUMMYFUNCTION("""COMPUTED_VALUE"""),"Ben Mowbray")</f>
        <v>Ben Mowbray</v>
      </c>
      <c r="C99" t="str">
        <f>IFERROR(__xludf.DUMMYFUNCTION("""COMPUTED_VALUE"""),"ben.mowbray@dep.state.fl.us")</f>
        <v>ben.mowbray@dep.state.fl.us</v>
      </c>
      <c r="D99" t="str">
        <f>IFERROR(__xludf.DUMMYFUNCTION("""COMPUTED_VALUE"""),"Research/Nikki")</f>
        <v>Research/Nikki</v>
      </c>
      <c r="E99" t="str">
        <f>IFERROR(__xludf.DUMMYFUNCTION("""COMPUTED_VALUE"""),"Aunt Kate's")</f>
        <v>Aunt Kate's</v>
      </c>
      <c r="F99" s="13">
        <f>IFERROR(__xludf.DUMMYFUNCTION("""COMPUTED_VALUE"""),0.25)</f>
        <v>0.25</v>
      </c>
      <c r="G99" s="14">
        <f>IFERROR(__xludf.DUMMYFUNCTION("""COMPUTED_VALUE"""),43286.0)</f>
        <v>43286</v>
      </c>
      <c r="H99" t="str">
        <f>IFERROR(__xludf.DUMMYFUNCTION("""COMPUTED_VALUE"""),"Guana + Tolomato Reefs")</f>
        <v>Guana + Tolomato Reefs</v>
      </c>
      <c r="I99" s="15">
        <f>IFERROR(__xludf.DUMMYFUNCTION("""COMPUTED_VALUE"""),0.4166666666678793)</f>
        <v>0.4166666667</v>
      </c>
      <c r="J99" s="16">
        <f>IFERROR(__xludf.DUMMYFUNCTION("""COMPUTED_VALUE"""),43286.4375)</f>
        <v>43286.4375</v>
      </c>
      <c r="K99" t="str">
        <f>IFERROR(__xludf.DUMMYFUNCTION("""COMPUTED_VALUE"""),"23ft Skiff (Bertha) FL7972LJ DEP07613")</f>
        <v>23ft Skiff (Bertha) FL7972LJ DEP07613</v>
      </c>
      <c r="M99" t="str">
        <f>IFERROR(__xludf.DUMMYFUNCTION("""COMPUTED_VALUE"""),"Ford F150 2015 (White) - DEP21448")</f>
        <v>Ford F150 2015 (White) - DEP21448</v>
      </c>
      <c r="N99" t="str">
        <f>IFERROR(__xludf.DUMMYFUNCTION("""COMPUTED_VALUE"""),"Ben Mowbray, (407) 962-8782")</f>
        <v>Ben Mowbray, (407) 962-8782</v>
      </c>
      <c r="O99" t="str">
        <f>IFERROR(__xludf.DUMMYFUNCTION("""COMPUTED_VALUE"""),"Rodrigo and Adrienne")</f>
        <v>Rodrigo and Adrienne</v>
      </c>
      <c r="P99" t="str">
        <f>IFERROR(__xludf.DUMMYFUNCTION("""COMPUTED_VALUE"""),"Ben")</f>
        <v>Ben</v>
      </c>
      <c r="Q99" t="str">
        <f>IFERROR(__xludf.DUMMYFUNCTION("""COMPUTED_VALUE"""),"Good")</f>
        <v>Good</v>
      </c>
      <c r="R99" t="str">
        <f>IFERROR(__xludf.DUMMYFUNCTION("""COMPUTED_VALUE"""),"Good")</f>
        <v>Good</v>
      </c>
      <c r="S99" t="str">
        <f>IFERROR(__xludf.DUMMYFUNCTION("""COMPUTED_VALUE"""),"Good")</f>
        <v>Good</v>
      </c>
      <c r="T99" t="str">
        <f>IFERROR(__xludf.DUMMYFUNCTION("""COMPUTED_VALUE"""),"Good")</f>
        <v>Good</v>
      </c>
      <c r="U99" t="str">
        <f>IFERROR(__xludf.DUMMYFUNCTION("""COMPUTED_VALUE"""),"Good")</f>
        <v>Good</v>
      </c>
      <c r="V99" t="str">
        <f>IFERROR(__xludf.DUMMYFUNCTION("""COMPUTED_VALUE"""),"Good")</f>
        <v>Good</v>
      </c>
      <c r="W99" t="str">
        <f>IFERROR(__xludf.DUMMYFUNCTION("""COMPUTED_VALUE"""),"Good")</f>
        <v>Good</v>
      </c>
      <c r="X99" t="str">
        <f>IFERROR(__xludf.DUMMYFUNCTION("""COMPUTED_VALUE"""),"Good")</f>
        <v>Good</v>
      </c>
      <c r="Y99" t="str">
        <f>IFERROR(__xludf.DUMMYFUNCTION("""COMPUTED_VALUE"""),"Good")</f>
        <v>Good</v>
      </c>
      <c r="Z99" t="str">
        <f>IFERROR(__xludf.DUMMYFUNCTION("""COMPUTED_VALUE"""),"Good")</f>
        <v>Good</v>
      </c>
      <c r="AA99" t="str">
        <f>IFERROR(__xludf.DUMMYFUNCTION("""COMPUTED_VALUE"""),"Good")</f>
        <v>Good</v>
      </c>
      <c r="AB99" t="str">
        <f>IFERROR(__xludf.DUMMYFUNCTION("""COMPUTED_VALUE"""),"Good")</f>
        <v>Good</v>
      </c>
      <c r="AC99" t="str">
        <f>IFERROR(__xludf.DUMMYFUNCTION("""COMPUTED_VALUE"""),"Good")</f>
        <v>Good</v>
      </c>
      <c r="AE99" s="11"/>
      <c r="AF99" t="s">
        <v>218</v>
      </c>
      <c r="AG99" s="17" t="s">
        <v>18</v>
      </c>
      <c r="AH99" s="12"/>
      <c r="AI99" s="12" t="s">
        <v>238</v>
      </c>
      <c r="AJ99" s="19" t="s">
        <v>239</v>
      </c>
      <c r="AK99" s="20" t="str">
        <f>HYPERLINK("https://docs.google.com/document/d/1B6fzv88D5-nJ8bnEEW7BlQPXBFnv4G5EWzrYGS9Jm9w/edit?usp=drivesdk","Ben Mowbray - 7/5/2018 6:00 AM")</f>
        <v>Ben Mowbray - 7/5/2018 6:00 AM</v>
      </c>
      <c r="AL99" s="12" t="s">
        <v>240</v>
      </c>
    </row>
    <row r="100">
      <c r="A100" s="10">
        <f>IFERROR(__xludf.DUMMYFUNCTION("""COMPUTED_VALUE"""),43286.40234230324)</f>
        <v>43286.40234</v>
      </c>
      <c r="B100" s="11" t="str">
        <f>IFERROR(__xludf.DUMMYFUNCTION("""COMPUTED_VALUE"""),"Silas Tanner")</f>
        <v>Silas Tanner</v>
      </c>
      <c r="C100" t="str">
        <f>IFERROR(__xludf.DUMMYFUNCTION("""COMPUTED_VALUE"""),"silas.tanner@floridadep.gov")</f>
        <v>silas.tanner@floridadep.gov</v>
      </c>
      <c r="D100" t="str">
        <f>IFERROR(__xludf.DUMMYFUNCTION("""COMPUTED_VALUE"""),"Research/Nikki")</f>
        <v>Research/Nikki</v>
      </c>
      <c r="E100" t="str">
        <f>IFERROR(__xludf.DUMMYFUNCTION("""COMPUTED_VALUE"""),"Doug Crane Boat Ramp")</f>
        <v>Doug Crane Boat Ramp</v>
      </c>
      <c r="F100" s="13">
        <f>IFERROR(__xludf.DUMMYFUNCTION("""COMPUTED_VALUE"""),0.5)</f>
        <v>0.5</v>
      </c>
      <c r="G100" s="14">
        <f>IFERROR(__xludf.DUMMYFUNCTION("""COMPUTED_VALUE"""),43286.0)</f>
        <v>43286</v>
      </c>
      <c r="H100" t="str">
        <f>IFERROR(__xludf.DUMMYFUNCTION("""COMPUTED_VALUE"""),"ICW - near East Creek / Moultrie Creek")</f>
        <v>ICW - near East Creek / Moultrie Creek</v>
      </c>
      <c r="I100" s="15">
        <f>IFERROR(__xludf.DUMMYFUNCTION("""COMPUTED_VALUE"""),0.6666666666678793)</f>
        <v>0.6666666667</v>
      </c>
      <c r="J100" s="16">
        <f>IFERROR(__xludf.DUMMYFUNCTION("""COMPUTED_VALUE"""),43286.6875)</f>
        <v>43286.6875</v>
      </c>
      <c r="K100" t="str">
        <f>IFERROR(__xludf.DUMMYFUNCTION("""COMPUTED_VALUE"""),"20ft Sea Ark FL5351SJ UNF 2015")</f>
        <v>20ft Sea Ark FL5351SJ UNF 2015</v>
      </c>
      <c r="M100" t="str">
        <f>IFERROR(__xludf.DUMMYFUNCTION("""COMPUTED_VALUE"""),"Ford F250 2017 (Moby Dix) - DEP0021578")</f>
        <v>Ford F250 2017 (Moby Dix) - DEP0021578</v>
      </c>
      <c r="N100" t="str">
        <f>IFERROR(__xludf.DUMMYFUNCTION("""COMPUTED_VALUE"""),"Silas Tanner, (904) 483-8423, Gabriela Canas, (904) 891-9743, Remo Mondazi")</f>
        <v>Silas Tanner, (904) 483-8423, Gabriela Canas, (904) 891-9743, Remo Mondazi</v>
      </c>
      <c r="O100" t="str">
        <f>IFERROR(__xludf.DUMMYFUNCTION("""COMPUTED_VALUE"""),"Hunter Mathews, Sam Shaw")</f>
        <v>Hunter Mathews, Sam Shaw</v>
      </c>
      <c r="P100" t="str">
        <f>IFERROR(__xludf.DUMMYFUNCTION("""COMPUTED_VALUE"""),"Silas Tanner")</f>
        <v>Silas Tanner</v>
      </c>
      <c r="Q100" t="str">
        <f>IFERROR(__xludf.DUMMYFUNCTION("""COMPUTED_VALUE"""),"Good")</f>
        <v>Good</v>
      </c>
      <c r="R100" t="str">
        <f>IFERROR(__xludf.DUMMYFUNCTION("""COMPUTED_VALUE"""),"Good")</f>
        <v>Good</v>
      </c>
      <c r="S100" t="str">
        <f>IFERROR(__xludf.DUMMYFUNCTION("""COMPUTED_VALUE"""),"Good")</f>
        <v>Good</v>
      </c>
      <c r="T100" t="str">
        <f>IFERROR(__xludf.DUMMYFUNCTION("""COMPUTED_VALUE"""),"Good")</f>
        <v>Good</v>
      </c>
      <c r="U100" t="str">
        <f>IFERROR(__xludf.DUMMYFUNCTION("""COMPUTED_VALUE"""),"Good")</f>
        <v>Good</v>
      </c>
      <c r="V100" t="str">
        <f>IFERROR(__xludf.DUMMYFUNCTION("""COMPUTED_VALUE"""),"Good")</f>
        <v>Good</v>
      </c>
      <c r="W100" t="str">
        <f>IFERROR(__xludf.DUMMYFUNCTION("""COMPUTED_VALUE"""),"Good")</f>
        <v>Good</v>
      </c>
      <c r="X100" t="str">
        <f>IFERROR(__xludf.DUMMYFUNCTION("""COMPUTED_VALUE"""),"Good")</f>
        <v>Good</v>
      </c>
      <c r="Y100" t="str">
        <f>IFERROR(__xludf.DUMMYFUNCTION("""COMPUTED_VALUE"""),"Good")</f>
        <v>Good</v>
      </c>
      <c r="Z100" t="str">
        <f>IFERROR(__xludf.DUMMYFUNCTION("""COMPUTED_VALUE"""),"Good")</f>
        <v>Good</v>
      </c>
      <c r="AA100" t="str">
        <f>IFERROR(__xludf.DUMMYFUNCTION("""COMPUTED_VALUE"""),"Good")</f>
        <v>Good</v>
      </c>
      <c r="AB100" t="str">
        <f>IFERROR(__xludf.DUMMYFUNCTION("""COMPUTED_VALUE"""),"Good")</f>
        <v>Good</v>
      </c>
      <c r="AC100" t="str">
        <f>IFERROR(__xludf.DUMMYFUNCTION("""COMPUTED_VALUE"""),"Good")</f>
        <v>Good</v>
      </c>
      <c r="AE100" s="11"/>
      <c r="AF100" t="s">
        <v>218</v>
      </c>
      <c r="AG100" s="17" t="s">
        <v>18</v>
      </c>
      <c r="AH100" s="12"/>
      <c r="AI100" s="12" t="s">
        <v>241</v>
      </c>
      <c r="AJ100" s="19" t="s">
        <v>242</v>
      </c>
      <c r="AK100" s="20" t="str">
        <f>HYPERLINK("https://docs.google.com/document/d/1g5f9yPdc6uaO_l9y9K3YLZPe5ak-o0BxRUX5eZ2dmP0/edit?usp=drivesdk","Silas Tanner - 7/5/2018 12:00 PM")</f>
        <v>Silas Tanner - 7/5/2018 12:00 PM</v>
      </c>
      <c r="AL100" s="12" t="s">
        <v>243</v>
      </c>
    </row>
    <row r="101">
      <c r="A101" s="10">
        <f>IFERROR(__xludf.DUMMYFUNCTION("""COMPUTED_VALUE"""),43287.480081747686)</f>
        <v>43287.48008</v>
      </c>
      <c r="B101" s="11" t="str">
        <f>IFERROR(__xludf.DUMMYFUNCTION("""COMPUTED_VALUE"""),"Ben Mowbray")</f>
        <v>Ben Mowbray</v>
      </c>
      <c r="C101" t="str">
        <f>IFERROR(__xludf.DUMMYFUNCTION("""COMPUTED_VALUE"""),"ben.mowbray@state.dep.fl.us")</f>
        <v>ben.mowbray@state.dep.fl.us</v>
      </c>
      <c r="D101" t="str">
        <f>IFERROR(__xludf.DUMMYFUNCTION("""COMPUTED_VALUE"""),"Research/Nikki")</f>
        <v>Research/Nikki</v>
      </c>
      <c r="E101" t="str">
        <f>IFERROR(__xludf.DUMMYFUNCTION("""COMPUTED_VALUE"""),"Shore Dr. Boat Ramp")</f>
        <v>Shore Dr. Boat Ramp</v>
      </c>
      <c r="F101" s="13">
        <f>IFERROR(__xludf.DUMMYFUNCTION("""COMPUTED_VALUE"""),0.45138888889050577)</f>
        <v>0.4513888889</v>
      </c>
      <c r="G101" s="14">
        <f>IFERROR(__xludf.DUMMYFUNCTION("""COMPUTED_VALUE"""),43290.0)</f>
        <v>43290</v>
      </c>
      <c r="H101" t="str">
        <f>IFERROR(__xludf.DUMMYFUNCTION("""COMPUTED_VALUE"""),"FM and SA Reefs")</f>
        <v>FM and SA Reefs</v>
      </c>
      <c r="I101" s="15">
        <f>IFERROR(__xludf.DUMMYFUNCTION("""COMPUTED_VALUE"""),0.5625)</f>
        <v>0.5625</v>
      </c>
      <c r="J101" s="16">
        <f>IFERROR(__xludf.DUMMYFUNCTION("""COMPUTED_VALUE"""),43290.09027777778)</f>
        <v>43290.09028</v>
      </c>
      <c r="K101" t="str">
        <f>IFERROR(__xludf.DUMMYFUNCTION("""COMPUTED_VALUE"""),"23ft Skiff (Bertha) FL7972LJ DEP07613")</f>
        <v>23ft Skiff (Bertha) FL7972LJ DEP07613</v>
      </c>
      <c r="M101" t="str">
        <f>IFERROR(__xludf.DUMMYFUNCTION("""COMPUTED_VALUE"""),"will email later")</f>
        <v>will email later</v>
      </c>
      <c r="N101" t="str">
        <f>IFERROR(__xludf.DUMMYFUNCTION("""COMPUTED_VALUE"""),"Ben Mowbray, (407) 962-8782")</f>
        <v>Ben Mowbray, (407) 962-8782</v>
      </c>
      <c r="O101" t="str">
        <f>IFERROR(__xludf.DUMMYFUNCTION("""COMPUTED_VALUE"""),"Jamie L.")</f>
        <v>Jamie L.</v>
      </c>
      <c r="P101" t="str">
        <f>IFERROR(__xludf.DUMMYFUNCTION("""COMPUTED_VALUE"""),"Ben")</f>
        <v>Ben</v>
      </c>
      <c r="Q101" t="str">
        <f>IFERROR(__xludf.DUMMYFUNCTION("""COMPUTED_VALUE"""),"Good")</f>
        <v>Good</v>
      </c>
      <c r="R101" t="str">
        <f>IFERROR(__xludf.DUMMYFUNCTION("""COMPUTED_VALUE"""),"Good")</f>
        <v>Good</v>
      </c>
      <c r="S101" t="str">
        <f>IFERROR(__xludf.DUMMYFUNCTION("""COMPUTED_VALUE"""),"Good")</f>
        <v>Good</v>
      </c>
      <c r="T101" t="str">
        <f>IFERROR(__xludf.DUMMYFUNCTION("""COMPUTED_VALUE"""),"Good")</f>
        <v>Good</v>
      </c>
      <c r="U101" t="str">
        <f>IFERROR(__xludf.DUMMYFUNCTION("""COMPUTED_VALUE"""),"Good")</f>
        <v>Good</v>
      </c>
      <c r="V101" t="str">
        <f>IFERROR(__xludf.DUMMYFUNCTION("""COMPUTED_VALUE"""),"Good")</f>
        <v>Good</v>
      </c>
      <c r="W101" t="str">
        <f>IFERROR(__xludf.DUMMYFUNCTION("""COMPUTED_VALUE"""),"Good")</f>
        <v>Good</v>
      </c>
      <c r="X101" t="str">
        <f>IFERROR(__xludf.DUMMYFUNCTION("""COMPUTED_VALUE"""),"Good")</f>
        <v>Good</v>
      </c>
      <c r="Y101" t="str">
        <f>IFERROR(__xludf.DUMMYFUNCTION("""COMPUTED_VALUE"""),"Good")</f>
        <v>Good</v>
      </c>
      <c r="Z101" t="str">
        <f>IFERROR(__xludf.DUMMYFUNCTION("""COMPUTED_VALUE"""),"Good")</f>
        <v>Good</v>
      </c>
      <c r="AA101" t="str">
        <f>IFERROR(__xludf.DUMMYFUNCTION("""COMPUTED_VALUE"""),"Good")</f>
        <v>Good</v>
      </c>
      <c r="AB101" t="str">
        <f>IFERROR(__xludf.DUMMYFUNCTION("""COMPUTED_VALUE"""),"Good")</f>
        <v>Good</v>
      </c>
      <c r="AC101" t="str">
        <f>IFERROR(__xludf.DUMMYFUNCTION("""COMPUTED_VALUE"""),"Good")</f>
        <v>Good</v>
      </c>
      <c r="AE101" s="11"/>
      <c r="AF101" t="s">
        <v>218</v>
      </c>
      <c r="AG101" s="17" t="s">
        <v>18</v>
      </c>
      <c r="AH101" s="12"/>
      <c r="AI101" s="12" t="s">
        <v>244</v>
      </c>
      <c r="AJ101" s="19" t="s">
        <v>245</v>
      </c>
      <c r="AK101" s="20" t="str">
        <f>HYPERLINK("https://docs.google.com/document/d/1FGSJu50WpKVPQMMjfQsJgZFm6YVlPd9AmbZ7l5n8PbY/edit?usp=drivesdk","Ben Mowbray - 7/9/2018 10:50 AM")</f>
        <v>Ben Mowbray - 7/9/2018 10:50 AM</v>
      </c>
      <c r="AL101" s="12" t="s">
        <v>246</v>
      </c>
    </row>
    <row r="102">
      <c r="A102" s="10">
        <f>IFERROR(__xludf.DUMMYFUNCTION("""COMPUTED_VALUE"""),43291.37781991898)</f>
        <v>43291.37782</v>
      </c>
      <c r="B102" s="11" t="str">
        <f>IFERROR(__xludf.DUMMYFUNCTION("""COMPUTED_VALUE"""),"James Tomazinis")</f>
        <v>James Tomazinis</v>
      </c>
      <c r="C102" t="str">
        <f>IFERROR(__xludf.DUMMYFUNCTION("""COMPUTED_VALUE"""),"james.tomazinis@floridadep.gov")</f>
        <v>james.tomazinis@floridadep.gov</v>
      </c>
      <c r="D102" t="str">
        <f>IFERROR(__xludf.DUMMYFUNCTION("""COMPUTED_VALUE"""),"Stewardship (Aquatic)")</f>
        <v>Stewardship (Aquatic)</v>
      </c>
      <c r="E102" t="str">
        <f>IFERROR(__xludf.DUMMYFUNCTION("""COMPUTED_VALUE"""),"Aunt Kates")</f>
        <v>Aunt Kates</v>
      </c>
      <c r="F102" s="13">
        <f>IFERROR(__xludf.DUMMYFUNCTION("""COMPUTED_VALUE"""),0.3958333333321207)</f>
        <v>0.3958333333</v>
      </c>
      <c r="G102" s="14">
        <f>IFERROR(__xludf.DUMMYFUNCTION("""COMPUTED_VALUE"""),43291.0)</f>
        <v>43291</v>
      </c>
      <c r="H102" t="str">
        <f>IFERROR(__xludf.DUMMYFUNCTION("""COMPUTED_VALUE"""),"Angelini Sites")</f>
        <v>Angelini Sites</v>
      </c>
      <c r="I102" s="15">
        <f>IFERROR(__xludf.DUMMYFUNCTION("""COMPUTED_VALUE"""),0.5416666666678793)</f>
        <v>0.5416666667</v>
      </c>
      <c r="J102" s="16"/>
      <c r="K102" t="str">
        <f>IFERROR(__xludf.DUMMYFUNCTION("""COMPUTED_VALUE"""),"F 20ft Sea Ark (Easy 200) FL8534PY DEP21451")</f>
        <v>F 20ft Sea Ark (Easy 200) FL8534PY DEP21451</v>
      </c>
      <c r="M102" t="str">
        <f>IFERROR(__xludf.DUMMYFUNCTION("""COMPUTED_VALUE"""),"Ford F250 2017 (Moby Dix) - DEP0021578")</f>
        <v>Ford F250 2017 (Moby Dix) - DEP0021578</v>
      </c>
      <c r="N102" t="str">
        <f>IFERROR(__xludf.DUMMYFUNCTION("""COMPUTED_VALUE"""),"Nikki Dix, (352) 219-4079, Jimmy Tomazinis, (904) 547-0094")</f>
        <v>Nikki Dix, (352) 219-4079, Jimmy Tomazinis, (904) 547-0094</v>
      </c>
      <c r="O102" t="str">
        <f>IFERROR(__xludf.DUMMYFUNCTION("""COMPUTED_VALUE"""),"5 LMR people")</f>
        <v>5 LMR people</v>
      </c>
      <c r="P102" t="str">
        <f>IFERROR(__xludf.DUMMYFUNCTION("""COMPUTED_VALUE"""),"Jimmy")</f>
        <v>Jimmy</v>
      </c>
      <c r="Q102" t="str">
        <f>IFERROR(__xludf.DUMMYFUNCTION("""COMPUTED_VALUE"""),"Good")</f>
        <v>Good</v>
      </c>
      <c r="R102" t="str">
        <f>IFERROR(__xludf.DUMMYFUNCTION("""COMPUTED_VALUE"""),"Good")</f>
        <v>Good</v>
      </c>
      <c r="S102" t="str">
        <f>IFERROR(__xludf.DUMMYFUNCTION("""COMPUTED_VALUE"""),"Good")</f>
        <v>Good</v>
      </c>
      <c r="T102" t="str">
        <f>IFERROR(__xludf.DUMMYFUNCTION("""COMPUTED_VALUE"""),"Good")</f>
        <v>Good</v>
      </c>
      <c r="U102" t="str">
        <f>IFERROR(__xludf.DUMMYFUNCTION("""COMPUTED_VALUE"""),"Good")</f>
        <v>Good</v>
      </c>
      <c r="V102" t="str">
        <f>IFERROR(__xludf.DUMMYFUNCTION("""COMPUTED_VALUE"""),"Good")</f>
        <v>Good</v>
      </c>
      <c r="W102" t="str">
        <f>IFERROR(__xludf.DUMMYFUNCTION("""COMPUTED_VALUE"""),"Good")</f>
        <v>Good</v>
      </c>
      <c r="X102" t="str">
        <f>IFERROR(__xludf.DUMMYFUNCTION("""COMPUTED_VALUE"""),"Good")</f>
        <v>Good</v>
      </c>
      <c r="Y102" t="str">
        <f>IFERROR(__xludf.DUMMYFUNCTION("""COMPUTED_VALUE"""),"Good")</f>
        <v>Good</v>
      </c>
      <c r="Z102" t="str">
        <f>IFERROR(__xludf.DUMMYFUNCTION("""COMPUTED_VALUE"""),"Good")</f>
        <v>Good</v>
      </c>
      <c r="AA102" t="str">
        <f>IFERROR(__xludf.DUMMYFUNCTION("""COMPUTED_VALUE"""),"Good")</f>
        <v>Good</v>
      </c>
      <c r="AB102" t="str">
        <f>IFERROR(__xludf.DUMMYFUNCTION("""COMPUTED_VALUE"""),"Good")</f>
        <v>Good</v>
      </c>
      <c r="AC102" t="str">
        <f>IFERROR(__xludf.DUMMYFUNCTION("""COMPUTED_VALUE"""),"Good")</f>
        <v>Good</v>
      </c>
      <c r="AE102" s="11"/>
      <c r="AF102" t="s">
        <v>32</v>
      </c>
      <c r="AG102" s="17" t="s">
        <v>60</v>
      </c>
      <c r="AH102" s="12"/>
      <c r="AI102" s="12" t="s">
        <v>247</v>
      </c>
      <c r="AJ102" s="19" t="s">
        <v>248</v>
      </c>
      <c r="AK102" s="20" t="str">
        <f>HYPERLINK("https://docs.google.com/document/d/1acVIuNRHP6o9EhpjLyK7BPUBmQo2wAa7dSOlClJFeIA/edit?usp=drivesdk","James Tomazinis - 7/10/2018 9:30 AM")</f>
        <v>James Tomazinis - 7/10/2018 9:30 AM</v>
      </c>
      <c r="AL102" s="12" t="s">
        <v>249</v>
      </c>
    </row>
    <row r="103">
      <c r="A103" s="10">
        <f>IFERROR(__xludf.DUMMYFUNCTION("""COMPUTED_VALUE"""),43291.37799818286)</f>
        <v>43291.378</v>
      </c>
      <c r="B103" s="11" t="str">
        <f>IFERROR(__xludf.DUMMYFUNCTION("""COMPUTED_VALUE"""),"Pamela Marcum")</f>
        <v>Pamela Marcum</v>
      </c>
      <c r="C103" t="str">
        <f>IFERROR(__xludf.DUMMYFUNCTION("""COMPUTED_VALUE"""),"Pamela.Marcum@dep.state.fl.us")</f>
        <v>Pamela.Marcum@dep.state.fl.us</v>
      </c>
      <c r="D103" t="str">
        <f>IFERROR(__xludf.DUMMYFUNCTION("""COMPUTED_VALUE"""),"Research/Nikki")</f>
        <v>Research/Nikki</v>
      </c>
      <c r="E103" t="str">
        <f>IFERROR(__xludf.DUMMYFUNCTION("""COMPUTED_VALUE"""),"Aunt Kate's Usina Ramp")</f>
        <v>Aunt Kate's Usina Ramp</v>
      </c>
      <c r="F103" s="13">
        <f>IFERROR(__xludf.DUMMYFUNCTION("""COMPUTED_VALUE"""),0.375)</f>
        <v>0.375</v>
      </c>
      <c r="G103" s="14">
        <f>IFERROR(__xludf.DUMMYFUNCTION("""COMPUTED_VALUE"""),43291.0)</f>
        <v>43291</v>
      </c>
      <c r="H103" t="str">
        <f>IFERROR(__xludf.DUMMYFUNCTION("""COMPUTED_VALUE"""),"Tolomato River Pine Island")</f>
        <v>Tolomato River Pine Island</v>
      </c>
      <c r="I103" s="15">
        <f>IFERROR(__xludf.DUMMYFUNCTION("""COMPUTED_VALUE"""),0.625)</f>
        <v>0.625</v>
      </c>
      <c r="J103" s="16">
        <f>IFERROR(__xludf.DUMMYFUNCTION("""COMPUTED_VALUE"""),43291.64583333333)</f>
        <v>43291.64583</v>
      </c>
      <c r="K103" t="str">
        <f>IFERROR(__xludf.DUMMYFUNCTION("""COMPUTED_VALUE"""),"23ft Skiff (Bertha) FL7972LJ DEP07613")</f>
        <v>23ft Skiff (Bertha) FL7972LJ DEP07613</v>
      </c>
      <c r="M103" t="str">
        <f>IFERROR(__xludf.DUMMYFUNCTION("""COMPUTED_VALUE"""),"Ford F150 2015 (White) - DEP21448")</f>
        <v>Ford F150 2015 (White) - DEP21448</v>
      </c>
      <c r="N103" t="str">
        <f>IFERROR(__xludf.DUMMYFUNCTION("""COMPUTED_VALUE"""),"Pam Marcum, (480) 332-5414")</f>
        <v>Pam Marcum, (480) 332-5414</v>
      </c>
      <c r="O103" t="str">
        <f>IFERROR(__xludf.DUMMYFUNCTION("""COMPUTED_VALUE"""),"Michael Shirley, Shannon Rininger, +5 LMR Reviewers")</f>
        <v>Michael Shirley, Shannon Rininger, +5 LMR Reviewers</v>
      </c>
      <c r="P103" t="str">
        <f>IFERROR(__xludf.DUMMYFUNCTION("""COMPUTED_VALUE"""),"Pamela Marcum")</f>
        <v>Pamela Marcum</v>
      </c>
      <c r="Q103" t="str">
        <f>IFERROR(__xludf.DUMMYFUNCTION("""COMPUTED_VALUE"""),"Good")</f>
        <v>Good</v>
      </c>
      <c r="R103" t="str">
        <f>IFERROR(__xludf.DUMMYFUNCTION("""COMPUTED_VALUE"""),"Good")</f>
        <v>Good</v>
      </c>
      <c r="S103" t="str">
        <f>IFERROR(__xludf.DUMMYFUNCTION("""COMPUTED_VALUE"""),"Good")</f>
        <v>Good</v>
      </c>
      <c r="T103" t="str">
        <f>IFERROR(__xludf.DUMMYFUNCTION("""COMPUTED_VALUE"""),"Good")</f>
        <v>Good</v>
      </c>
      <c r="U103" t="str">
        <f>IFERROR(__xludf.DUMMYFUNCTION("""COMPUTED_VALUE"""),"Good")</f>
        <v>Good</v>
      </c>
      <c r="V103" t="str">
        <f>IFERROR(__xludf.DUMMYFUNCTION("""COMPUTED_VALUE"""),"Good")</f>
        <v>Good</v>
      </c>
      <c r="W103" t="str">
        <f>IFERROR(__xludf.DUMMYFUNCTION("""COMPUTED_VALUE"""),"Good")</f>
        <v>Good</v>
      </c>
      <c r="X103" t="str">
        <f>IFERROR(__xludf.DUMMYFUNCTION("""COMPUTED_VALUE"""),"Good")</f>
        <v>Good</v>
      </c>
      <c r="Y103" t="str">
        <f>IFERROR(__xludf.DUMMYFUNCTION("""COMPUTED_VALUE"""),"Good")</f>
        <v>Good</v>
      </c>
      <c r="Z103" t="str">
        <f>IFERROR(__xludf.DUMMYFUNCTION("""COMPUTED_VALUE"""),"Good")</f>
        <v>Good</v>
      </c>
      <c r="AA103" t="str">
        <f>IFERROR(__xludf.DUMMYFUNCTION("""COMPUTED_VALUE"""),"Good")</f>
        <v>Good</v>
      </c>
      <c r="AB103" t="str">
        <f>IFERROR(__xludf.DUMMYFUNCTION("""COMPUTED_VALUE"""),"Good")</f>
        <v>Good</v>
      </c>
      <c r="AC103" t="str">
        <f>IFERROR(__xludf.DUMMYFUNCTION("""COMPUTED_VALUE"""),"Good")</f>
        <v>Good</v>
      </c>
      <c r="AE103" s="11"/>
      <c r="AF103" t="s">
        <v>218</v>
      </c>
      <c r="AG103" s="17" t="s">
        <v>60</v>
      </c>
      <c r="AH103" s="12"/>
      <c r="AI103" s="12" t="s">
        <v>250</v>
      </c>
      <c r="AJ103" s="19" t="s">
        <v>251</v>
      </c>
      <c r="AK103" s="20" t="str">
        <f>HYPERLINK("https://docs.google.com/document/d/1wU-ztvrplHNJ3Wq6k-7vP1L8aMRqh_hvA2p-U5wWUF0/edit?usp=drivesdk","Pamela Marcum - 7/10/2018 9:00 AM")</f>
        <v>Pamela Marcum - 7/10/2018 9:00 AM</v>
      </c>
      <c r="AL103" s="12" t="s">
        <v>252</v>
      </c>
    </row>
    <row r="104">
      <c r="A104" s="10">
        <f>IFERROR(__xludf.DUMMYFUNCTION("""COMPUTED_VALUE"""),43291.80791991899)</f>
        <v>43291.80792</v>
      </c>
      <c r="B104" s="11" t="str">
        <f>IFERROR(__xludf.DUMMYFUNCTION("""COMPUTED_VALUE"""),"James Tomazinis")</f>
        <v>James Tomazinis</v>
      </c>
      <c r="C104" t="str">
        <f>IFERROR(__xludf.DUMMYFUNCTION("""COMPUTED_VALUE"""),"james.tomazinis@floridadep.gov")</f>
        <v>james.tomazinis@floridadep.gov</v>
      </c>
      <c r="D104" t="str">
        <f>IFERROR(__xludf.DUMMYFUNCTION("""COMPUTED_VALUE"""),"Stewardship (Aquatic)")</f>
        <v>Stewardship (Aquatic)</v>
      </c>
      <c r="E104" t="str">
        <f>IFERROR(__xludf.DUMMYFUNCTION("""COMPUTED_VALUE"""),"Dam")</f>
        <v>Dam</v>
      </c>
      <c r="F104" s="13">
        <f>IFERROR(__xludf.DUMMYFUNCTION("""COMPUTED_VALUE"""),0.34722222222262644)</f>
        <v>0.3472222222</v>
      </c>
      <c r="G104" s="14">
        <f>IFERROR(__xludf.DUMMYFUNCTION("""COMPUTED_VALUE"""),43292.0)</f>
        <v>43292</v>
      </c>
      <c r="H104" t="str">
        <f>IFERROR(__xludf.DUMMYFUNCTION("""COMPUTED_VALUE"""),"Guana River")</f>
        <v>Guana River</v>
      </c>
      <c r="I104" s="15">
        <f>IFERROR(__xludf.DUMMYFUNCTION("""COMPUTED_VALUE"""),0.4166666666678793)</f>
        <v>0.4166666667</v>
      </c>
      <c r="J104" s="16"/>
      <c r="K104" t="str">
        <f>IFERROR(__xludf.DUMMYFUNCTION("""COMPUTED_VALUE"""),"Jon Boat FL0484NP DEP06819")</f>
        <v>Jon Boat FL0484NP DEP06819</v>
      </c>
      <c r="M104" t="str">
        <f>IFERROR(__xludf.DUMMYFUNCTION("""COMPUTED_VALUE"""),"Ford F250 2017 (Moby Dix) - DEP0021578")</f>
        <v>Ford F250 2017 (Moby Dix) - DEP0021578</v>
      </c>
      <c r="N104" t="str">
        <f>IFERROR(__xludf.DUMMYFUNCTION("""COMPUTED_VALUE"""),"Nikki Dix, (352) 219-4079, Jimmy Tomazinis, (904) 547-0094")</f>
        <v>Nikki Dix, (352) 219-4079, Jimmy Tomazinis, (904) 547-0094</v>
      </c>
      <c r="O104" t="str">
        <f>IFERROR(__xludf.DUMMYFUNCTION("""COMPUTED_VALUE"""),"Hunter Mathews")</f>
        <v>Hunter Mathews</v>
      </c>
      <c r="P104" t="str">
        <f>IFERROR(__xludf.DUMMYFUNCTION("""COMPUTED_VALUE"""),"Jimmy")</f>
        <v>Jimmy</v>
      </c>
      <c r="Q104" t="str">
        <f>IFERROR(__xludf.DUMMYFUNCTION("""COMPUTED_VALUE"""),"Good")</f>
        <v>Good</v>
      </c>
      <c r="R104" t="str">
        <f>IFERROR(__xludf.DUMMYFUNCTION("""COMPUTED_VALUE"""),"Good")</f>
        <v>Good</v>
      </c>
      <c r="AE104" s="11"/>
      <c r="AF104" t="s">
        <v>32</v>
      </c>
      <c r="AG104" s="17" t="s">
        <v>18</v>
      </c>
      <c r="AH104" s="12"/>
      <c r="AI104" s="12" t="s">
        <v>253</v>
      </c>
      <c r="AJ104" s="19" t="s">
        <v>254</v>
      </c>
      <c r="AK104" s="20" t="str">
        <f>HYPERLINK("https://docs.google.com/document/d/1cWHC30uCG8clysPvFjcXE45CuDzXqmgLp_YEJ8TY14o/edit?usp=drivesdk","James Tomazinis - 7/11/2018 8:20 AM")</f>
        <v>James Tomazinis - 7/11/2018 8:20 AM</v>
      </c>
      <c r="AL104" s="12" t="s">
        <v>255</v>
      </c>
    </row>
    <row r="105">
      <c r="A105" s="10">
        <f>IFERROR(__xludf.DUMMYFUNCTION("""COMPUTED_VALUE"""),43292.611803750005)</f>
        <v>43292.6118</v>
      </c>
      <c r="B105" s="11" t="str">
        <f>IFERROR(__xludf.DUMMYFUNCTION("""COMPUTED_VALUE"""),"Kenneth Rainer")</f>
        <v>Kenneth Rainer</v>
      </c>
      <c r="C105" t="str">
        <f>IFERROR(__xludf.DUMMYFUNCTION("""COMPUTED_VALUE"""),"Kenneth.Rainer@dep.state.fl.us")</f>
        <v>Kenneth.Rainer@dep.state.fl.us</v>
      </c>
      <c r="D105" t="str">
        <f>IFERROR(__xludf.DUMMYFUNCTION("""COMPUTED_VALUE"""),"Education")</f>
        <v>Education</v>
      </c>
      <c r="E105" t="str">
        <f>IFERROR(__xludf.DUMMYFUNCTION("""COMPUTED_VALUE"""),"Usina Boat Ramp (Aunt Kates)")</f>
        <v>Usina Boat Ramp (Aunt Kates)</v>
      </c>
      <c r="F105" s="13">
        <f>IFERROR(__xludf.DUMMYFUNCTION("""COMPUTED_VALUE"""),0.3958333333321207)</f>
        <v>0.3958333333</v>
      </c>
      <c r="G105" s="14">
        <f>IFERROR(__xludf.DUMMYFUNCTION("""COMPUTED_VALUE"""),43293.0)</f>
        <v>43293</v>
      </c>
      <c r="H105" t="str">
        <f>IFERROR(__xludf.DUMMYFUNCTION("""COMPUTED_VALUE"""),"Northern component (Shell Bluff)")</f>
        <v>Northern component (Shell Bluff)</v>
      </c>
      <c r="I105" s="15">
        <f>IFERROR(__xludf.DUMMYFUNCTION("""COMPUTED_VALUE"""),0.5416666666678793)</f>
        <v>0.5416666667</v>
      </c>
      <c r="J105" s="16">
        <f>IFERROR(__xludf.DUMMYFUNCTION("""COMPUTED_VALUE"""),43293.5625)</f>
        <v>43293.5625</v>
      </c>
      <c r="K105" t="str">
        <f>IFERROR(__xludf.DUMMYFUNCTION("""COMPUTED_VALUE"""),"23ft Skiff (Bertha) FL7972LJ DEP07613")</f>
        <v>23ft Skiff (Bertha) FL7972LJ DEP07613</v>
      </c>
      <c r="M105" t="str">
        <f>IFERROR(__xludf.DUMMYFUNCTION("""COMPUTED_VALUE"""),"Ford F150 2015 (White) - DEP21448")</f>
        <v>Ford F150 2015 (White) - DEP21448</v>
      </c>
      <c r="N105" t="str">
        <f>IFERROR(__xludf.DUMMYFUNCTION("""COMPUTED_VALUE"""),"Kenneth Rainer, (936) 499-1853")</f>
        <v>Kenneth Rainer, (936) 499-1853</v>
      </c>
      <c r="O105" t="str">
        <f>IFERROR(__xludf.DUMMYFUNCTION("""COMPUTED_VALUE"""),"Summer Campers (7-9yr &amp; 10-12yr campers)")</f>
        <v>Summer Campers (7-9yr &amp; 10-12yr campers)</v>
      </c>
      <c r="P105" t="str">
        <f>IFERROR(__xludf.DUMMYFUNCTION("""COMPUTED_VALUE"""),"Kenneth Rainer")</f>
        <v>Kenneth Rainer</v>
      </c>
      <c r="Q105" t="str">
        <f>IFERROR(__xludf.DUMMYFUNCTION("""COMPUTED_VALUE"""),"Good")</f>
        <v>Good</v>
      </c>
      <c r="R105" t="str">
        <f>IFERROR(__xludf.DUMMYFUNCTION("""COMPUTED_VALUE"""),"Good")</f>
        <v>Good</v>
      </c>
      <c r="S105" t="str">
        <f>IFERROR(__xludf.DUMMYFUNCTION("""COMPUTED_VALUE"""),"Good")</f>
        <v>Good</v>
      </c>
      <c r="T105" t="str">
        <f>IFERROR(__xludf.DUMMYFUNCTION("""COMPUTED_VALUE"""),"Good")</f>
        <v>Good</v>
      </c>
      <c r="U105" t="str">
        <f>IFERROR(__xludf.DUMMYFUNCTION("""COMPUTED_VALUE"""),"Good")</f>
        <v>Good</v>
      </c>
      <c r="V105" t="str">
        <f>IFERROR(__xludf.DUMMYFUNCTION("""COMPUTED_VALUE"""),"Good")</f>
        <v>Good</v>
      </c>
      <c r="W105" t="str">
        <f>IFERROR(__xludf.DUMMYFUNCTION("""COMPUTED_VALUE"""),"Good")</f>
        <v>Good</v>
      </c>
      <c r="X105" t="str">
        <f>IFERROR(__xludf.DUMMYFUNCTION("""COMPUTED_VALUE"""),"Good")</f>
        <v>Good</v>
      </c>
      <c r="Y105" t="str">
        <f>IFERROR(__xludf.DUMMYFUNCTION("""COMPUTED_VALUE"""),"Good")</f>
        <v>Good</v>
      </c>
      <c r="Z105" t="str">
        <f>IFERROR(__xludf.DUMMYFUNCTION("""COMPUTED_VALUE"""),"Good")</f>
        <v>Good</v>
      </c>
      <c r="AA105" t="str">
        <f>IFERROR(__xludf.DUMMYFUNCTION("""COMPUTED_VALUE"""),"Good")</f>
        <v>Good</v>
      </c>
      <c r="AB105" t="str">
        <f>IFERROR(__xludf.DUMMYFUNCTION("""COMPUTED_VALUE"""),"Good")</f>
        <v>Good</v>
      </c>
      <c r="AC105" t="str">
        <f>IFERROR(__xludf.DUMMYFUNCTION("""COMPUTED_VALUE"""),"Good")</f>
        <v>Good</v>
      </c>
      <c r="AD105" t="str">
        <f>IFERROR(__xludf.DUMMYFUNCTION("""COMPUTED_VALUE"""),"Mainly sunny. A stray shower or thunderstorm is possible. High near 90F. SW winds shifting to ESE at 10 to 15 mph.")</f>
        <v>Mainly sunny. A stray shower or thunderstorm is possible. High near 90F. SW winds shifting to ESE at 10 to 15 mph.</v>
      </c>
      <c r="AE105" s="11" t="str">
        <f>IFERROR(__xludf.DUMMYFUNCTION("""COMPUTED_VALUE"""),"08:26 AM, 3.96 ft, H --- 2:24 PM, -1.12 ft, L")</f>
        <v>08:26 AM, 3.96 ft, H --- 2:24 PM, -1.12 ft, L</v>
      </c>
      <c r="AF105" t="s">
        <v>9</v>
      </c>
      <c r="AG105" s="17" t="s">
        <v>18</v>
      </c>
      <c r="AH105" s="12"/>
      <c r="AI105" s="12" t="s">
        <v>256</v>
      </c>
      <c r="AJ105" s="19" t="s">
        <v>257</v>
      </c>
      <c r="AK105" s="20" t="str">
        <f>HYPERLINK("https://docs.google.com/document/d/15JSaSCbxrJwu6kwkLTnDA9-lYy2XQUHFjS2JiRUKLGM/edit?usp=drivesdk","Kenneth Rainer - 7/12/2018 9:30 AM")</f>
        <v>Kenneth Rainer - 7/12/2018 9:30 AM</v>
      </c>
      <c r="AL105" s="12" t="s">
        <v>258</v>
      </c>
    </row>
    <row r="106">
      <c r="A106" s="10">
        <f>IFERROR(__xludf.DUMMYFUNCTION("""COMPUTED_VALUE"""),43293.3781090625)</f>
        <v>43293.37811</v>
      </c>
      <c r="B106" s="11" t="str">
        <f>IFERROR(__xludf.DUMMYFUNCTION("""COMPUTED_VALUE"""),"Shannon Dunnigan")</f>
        <v>Shannon Dunnigan</v>
      </c>
      <c r="C106" t="str">
        <f>IFERROR(__xludf.DUMMYFUNCTION("""COMPUTED_VALUE"""),"Shannon.Dunnigan@dep.state.fl.us")</f>
        <v>Shannon.Dunnigan@dep.state.fl.us</v>
      </c>
      <c r="D106" t="str">
        <f>IFERROR(__xludf.DUMMYFUNCTION("""COMPUTED_VALUE"""),"Research/Nikki")</f>
        <v>Research/Nikki</v>
      </c>
      <c r="E106" t="str">
        <f>IFERROR(__xludf.DUMMYFUNCTION("""COMPUTED_VALUE"""),"Bings Landing")</f>
        <v>Bings Landing</v>
      </c>
      <c r="F106" s="13">
        <f>IFERROR(__xludf.DUMMYFUNCTION("""COMPUTED_VALUE"""),0.4583333333321207)</f>
        <v>0.4583333333</v>
      </c>
      <c r="G106" s="14">
        <f>IFERROR(__xludf.DUMMYFUNCTION("""COMPUTED_VALUE"""),43293.0)</f>
        <v>43293</v>
      </c>
      <c r="H106" t="str">
        <f>IFERROR(__xludf.DUMMYFUNCTION("""COMPUTED_VALUE"""),"ICW around Summerhaven")</f>
        <v>ICW around Summerhaven</v>
      </c>
      <c r="I106" s="15">
        <f>IFERROR(__xludf.DUMMYFUNCTION("""COMPUTED_VALUE"""),0.5625)</f>
        <v>0.5625</v>
      </c>
      <c r="J106" s="16">
        <f>IFERROR(__xludf.DUMMYFUNCTION("""COMPUTED_VALUE"""),43293.625)</f>
        <v>43293.625</v>
      </c>
      <c r="K106" t="str">
        <f>IFERROR(__xludf.DUMMYFUNCTION("""COMPUTED_VALUE"""),"20ft Sea Ark FL5351SJ UNF 2015")</f>
        <v>20ft Sea Ark FL5351SJ UNF 2015</v>
      </c>
      <c r="M106" t="str">
        <f>IFERROR(__xludf.DUMMYFUNCTION("""COMPUTED_VALUE"""),"Ford F250 2017 (Moby Dix) - DEP0021578")</f>
        <v>Ford F250 2017 (Moby Dix) - DEP0021578</v>
      </c>
      <c r="N106" t="str">
        <f>IFERROR(__xludf.DUMMYFUNCTION("""COMPUTED_VALUE"""),"Shannon Dunnigan, (803) 727-5734, Ben Mowbray, (407) 962-8782")</f>
        <v>Shannon Dunnigan, (803) 727-5734, Ben Mowbray, (407) 962-8782</v>
      </c>
      <c r="O106" t="str">
        <f>IFERROR(__xludf.DUMMYFUNCTION("""COMPUTED_VALUE"""),"Matt Brown, Trinity Hopkins, Hunter Mathews")</f>
        <v>Matt Brown, Trinity Hopkins, Hunter Mathews</v>
      </c>
      <c r="P106" t="str">
        <f>IFERROR(__xludf.DUMMYFUNCTION("""COMPUTED_VALUE"""),"Shannon Dunnigan")</f>
        <v>Shannon Dunnigan</v>
      </c>
      <c r="Q106" t="str">
        <f>IFERROR(__xludf.DUMMYFUNCTION("""COMPUTED_VALUE"""),"Good")</f>
        <v>Good</v>
      </c>
      <c r="R106" t="str">
        <f>IFERROR(__xludf.DUMMYFUNCTION("""COMPUTED_VALUE"""),"Good")</f>
        <v>Good</v>
      </c>
      <c r="S106" t="str">
        <f>IFERROR(__xludf.DUMMYFUNCTION("""COMPUTED_VALUE"""),"Good")</f>
        <v>Good</v>
      </c>
      <c r="T106" t="str">
        <f>IFERROR(__xludf.DUMMYFUNCTION("""COMPUTED_VALUE"""),"Good")</f>
        <v>Good</v>
      </c>
      <c r="U106" t="str">
        <f>IFERROR(__xludf.DUMMYFUNCTION("""COMPUTED_VALUE"""),"Good")</f>
        <v>Good</v>
      </c>
      <c r="V106" t="str">
        <f>IFERROR(__xludf.DUMMYFUNCTION("""COMPUTED_VALUE"""),"Good")</f>
        <v>Good</v>
      </c>
      <c r="W106" t="str">
        <f>IFERROR(__xludf.DUMMYFUNCTION("""COMPUTED_VALUE"""),"Good")</f>
        <v>Good</v>
      </c>
      <c r="X106" t="str">
        <f>IFERROR(__xludf.DUMMYFUNCTION("""COMPUTED_VALUE"""),"Good")</f>
        <v>Good</v>
      </c>
      <c r="Y106" t="str">
        <f>IFERROR(__xludf.DUMMYFUNCTION("""COMPUTED_VALUE"""),"Good")</f>
        <v>Good</v>
      </c>
      <c r="Z106" t="str">
        <f>IFERROR(__xludf.DUMMYFUNCTION("""COMPUTED_VALUE"""),"Good")</f>
        <v>Good</v>
      </c>
      <c r="AA106" t="str">
        <f>IFERROR(__xludf.DUMMYFUNCTION("""COMPUTED_VALUE"""),"Good")</f>
        <v>Good</v>
      </c>
      <c r="AB106" t="str">
        <f>IFERROR(__xludf.DUMMYFUNCTION("""COMPUTED_VALUE"""),"Good")</f>
        <v>Good</v>
      </c>
      <c r="AC106" t="str">
        <f>IFERROR(__xludf.DUMMYFUNCTION("""COMPUTED_VALUE"""),"Good")</f>
        <v>Good</v>
      </c>
      <c r="AE106" s="11"/>
      <c r="AF106" t="s">
        <v>218</v>
      </c>
      <c r="AG106" s="17" t="s">
        <v>43</v>
      </c>
      <c r="AH106" s="12"/>
      <c r="AI106" s="12" t="s">
        <v>259</v>
      </c>
      <c r="AJ106" s="19" t="s">
        <v>260</v>
      </c>
      <c r="AK106" s="20" t="str">
        <f>HYPERLINK("https://docs.google.com/document/d/1Gyx9ROaTKWuy-76rkui4kE2dTnRUDtMTJAqKpXUVmj4/edit?usp=drivesdk","Shannon Dunnigan - 7/12/2018 11:00 AM")</f>
        <v>Shannon Dunnigan - 7/12/2018 11:00 AM</v>
      </c>
      <c r="AL106" s="12" t="s">
        <v>261</v>
      </c>
    </row>
    <row r="107">
      <c r="A107" s="10">
        <f>IFERROR(__xludf.DUMMYFUNCTION("""COMPUTED_VALUE"""),43298.60367862268)</f>
        <v>43298.60368</v>
      </c>
      <c r="B107" s="11" t="str">
        <f>IFERROR(__xludf.DUMMYFUNCTION("""COMPUTED_VALUE"""),"Ben Mowbray")</f>
        <v>Ben Mowbray</v>
      </c>
      <c r="C107" t="str">
        <f>IFERROR(__xludf.DUMMYFUNCTION("""COMPUTED_VALUE"""),"ben.mowbray@dep.state.fl.us")</f>
        <v>ben.mowbray@dep.state.fl.us</v>
      </c>
      <c r="D107" t="str">
        <f>IFERROR(__xludf.DUMMYFUNCTION("""COMPUTED_VALUE"""),"Research/Pam")</f>
        <v>Research/Pam</v>
      </c>
      <c r="E107" t="str">
        <f>IFERROR(__xludf.DUMMYFUNCTION("""COMPUTED_VALUE"""),"Aunt Kate's")</f>
        <v>Aunt Kate's</v>
      </c>
      <c r="F107" s="13">
        <f>IFERROR(__xludf.DUMMYFUNCTION("""COMPUTED_VALUE"""),0.2604166666678793)</f>
        <v>0.2604166667</v>
      </c>
      <c r="G107" s="14">
        <f>IFERROR(__xludf.DUMMYFUNCTION("""COMPUTED_VALUE"""),43299.0)</f>
        <v>43299</v>
      </c>
      <c r="H107" t="str">
        <f>IFERROR(__xludf.DUMMYFUNCTION("""COMPUTED_VALUE"""),"GR and TR Reefs")</f>
        <v>GR and TR Reefs</v>
      </c>
      <c r="I107" s="15">
        <f>IFERROR(__xludf.DUMMYFUNCTION("""COMPUTED_VALUE"""),0.4791666666678793)</f>
        <v>0.4791666667</v>
      </c>
      <c r="J107" s="16">
        <f>IFERROR(__xludf.DUMMYFUNCTION("""COMPUTED_VALUE"""),43299.5)</f>
        <v>43299.5</v>
      </c>
      <c r="K107" t="str">
        <f>IFERROR(__xludf.DUMMYFUNCTION("""COMPUTED_VALUE"""),"23ft Skiff (Bertha) FL7972LJ DEP07613")</f>
        <v>23ft Skiff (Bertha) FL7972LJ DEP07613</v>
      </c>
      <c r="M107" t="str">
        <f>IFERROR(__xludf.DUMMYFUNCTION("""COMPUTED_VALUE"""),"Ford F250 2017 (Moby Dix) - DEP0021578")</f>
        <v>Ford F250 2017 (Moby Dix) - DEP0021578</v>
      </c>
      <c r="N107" t="str">
        <f>IFERROR(__xludf.DUMMYFUNCTION("""COMPUTED_VALUE"""),"Ben Mowbray, (407) 962-8782")</f>
        <v>Ben Mowbray, (407) 962-8782</v>
      </c>
      <c r="O107" t="str">
        <f>IFERROR(__xludf.DUMMYFUNCTION("""COMPUTED_VALUE"""),"Nicole, Rodrigo, Adrienne, David")</f>
        <v>Nicole, Rodrigo, Adrienne, David</v>
      </c>
      <c r="P107" t="str">
        <f>IFERROR(__xludf.DUMMYFUNCTION("""COMPUTED_VALUE"""),"Ben")</f>
        <v>Ben</v>
      </c>
      <c r="Q107" t="str">
        <f>IFERROR(__xludf.DUMMYFUNCTION("""COMPUTED_VALUE"""),"Good")</f>
        <v>Good</v>
      </c>
      <c r="R107" t="str">
        <f>IFERROR(__xludf.DUMMYFUNCTION("""COMPUTED_VALUE"""),"Good")</f>
        <v>Good</v>
      </c>
      <c r="S107" t="str">
        <f>IFERROR(__xludf.DUMMYFUNCTION("""COMPUTED_VALUE"""),"Good")</f>
        <v>Good</v>
      </c>
      <c r="T107" t="str">
        <f>IFERROR(__xludf.DUMMYFUNCTION("""COMPUTED_VALUE"""),"Good")</f>
        <v>Good</v>
      </c>
      <c r="U107" t="str">
        <f>IFERROR(__xludf.DUMMYFUNCTION("""COMPUTED_VALUE"""),"Good")</f>
        <v>Good</v>
      </c>
      <c r="V107" t="str">
        <f>IFERROR(__xludf.DUMMYFUNCTION("""COMPUTED_VALUE"""),"Good")</f>
        <v>Good</v>
      </c>
      <c r="W107" t="str">
        <f>IFERROR(__xludf.DUMMYFUNCTION("""COMPUTED_VALUE"""),"Good")</f>
        <v>Good</v>
      </c>
      <c r="X107" t="str">
        <f>IFERROR(__xludf.DUMMYFUNCTION("""COMPUTED_VALUE"""),"Good")</f>
        <v>Good</v>
      </c>
      <c r="Y107" t="str">
        <f>IFERROR(__xludf.DUMMYFUNCTION("""COMPUTED_VALUE"""),"Good")</f>
        <v>Good</v>
      </c>
      <c r="Z107" t="str">
        <f>IFERROR(__xludf.DUMMYFUNCTION("""COMPUTED_VALUE"""),"Good")</f>
        <v>Good</v>
      </c>
      <c r="AA107" t="str">
        <f>IFERROR(__xludf.DUMMYFUNCTION("""COMPUTED_VALUE"""),"Good")</f>
        <v>Good</v>
      </c>
      <c r="AB107" t="str">
        <f>IFERROR(__xludf.DUMMYFUNCTION("""COMPUTED_VALUE"""),"Good")</f>
        <v>Good</v>
      </c>
      <c r="AC107" t="str">
        <f>IFERROR(__xludf.DUMMYFUNCTION("""COMPUTED_VALUE"""),"Good")</f>
        <v>Good</v>
      </c>
      <c r="AE107" s="11"/>
      <c r="AF107" t="s">
        <v>262</v>
      </c>
      <c r="AG107" s="17" t="s">
        <v>18</v>
      </c>
      <c r="AH107" s="23">
        <v>0.4895833333333333</v>
      </c>
      <c r="AI107" s="12" t="s">
        <v>263</v>
      </c>
      <c r="AJ107" s="19" t="s">
        <v>264</v>
      </c>
      <c r="AK107" s="20" t="str">
        <f>HYPERLINK("https://docs.google.com/document/d/1B2B_zzU6VYd5JQ-56maF2bnECN2oN8ZVlQhWEyzl5pg/edit?usp=drivesdk","Ben Mowbray - 7/18/2018 6:15 AM")</f>
        <v>Ben Mowbray - 7/18/2018 6:15 AM</v>
      </c>
      <c r="AL107" s="12" t="s">
        <v>265</v>
      </c>
    </row>
    <row r="108">
      <c r="A108" s="10">
        <f>IFERROR(__xludf.DUMMYFUNCTION("""COMPUTED_VALUE"""),43300.22954489584)</f>
        <v>43300.22954</v>
      </c>
      <c r="B108" s="11" t="str">
        <f>IFERROR(__xludf.DUMMYFUNCTION("""COMPUTED_VALUE"""),"Ben Mowbray")</f>
        <v>Ben Mowbray</v>
      </c>
      <c r="C108" t="str">
        <f>IFERROR(__xludf.DUMMYFUNCTION("""COMPUTED_VALUE"""),"ben.mowbray@dep.state.fl.us")</f>
        <v>ben.mowbray@dep.state.fl.us</v>
      </c>
      <c r="D108" t="str">
        <f>IFERROR(__xludf.DUMMYFUNCTION("""COMPUTED_VALUE"""),"Research/Nikki")</f>
        <v>Research/Nikki</v>
      </c>
      <c r="E108" t="str">
        <f>IFERROR(__xludf.DUMMYFUNCTION("""COMPUTED_VALUE"""),"Aunt Kate's")</f>
        <v>Aunt Kate's</v>
      </c>
      <c r="F108" s="13">
        <f>IFERROR(__xludf.DUMMYFUNCTION("""COMPUTED_VALUE"""),0.25)</f>
        <v>0.25</v>
      </c>
      <c r="G108" s="14">
        <f>IFERROR(__xludf.DUMMYFUNCTION("""COMPUTED_VALUE"""),43300.0)</f>
        <v>43300</v>
      </c>
      <c r="H108" t="str">
        <f>IFERROR(__xludf.DUMMYFUNCTION("""COMPUTED_VALUE"""),"TR SA and Butler Reefs")</f>
        <v>TR SA and Butler Reefs</v>
      </c>
      <c r="I108" s="15">
        <f>IFERROR(__xludf.DUMMYFUNCTION("""COMPUTED_VALUE"""),0.5)</f>
        <v>0.5</v>
      </c>
      <c r="J108" s="16">
        <f>IFERROR(__xludf.DUMMYFUNCTION("""COMPUTED_VALUE"""),43300.524305555555)</f>
        <v>43300.52431</v>
      </c>
      <c r="K108" t="str">
        <f>IFERROR(__xludf.DUMMYFUNCTION("""COMPUTED_VALUE"""),"23ft Skiff (Bertha) FL7972LJ DEP07613")</f>
        <v>23ft Skiff (Bertha) FL7972LJ DEP07613</v>
      </c>
      <c r="M108" t="str">
        <f>IFERROR(__xludf.DUMMYFUNCTION("""COMPUTED_VALUE"""),"Ford F250 2017 (Moby Dix) - DEP0021578")</f>
        <v>Ford F250 2017 (Moby Dix) - DEP0021578</v>
      </c>
      <c r="N108" t="str">
        <f>IFERROR(__xludf.DUMMYFUNCTION("""COMPUTED_VALUE"""),"Ben Mowbray, (407) 962-8782")</f>
        <v>Ben Mowbray, (407) 962-8782</v>
      </c>
      <c r="O108" t="str">
        <f>IFERROR(__xludf.DUMMYFUNCTION("""COMPUTED_VALUE"""),"Nicole, Rodrigo, David, Adrienne")</f>
        <v>Nicole, Rodrigo, David, Adrienne</v>
      </c>
      <c r="P108" t="str">
        <f>IFERROR(__xludf.DUMMYFUNCTION("""COMPUTED_VALUE"""),"Ben")</f>
        <v>Ben</v>
      </c>
      <c r="Q108" t="str">
        <f>IFERROR(__xludf.DUMMYFUNCTION("""COMPUTED_VALUE"""),"Good")</f>
        <v>Good</v>
      </c>
      <c r="R108" t="str">
        <f>IFERROR(__xludf.DUMMYFUNCTION("""COMPUTED_VALUE"""),"Good")</f>
        <v>Good</v>
      </c>
      <c r="S108" t="str">
        <f>IFERROR(__xludf.DUMMYFUNCTION("""COMPUTED_VALUE"""),"Good")</f>
        <v>Good</v>
      </c>
      <c r="T108" t="str">
        <f>IFERROR(__xludf.DUMMYFUNCTION("""COMPUTED_VALUE"""),"Good")</f>
        <v>Good</v>
      </c>
      <c r="U108" t="str">
        <f>IFERROR(__xludf.DUMMYFUNCTION("""COMPUTED_VALUE"""),"Good")</f>
        <v>Good</v>
      </c>
      <c r="V108" t="str">
        <f>IFERROR(__xludf.DUMMYFUNCTION("""COMPUTED_VALUE"""),"Good")</f>
        <v>Good</v>
      </c>
      <c r="W108" t="str">
        <f>IFERROR(__xludf.DUMMYFUNCTION("""COMPUTED_VALUE"""),"Good")</f>
        <v>Good</v>
      </c>
      <c r="X108" t="str">
        <f>IFERROR(__xludf.DUMMYFUNCTION("""COMPUTED_VALUE"""),"Good")</f>
        <v>Good</v>
      </c>
      <c r="Y108" t="str">
        <f>IFERROR(__xludf.DUMMYFUNCTION("""COMPUTED_VALUE"""),"Good")</f>
        <v>Good</v>
      </c>
      <c r="Z108" t="str">
        <f>IFERROR(__xludf.DUMMYFUNCTION("""COMPUTED_VALUE"""),"Good")</f>
        <v>Good</v>
      </c>
      <c r="AA108" t="str">
        <f>IFERROR(__xludf.DUMMYFUNCTION("""COMPUTED_VALUE"""),"Good")</f>
        <v>Good</v>
      </c>
      <c r="AB108" t="str">
        <f>IFERROR(__xludf.DUMMYFUNCTION("""COMPUTED_VALUE"""),"Good")</f>
        <v>Good</v>
      </c>
      <c r="AC108" t="str">
        <f>IFERROR(__xludf.DUMMYFUNCTION("""COMPUTED_VALUE"""),"Good")</f>
        <v>Good</v>
      </c>
      <c r="AE108" s="11"/>
      <c r="AF108" t="s">
        <v>218</v>
      </c>
      <c r="AG108" s="17" t="s">
        <v>60</v>
      </c>
      <c r="AI108" s="12" t="s">
        <v>266</v>
      </c>
      <c r="AJ108" s="19" t="s">
        <v>267</v>
      </c>
      <c r="AK108" s="20" t="str">
        <f>HYPERLINK("https://docs.google.com/document/d/1_Jz1cLc_0eyZ6COebIUYyR_BuSj6Ej0LPmwxx-PUG2s/edit?usp=drivesdk","Ben Mowbray - 7/19/2018 6:00 AM")</f>
        <v>Ben Mowbray - 7/19/2018 6:00 AM</v>
      </c>
      <c r="AL108" s="12" t="s">
        <v>268</v>
      </c>
    </row>
    <row r="109">
      <c r="A109" s="10">
        <f>IFERROR(__xludf.DUMMYFUNCTION("""COMPUTED_VALUE"""),43305.34114435185)</f>
        <v>43305.34114</v>
      </c>
      <c r="B109" s="11" t="str">
        <f>IFERROR(__xludf.DUMMYFUNCTION("""COMPUTED_VALUE"""),"Silas Tanner")</f>
        <v>Silas Tanner</v>
      </c>
      <c r="C109" t="str">
        <f>IFERROR(__xludf.DUMMYFUNCTION("""COMPUTED_VALUE"""),"silas.tanner@floridadep.gov")</f>
        <v>silas.tanner@floridadep.gov</v>
      </c>
      <c r="D109" t="str">
        <f>IFERROR(__xludf.DUMMYFUNCTION("""COMPUTED_VALUE"""),"Research/Shannon")</f>
        <v>Research/Shannon</v>
      </c>
      <c r="E109" t="str">
        <f>IFERROR(__xludf.DUMMYFUNCTION("""COMPUTED_VALUE"""),"Vilano County ramp")</f>
        <v>Vilano County ramp</v>
      </c>
      <c r="F109" s="13">
        <f>IFERROR(__xludf.DUMMYFUNCTION("""COMPUTED_VALUE"""),0.3541666666678793)</f>
        <v>0.3541666667</v>
      </c>
      <c r="G109" s="14">
        <f>IFERROR(__xludf.DUMMYFUNCTION("""COMPUTED_VALUE"""),43305.0)</f>
        <v>43305</v>
      </c>
      <c r="H109" t="str">
        <f>IFERROR(__xludf.DUMMYFUNCTION("""COMPUTED_VALUE"""),"ICW SWMP sites")</f>
        <v>ICW SWMP sites</v>
      </c>
      <c r="I109" s="15">
        <f>IFERROR(__xludf.DUMMYFUNCTION("""COMPUTED_VALUE"""),0.5833333333321207)</f>
        <v>0.5833333333</v>
      </c>
      <c r="J109" s="16">
        <f>IFERROR(__xludf.DUMMYFUNCTION("""COMPUTED_VALUE"""),43305.60416666667)</f>
        <v>43305.60417</v>
      </c>
      <c r="K109" t="str">
        <f>IFERROR(__xludf.DUMMYFUNCTION("""COMPUTED_VALUE"""),"23ft Skiff (Bertha) FL7972LJ DEP07613")</f>
        <v>23ft Skiff (Bertha) FL7972LJ DEP07613</v>
      </c>
      <c r="M109" t="str">
        <f>IFERROR(__xludf.DUMMYFUNCTION("""COMPUTED_VALUE"""),"Ford F250 2017 (Moby Dix) - DEP0021578")</f>
        <v>Ford F250 2017 (Moby Dix) - DEP0021578</v>
      </c>
      <c r="N109" t="str">
        <f>IFERROR(__xludf.DUMMYFUNCTION("""COMPUTED_VALUE"""),"Silas Tanner, (904) 483-8423, Jimmy Tomazinis, (904) 547-0094, Remo Mondazi")</f>
        <v>Silas Tanner, (904) 483-8423, Jimmy Tomazinis, (904) 547-0094, Remo Mondazi</v>
      </c>
      <c r="O109" t="str">
        <f>IFERROR(__xludf.DUMMYFUNCTION("""COMPUTED_VALUE"""),"Jessica Lee, Suzi Porterfield")</f>
        <v>Jessica Lee, Suzi Porterfield</v>
      </c>
      <c r="P109" t="str">
        <f>IFERROR(__xludf.DUMMYFUNCTION("""COMPUTED_VALUE"""),"Silas Tanner")</f>
        <v>Silas Tanner</v>
      </c>
      <c r="Q109" t="str">
        <f>IFERROR(__xludf.DUMMYFUNCTION("""COMPUTED_VALUE"""),"Good")</f>
        <v>Good</v>
      </c>
      <c r="R109" t="str">
        <f>IFERROR(__xludf.DUMMYFUNCTION("""COMPUTED_VALUE"""),"Good")</f>
        <v>Good</v>
      </c>
      <c r="S109" t="str">
        <f>IFERROR(__xludf.DUMMYFUNCTION("""COMPUTED_VALUE"""),"Good")</f>
        <v>Good</v>
      </c>
      <c r="T109" t="str">
        <f>IFERROR(__xludf.DUMMYFUNCTION("""COMPUTED_VALUE"""),"Good")</f>
        <v>Good</v>
      </c>
      <c r="U109" t="str">
        <f>IFERROR(__xludf.DUMMYFUNCTION("""COMPUTED_VALUE"""),"Good")</f>
        <v>Good</v>
      </c>
      <c r="V109" t="str">
        <f>IFERROR(__xludf.DUMMYFUNCTION("""COMPUTED_VALUE"""),"Good")</f>
        <v>Good</v>
      </c>
      <c r="W109" t="str">
        <f>IFERROR(__xludf.DUMMYFUNCTION("""COMPUTED_VALUE"""),"Good")</f>
        <v>Good</v>
      </c>
      <c r="X109" t="str">
        <f>IFERROR(__xludf.DUMMYFUNCTION("""COMPUTED_VALUE"""),"Good")</f>
        <v>Good</v>
      </c>
      <c r="Y109" t="str">
        <f>IFERROR(__xludf.DUMMYFUNCTION("""COMPUTED_VALUE"""),"Good")</f>
        <v>Good</v>
      </c>
      <c r="Z109" t="str">
        <f>IFERROR(__xludf.DUMMYFUNCTION("""COMPUTED_VALUE"""),"Good")</f>
        <v>Good</v>
      </c>
      <c r="AA109" t="str">
        <f>IFERROR(__xludf.DUMMYFUNCTION("""COMPUTED_VALUE"""),"Good")</f>
        <v>Good</v>
      </c>
      <c r="AB109" t="str">
        <f>IFERROR(__xludf.DUMMYFUNCTION("""COMPUTED_VALUE"""),"Good")</f>
        <v>Good</v>
      </c>
      <c r="AC109" t="str">
        <f>IFERROR(__xludf.DUMMYFUNCTION("""COMPUTED_VALUE"""),"Good")</f>
        <v>Good</v>
      </c>
      <c r="AE109" s="11"/>
      <c r="AF109" t="s">
        <v>269</v>
      </c>
      <c r="AG109" s="17" t="s">
        <v>18</v>
      </c>
      <c r="AH109" s="23">
        <v>0.55</v>
      </c>
      <c r="AI109" s="12" t="s">
        <v>270</v>
      </c>
      <c r="AJ109" s="19" t="s">
        <v>271</v>
      </c>
      <c r="AK109" s="20" t="str">
        <f>HYPERLINK("https://docs.google.com/document/d/1hYRN2pBVHw4Yusqyy9lepzKzhEppwr8z0-qaMhE2DYQ/edit?usp=drivesdk","Silas Tanner - 7/24/2018 8:30 AM")</f>
        <v>Silas Tanner - 7/24/2018 8:30 AM</v>
      </c>
      <c r="AL109" s="12" t="s">
        <v>272</v>
      </c>
    </row>
    <row r="110">
      <c r="A110" s="10">
        <f>IFERROR(__xludf.DUMMYFUNCTION("""COMPUTED_VALUE"""),43306.43940065972)</f>
        <v>43306.4394</v>
      </c>
      <c r="B110" s="11" t="str">
        <f>IFERROR(__xludf.DUMMYFUNCTION("""COMPUTED_VALUE"""),"Pamela Marcum")</f>
        <v>Pamela Marcum</v>
      </c>
      <c r="C110" t="str">
        <f>IFERROR(__xludf.DUMMYFUNCTION("""COMPUTED_VALUE"""),"Pamela.Marcum@dep.state.fl.us")</f>
        <v>Pamela.Marcum@dep.state.fl.us</v>
      </c>
      <c r="D110" t="str">
        <f>IFERROR(__xludf.DUMMYFUNCTION("""COMPUTED_VALUE"""),"Research/Nikki")</f>
        <v>Research/Nikki</v>
      </c>
      <c r="E110" t="str">
        <f>IFERROR(__xludf.DUMMYFUNCTION("""COMPUTED_VALUE"""),"Palm Valley")</f>
        <v>Palm Valley</v>
      </c>
      <c r="F110" s="13">
        <f>IFERROR(__xludf.DUMMYFUNCTION("""COMPUTED_VALUE"""),0.4583333333321207)</f>
        <v>0.4583333333</v>
      </c>
      <c r="G110" s="14">
        <f>IFERROR(__xludf.DUMMYFUNCTION("""COMPUTED_VALUE"""),43306.0)</f>
        <v>43306</v>
      </c>
      <c r="H110" t="str">
        <f>IFERROR(__xludf.DUMMYFUNCTION("""COMPUTED_VALUE"""),"Pine Island Marsh Site")</f>
        <v>Pine Island Marsh Site</v>
      </c>
      <c r="I110" s="15">
        <f>IFERROR(__xludf.DUMMYFUNCTION("""COMPUTED_VALUE"""),0.5416666666678793)</f>
        <v>0.5416666667</v>
      </c>
      <c r="J110" s="16">
        <f>IFERROR(__xludf.DUMMYFUNCTION("""COMPUTED_VALUE"""),43306.5625)</f>
        <v>43306.5625</v>
      </c>
      <c r="K110" t="str">
        <f>IFERROR(__xludf.DUMMYFUNCTION("""COMPUTED_VALUE"""),"20ft Sea Ark FL5351SJ UNF 2015")</f>
        <v>20ft Sea Ark FL5351SJ UNF 2015</v>
      </c>
      <c r="M110" t="str">
        <f>IFERROR(__xludf.DUMMYFUNCTION("""COMPUTED_VALUE"""),"Ford F150 2015 (White) - DEP21448")</f>
        <v>Ford F150 2015 (White) - DEP21448</v>
      </c>
      <c r="N110" t="str">
        <f>IFERROR(__xludf.DUMMYFUNCTION("""COMPUTED_VALUE"""),"Pam Marcum, (480) 332-5414, Ben Mowbray, (407) 962-8782")</f>
        <v>Pam Marcum, (480) 332-5414, Ben Mowbray, (407) 962-8782</v>
      </c>
      <c r="P110" t="str">
        <f>IFERROR(__xludf.DUMMYFUNCTION("""COMPUTED_VALUE"""),"Pamela Marcum")</f>
        <v>Pamela Marcum</v>
      </c>
      <c r="Q110" t="str">
        <f>IFERROR(__xludf.DUMMYFUNCTION("""COMPUTED_VALUE"""),"Good")</f>
        <v>Good</v>
      </c>
      <c r="R110" t="str">
        <f>IFERROR(__xludf.DUMMYFUNCTION("""COMPUTED_VALUE"""),"Good")</f>
        <v>Good</v>
      </c>
      <c r="S110" t="str">
        <f>IFERROR(__xludf.DUMMYFUNCTION("""COMPUTED_VALUE"""),"Good")</f>
        <v>Good</v>
      </c>
      <c r="T110" t="str">
        <f>IFERROR(__xludf.DUMMYFUNCTION("""COMPUTED_VALUE"""),"Good")</f>
        <v>Good</v>
      </c>
      <c r="U110" t="str">
        <f>IFERROR(__xludf.DUMMYFUNCTION("""COMPUTED_VALUE"""),"Good")</f>
        <v>Good</v>
      </c>
      <c r="V110" t="str">
        <f>IFERROR(__xludf.DUMMYFUNCTION("""COMPUTED_VALUE"""),"Good")</f>
        <v>Good</v>
      </c>
      <c r="W110" t="str">
        <f>IFERROR(__xludf.DUMMYFUNCTION("""COMPUTED_VALUE"""),"Good")</f>
        <v>Good</v>
      </c>
      <c r="X110" t="str">
        <f>IFERROR(__xludf.DUMMYFUNCTION("""COMPUTED_VALUE"""),"Good")</f>
        <v>Good</v>
      </c>
      <c r="Y110" t="str">
        <f>IFERROR(__xludf.DUMMYFUNCTION("""COMPUTED_VALUE"""),"Good")</f>
        <v>Good</v>
      </c>
      <c r="Z110" t="str">
        <f>IFERROR(__xludf.DUMMYFUNCTION("""COMPUTED_VALUE"""),"Good")</f>
        <v>Good</v>
      </c>
      <c r="AA110" t="str">
        <f>IFERROR(__xludf.DUMMYFUNCTION("""COMPUTED_VALUE"""),"Good")</f>
        <v>Good</v>
      </c>
      <c r="AB110" t="str">
        <f>IFERROR(__xludf.DUMMYFUNCTION("""COMPUTED_VALUE"""),"Good")</f>
        <v>Good</v>
      </c>
      <c r="AC110" t="str">
        <f>IFERROR(__xludf.DUMMYFUNCTION("""COMPUTED_VALUE"""),"Good")</f>
        <v>Good</v>
      </c>
      <c r="AE110" s="11"/>
      <c r="AF110" t="s">
        <v>218</v>
      </c>
      <c r="AG110" s="17" t="s">
        <v>18</v>
      </c>
      <c r="AH110" s="23">
        <v>0.5423611111111111</v>
      </c>
      <c r="AI110" s="12" t="s">
        <v>273</v>
      </c>
      <c r="AJ110" s="19" t="s">
        <v>274</v>
      </c>
      <c r="AK110" s="20" t="str">
        <f>HYPERLINK("https://docs.google.com/document/d/1Yf58Vo3igrV_L3FTGJfaglDeuNiDkG2mScsf6Af2oGg/edit?usp=drivesdk","Pamela Marcum - 7/25/2018 11:00 AM")</f>
        <v>Pamela Marcum - 7/25/2018 11:00 AM</v>
      </c>
      <c r="AL110" s="12" t="s">
        <v>275</v>
      </c>
    </row>
    <row r="111">
      <c r="A111" s="10">
        <f>IFERROR(__xludf.DUMMYFUNCTION("""COMPUTED_VALUE"""),43306.58174553241)</f>
        <v>43306.58175</v>
      </c>
      <c r="B111" s="11" t="str">
        <f>IFERROR(__xludf.DUMMYFUNCTION("""COMPUTED_VALUE"""),"Silas Tanner")</f>
        <v>Silas Tanner</v>
      </c>
      <c r="C111" t="str">
        <f>IFERROR(__xludf.DUMMYFUNCTION("""COMPUTED_VALUE"""),"silas.tanner@floridadep.gov")</f>
        <v>silas.tanner@floridadep.gov</v>
      </c>
      <c r="D111" t="str">
        <f>IFERROR(__xludf.DUMMYFUNCTION("""COMPUTED_VALUE"""),"Research/Shannon")</f>
        <v>Research/Shannon</v>
      </c>
      <c r="E111" t="str">
        <f>IFERROR(__xludf.DUMMYFUNCTION("""COMPUTED_VALUE"""),"Bing's")</f>
        <v>Bing's</v>
      </c>
      <c r="F111" s="13">
        <f>IFERROR(__xludf.DUMMYFUNCTION("""COMPUTED_VALUE"""),0.4791666666678793)</f>
        <v>0.4791666667</v>
      </c>
      <c r="G111" s="14">
        <f>IFERROR(__xludf.DUMMYFUNCTION("""COMPUTED_VALUE"""),43308.0)</f>
        <v>43308</v>
      </c>
      <c r="H111" t="str">
        <f>IFERROR(__xludf.DUMMYFUNCTION("""COMPUTED_VALUE"""),"ICW - Rattlesnake Island to Bing's")</f>
        <v>ICW - Rattlesnake Island to Bing's</v>
      </c>
      <c r="I111" s="15">
        <f>IFERROR(__xludf.DUMMYFUNCTION("""COMPUTED_VALUE"""),0.6458333333321207)</f>
        <v>0.6458333333</v>
      </c>
      <c r="J111" s="16">
        <f>IFERROR(__xludf.DUMMYFUNCTION("""COMPUTED_VALUE"""),43308.6875)</f>
        <v>43308.6875</v>
      </c>
      <c r="K111" t="str">
        <f>IFERROR(__xludf.DUMMYFUNCTION("""COMPUTED_VALUE"""),"23ft Skiff (Bertha) FL7972LJ DEP07613")</f>
        <v>23ft Skiff (Bertha) FL7972LJ DEP07613</v>
      </c>
      <c r="M111" t="str">
        <f>IFERROR(__xludf.DUMMYFUNCTION("""COMPUTED_VALUE"""),"Ford F250 2017 (Moby Dix) - DEP0021578")</f>
        <v>Ford F250 2017 (Moby Dix) - DEP0021578</v>
      </c>
      <c r="N111" t="str">
        <f>IFERROR(__xludf.DUMMYFUNCTION("""COMPUTED_VALUE"""),"Shannon Dunnigan, (803) 727-5734, Silas Tanner, (904) 483-8423")</f>
        <v>Shannon Dunnigan, (803) 727-5734, Silas Tanner, (904) 483-8423</v>
      </c>
      <c r="O111" t="str">
        <f>IFERROR(__xludf.DUMMYFUNCTION("""COMPUTED_VALUE"""),"Matt Brown, Megan Wright, Taryn Chaya, Savannah Fann")</f>
        <v>Matt Brown, Megan Wright, Taryn Chaya, Savannah Fann</v>
      </c>
      <c r="P111" t="str">
        <f>IFERROR(__xludf.DUMMYFUNCTION("""COMPUTED_VALUE"""),"Silas Tanner")</f>
        <v>Silas Tanner</v>
      </c>
      <c r="Q111" t="str">
        <f>IFERROR(__xludf.DUMMYFUNCTION("""COMPUTED_VALUE"""),"Good")</f>
        <v>Good</v>
      </c>
      <c r="R111" t="str">
        <f>IFERROR(__xludf.DUMMYFUNCTION("""COMPUTED_VALUE"""),"Good")</f>
        <v>Good</v>
      </c>
      <c r="S111" t="str">
        <f>IFERROR(__xludf.DUMMYFUNCTION("""COMPUTED_VALUE"""),"Good")</f>
        <v>Good</v>
      </c>
      <c r="T111" t="str">
        <f>IFERROR(__xludf.DUMMYFUNCTION("""COMPUTED_VALUE"""),"Good")</f>
        <v>Good</v>
      </c>
      <c r="U111" t="str">
        <f>IFERROR(__xludf.DUMMYFUNCTION("""COMPUTED_VALUE"""),"Good")</f>
        <v>Good</v>
      </c>
      <c r="V111" t="str">
        <f>IFERROR(__xludf.DUMMYFUNCTION("""COMPUTED_VALUE"""),"Good")</f>
        <v>Good</v>
      </c>
      <c r="W111" t="str">
        <f>IFERROR(__xludf.DUMMYFUNCTION("""COMPUTED_VALUE"""),"Good")</f>
        <v>Good</v>
      </c>
      <c r="X111" t="str">
        <f>IFERROR(__xludf.DUMMYFUNCTION("""COMPUTED_VALUE"""),"Good")</f>
        <v>Good</v>
      </c>
      <c r="Y111" t="str">
        <f>IFERROR(__xludf.DUMMYFUNCTION("""COMPUTED_VALUE"""),"Good")</f>
        <v>Good</v>
      </c>
      <c r="Z111" t="str">
        <f>IFERROR(__xludf.DUMMYFUNCTION("""COMPUTED_VALUE"""),"Good")</f>
        <v>Good</v>
      </c>
      <c r="AA111" t="str">
        <f>IFERROR(__xludf.DUMMYFUNCTION("""COMPUTED_VALUE"""),"Good")</f>
        <v>Good</v>
      </c>
      <c r="AB111" t="str">
        <f>IFERROR(__xludf.DUMMYFUNCTION("""COMPUTED_VALUE"""),"Good")</f>
        <v>Good</v>
      </c>
      <c r="AC111" t="str">
        <f>IFERROR(__xludf.DUMMYFUNCTION("""COMPUTED_VALUE"""),"Good")</f>
        <v>Good</v>
      </c>
      <c r="AE111" s="11"/>
      <c r="AF111" t="s">
        <v>269</v>
      </c>
      <c r="AG111" s="17" t="s">
        <v>18</v>
      </c>
      <c r="AH111" s="23">
        <v>0.5916666666666667</v>
      </c>
      <c r="AI111" s="12" t="s">
        <v>276</v>
      </c>
      <c r="AJ111" s="19" t="s">
        <v>277</v>
      </c>
      <c r="AK111" s="20" t="str">
        <f>HYPERLINK("https://docs.google.com/document/d/1BaYGUmqVMqP7K6yogEN7JA9Puier9G8taRo2F6LjQ64/edit?usp=drivesdk","Silas Tanner - 7/27/2018 11:30 AM")</f>
        <v>Silas Tanner - 7/27/2018 11:30 AM</v>
      </c>
      <c r="AL111" s="12" t="s">
        <v>278</v>
      </c>
    </row>
    <row r="112">
      <c r="A112" s="10">
        <f>IFERROR(__xludf.DUMMYFUNCTION("""COMPUTED_VALUE"""),43307.376990648154)</f>
        <v>43307.37699</v>
      </c>
      <c r="B112" s="11" t="str">
        <f>IFERROR(__xludf.DUMMYFUNCTION("""COMPUTED_VALUE"""),"Pamela Marcum")</f>
        <v>Pamela Marcum</v>
      </c>
      <c r="C112" t="str">
        <f>IFERROR(__xludf.DUMMYFUNCTION("""COMPUTED_VALUE"""),"Pamela.Marcum@dep.state.fl.us")</f>
        <v>Pamela.Marcum@dep.state.fl.us</v>
      </c>
      <c r="D112" t="str">
        <f>IFERROR(__xludf.DUMMYFUNCTION("""COMPUTED_VALUE"""),"Research/Nikki")</f>
        <v>Research/Nikki</v>
      </c>
      <c r="E112" t="str">
        <f>IFERROR(__xludf.DUMMYFUNCTION("""COMPUTED_VALUE"""),"Aunt Kate's")</f>
        <v>Aunt Kate's</v>
      </c>
      <c r="F112" s="13">
        <f>IFERROR(__xludf.DUMMYFUNCTION("""COMPUTED_VALUE"""),0.3958333333321207)</f>
        <v>0.3958333333</v>
      </c>
      <c r="G112" s="14">
        <f>IFERROR(__xludf.DUMMYFUNCTION("""COMPUTED_VALUE"""),43307.0)</f>
        <v>43307</v>
      </c>
      <c r="H112" t="str">
        <f>IFERROR(__xludf.DUMMYFUNCTION("""COMPUTED_VALUE"""),"Hat Island marsh site")</f>
        <v>Hat Island marsh site</v>
      </c>
      <c r="I112" s="15">
        <f>IFERROR(__xludf.DUMMYFUNCTION("""COMPUTED_VALUE"""),0.5)</f>
        <v>0.5</v>
      </c>
      <c r="J112" s="16">
        <f>IFERROR(__xludf.DUMMYFUNCTION("""COMPUTED_VALUE"""),43307.52083333333)</f>
        <v>43307.52083</v>
      </c>
      <c r="K112" t="str">
        <f>IFERROR(__xludf.DUMMYFUNCTION("""COMPUTED_VALUE"""),"20ft Sea Ark FL5351SJ UNF 2015")</f>
        <v>20ft Sea Ark FL5351SJ UNF 2015</v>
      </c>
      <c r="M112" t="str">
        <f>IFERROR(__xludf.DUMMYFUNCTION("""COMPUTED_VALUE"""),"Ford F150 2015 (White) - DEP21448")</f>
        <v>Ford F150 2015 (White) - DEP21448</v>
      </c>
      <c r="N112" t="str">
        <f>IFERROR(__xludf.DUMMYFUNCTION("""COMPUTED_VALUE"""),"Pam Marcum, (480) 332-5414")</f>
        <v>Pam Marcum, (480) 332-5414</v>
      </c>
      <c r="O112" t="str">
        <f>IFERROR(__xludf.DUMMYFUNCTION("""COMPUTED_VALUE"""),"Sam Shaw")</f>
        <v>Sam Shaw</v>
      </c>
      <c r="P112" t="str">
        <f>IFERROR(__xludf.DUMMYFUNCTION("""COMPUTED_VALUE"""),"Pamela Marcum")</f>
        <v>Pamela Marcum</v>
      </c>
      <c r="Q112" t="str">
        <f>IFERROR(__xludf.DUMMYFUNCTION("""COMPUTED_VALUE"""),"Good")</f>
        <v>Good</v>
      </c>
      <c r="R112" t="str">
        <f>IFERROR(__xludf.DUMMYFUNCTION("""COMPUTED_VALUE"""),"Good")</f>
        <v>Good</v>
      </c>
      <c r="S112" t="str">
        <f>IFERROR(__xludf.DUMMYFUNCTION("""COMPUTED_VALUE"""),"Good")</f>
        <v>Good</v>
      </c>
      <c r="T112" t="str">
        <f>IFERROR(__xludf.DUMMYFUNCTION("""COMPUTED_VALUE"""),"Good")</f>
        <v>Good</v>
      </c>
      <c r="U112" t="str">
        <f>IFERROR(__xludf.DUMMYFUNCTION("""COMPUTED_VALUE"""),"Good")</f>
        <v>Good</v>
      </c>
      <c r="V112" t="str">
        <f>IFERROR(__xludf.DUMMYFUNCTION("""COMPUTED_VALUE"""),"Good")</f>
        <v>Good</v>
      </c>
      <c r="W112" t="str">
        <f>IFERROR(__xludf.DUMMYFUNCTION("""COMPUTED_VALUE"""),"Good")</f>
        <v>Good</v>
      </c>
      <c r="X112" t="str">
        <f>IFERROR(__xludf.DUMMYFUNCTION("""COMPUTED_VALUE"""),"Good")</f>
        <v>Good</v>
      </c>
      <c r="Y112" t="str">
        <f>IFERROR(__xludf.DUMMYFUNCTION("""COMPUTED_VALUE"""),"Good")</f>
        <v>Good</v>
      </c>
      <c r="Z112" t="str">
        <f>IFERROR(__xludf.DUMMYFUNCTION("""COMPUTED_VALUE"""),"Good")</f>
        <v>Good</v>
      </c>
      <c r="AA112" t="str">
        <f>IFERROR(__xludf.DUMMYFUNCTION("""COMPUTED_VALUE"""),"Good")</f>
        <v>Good</v>
      </c>
      <c r="AB112" t="str">
        <f>IFERROR(__xludf.DUMMYFUNCTION("""COMPUTED_VALUE"""),"Good")</f>
        <v>Good</v>
      </c>
      <c r="AC112" t="str">
        <f>IFERROR(__xludf.DUMMYFUNCTION("""COMPUTED_VALUE"""),"Good")</f>
        <v>Good</v>
      </c>
      <c r="AE112" s="11"/>
      <c r="AF112" t="s">
        <v>218</v>
      </c>
      <c r="AG112" s="17" t="s">
        <v>18</v>
      </c>
      <c r="AH112" s="23">
        <v>0.45</v>
      </c>
      <c r="AI112" s="12" t="s">
        <v>279</v>
      </c>
      <c r="AJ112" s="19" t="s">
        <v>280</v>
      </c>
      <c r="AK112" s="20" t="str">
        <f>HYPERLINK("https://docs.google.com/document/d/1tlC1SwEUPLpFXpij-oCM2rMilZlFExtd_0xZd7qUeZM/edit?usp=drivesdk","Pamela Marcum - 7/26/2018 9:30 AM")</f>
        <v>Pamela Marcum - 7/26/2018 9:30 AM</v>
      </c>
      <c r="AL112" s="12" t="s">
        <v>281</v>
      </c>
    </row>
    <row r="113">
      <c r="A113" s="10">
        <f>IFERROR(__xludf.DUMMYFUNCTION("""COMPUTED_VALUE"""),43307.49824854166)</f>
        <v>43307.49825</v>
      </c>
      <c r="B113" s="11" t="str">
        <f>IFERROR(__xludf.DUMMYFUNCTION("""COMPUTED_VALUE"""),"Pamela Marcum")</f>
        <v>Pamela Marcum</v>
      </c>
      <c r="C113" t="str">
        <f>IFERROR(__xludf.DUMMYFUNCTION("""COMPUTED_VALUE"""),"Pamela.Marcum@Dep.state.fl.us")</f>
        <v>Pamela.Marcum@Dep.state.fl.us</v>
      </c>
      <c r="D113" t="str">
        <f>IFERROR(__xludf.DUMMYFUNCTION("""COMPUTED_VALUE"""),"Research/Nikki")</f>
        <v>Research/Nikki</v>
      </c>
      <c r="E113" t="str">
        <f>IFERROR(__xludf.DUMMYFUNCTION("""COMPUTED_VALUE"""),"Shore Drive")</f>
        <v>Shore Drive</v>
      </c>
      <c r="F113" s="13">
        <f>IFERROR(__xludf.DUMMYFUNCTION("""COMPUTED_VALUE"""),0.5416666666678793)</f>
        <v>0.5416666667</v>
      </c>
      <c r="G113" s="14">
        <f>IFERROR(__xludf.DUMMYFUNCTION("""COMPUTED_VALUE"""),43306.0)</f>
        <v>43306</v>
      </c>
      <c r="H113" t="str">
        <f>IFERROR(__xludf.DUMMYFUNCTION("""COMPUTED_VALUE"""),"Marsh Site 22/Jason's Creek")</f>
        <v>Marsh Site 22/Jason's Creek</v>
      </c>
      <c r="I113" s="15">
        <f>IFERROR(__xludf.DUMMYFUNCTION("""COMPUTED_VALUE"""),0.625)</f>
        <v>0.625</v>
      </c>
      <c r="J113" s="16">
        <f>IFERROR(__xludf.DUMMYFUNCTION("""COMPUTED_VALUE"""),43306.75)</f>
        <v>43306.75</v>
      </c>
      <c r="K113" t="str">
        <f>IFERROR(__xludf.DUMMYFUNCTION("""COMPUTED_VALUE"""),"20ft Sea Ark FL5351SJ UNF 2015")</f>
        <v>20ft Sea Ark FL5351SJ UNF 2015</v>
      </c>
      <c r="M113" t="str">
        <f>IFERROR(__xludf.DUMMYFUNCTION("""COMPUTED_VALUE"""),"Ford F150 2015 (White) - DEP21448")</f>
        <v>Ford F150 2015 (White) - DEP21448</v>
      </c>
      <c r="N113" t="str">
        <f>IFERROR(__xludf.DUMMYFUNCTION("""COMPUTED_VALUE"""),"Pam Marcum, (480) 332-5414, Ben Mowbray, (407) 962-8782")</f>
        <v>Pam Marcum, (480) 332-5414, Ben Mowbray, (407) 962-8782</v>
      </c>
      <c r="P113" t="str">
        <f>IFERROR(__xludf.DUMMYFUNCTION("""COMPUTED_VALUE"""),"Pamela Marcum")</f>
        <v>Pamela Marcum</v>
      </c>
      <c r="Q113" t="str">
        <f>IFERROR(__xludf.DUMMYFUNCTION("""COMPUTED_VALUE"""),"Good")</f>
        <v>Good</v>
      </c>
      <c r="R113" t="str">
        <f>IFERROR(__xludf.DUMMYFUNCTION("""COMPUTED_VALUE"""),"Good")</f>
        <v>Good</v>
      </c>
      <c r="S113" t="str">
        <f>IFERROR(__xludf.DUMMYFUNCTION("""COMPUTED_VALUE"""),"Good")</f>
        <v>Good</v>
      </c>
      <c r="T113" t="str">
        <f>IFERROR(__xludf.DUMMYFUNCTION("""COMPUTED_VALUE"""),"Good")</f>
        <v>Good</v>
      </c>
      <c r="U113" t="str">
        <f>IFERROR(__xludf.DUMMYFUNCTION("""COMPUTED_VALUE"""),"Good")</f>
        <v>Good</v>
      </c>
      <c r="V113" t="str">
        <f>IFERROR(__xludf.DUMMYFUNCTION("""COMPUTED_VALUE"""),"Good")</f>
        <v>Good</v>
      </c>
      <c r="W113" t="str">
        <f>IFERROR(__xludf.DUMMYFUNCTION("""COMPUTED_VALUE"""),"Good")</f>
        <v>Good</v>
      </c>
      <c r="X113" t="str">
        <f>IFERROR(__xludf.DUMMYFUNCTION("""COMPUTED_VALUE"""),"Good")</f>
        <v>Good</v>
      </c>
      <c r="Y113" t="str">
        <f>IFERROR(__xludf.DUMMYFUNCTION("""COMPUTED_VALUE"""),"Good")</f>
        <v>Good</v>
      </c>
      <c r="Z113" t="str">
        <f>IFERROR(__xludf.DUMMYFUNCTION("""COMPUTED_VALUE"""),"Good")</f>
        <v>Good</v>
      </c>
      <c r="AA113" t="str">
        <f>IFERROR(__xludf.DUMMYFUNCTION("""COMPUTED_VALUE"""),"Good")</f>
        <v>Good</v>
      </c>
      <c r="AB113" t="str">
        <f>IFERROR(__xludf.DUMMYFUNCTION("""COMPUTED_VALUE"""),"Good")</f>
        <v>Good</v>
      </c>
      <c r="AC113" t="str">
        <f>IFERROR(__xludf.DUMMYFUNCTION("""COMPUTED_VALUE"""),"Good")</f>
        <v>Good</v>
      </c>
      <c r="AE113" s="11"/>
      <c r="AF113" t="s">
        <v>218</v>
      </c>
      <c r="AG113" s="17" t="s">
        <v>56</v>
      </c>
      <c r="AH113" s="12" t="s">
        <v>282</v>
      </c>
      <c r="AI113" s="12" t="s">
        <v>283</v>
      </c>
      <c r="AJ113" s="19" t="s">
        <v>284</v>
      </c>
      <c r="AK113" s="20" t="str">
        <f>HYPERLINK("https://docs.google.com/document/d/1cg_61x0Prb1H5bL7SShihaJ8nyb-k-Re1xSmZMw8yHQ/edit?usp=drivesdk","Pamela Marcum - 7/25/2018 1:00 PM")</f>
        <v>Pamela Marcum - 7/25/2018 1:00 PM</v>
      </c>
      <c r="AL113" s="12" t="s">
        <v>285</v>
      </c>
    </row>
    <row r="114">
      <c r="A114" s="10">
        <f>IFERROR(__xludf.DUMMYFUNCTION("""COMPUTED_VALUE"""),43312.30120947917)</f>
        <v>43312.30121</v>
      </c>
      <c r="B114" s="11" t="str">
        <f>IFERROR(__xludf.DUMMYFUNCTION("""COMPUTED_VALUE"""),"Pamela Marcum")</f>
        <v>Pamela Marcum</v>
      </c>
      <c r="C114" t="str">
        <f>IFERROR(__xludf.DUMMYFUNCTION("""COMPUTED_VALUE"""),"pamela.marcum@dep.state.fl.us")</f>
        <v>pamela.marcum@dep.state.fl.us</v>
      </c>
      <c r="D114" t="str">
        <f>IFERROR(__xludf.DUMMYFUNCTION("""COMPUTED_VALUE"""),"Research/Nikki")</f>
        <v>Research/Nikki</v>
      </c>
      <c r="E114" t="str">
        <f>IFERROR(__xludf.DUMMYFUNCTION("""COMPUTED_VALUE"""),"Shore Drive")</f>
        <v>Shore Drive</v>
      </c>
      <c r="F114" s="13">
        <f>IFERROR(__xludf.DUMMYFUNCTION("""COMPUTED_VALUE"""),0.3020833333321207)</f>
        <v>0.3020833333</v>
      </c>
      <c r="G114" s="14">
        <f>IFERROR(__xludf.DUMMYFUNCTION("""COMPUTED_VALUE"""),43312.0)</f>
        <v>43312</v>
      </c>
      <c r="H114" t="str">
        <f>IFERROR(__xludf.DUMMYFUNCTION("""COMPUTED_VALUE"""),"Gabbys Creek")</f>
        <v>Gabbys Creek</v>
      </c>
      <c r="I114" s="15">
        <f>IFERROR(__xludf.DUMMYFUNCTION("""COMPUTED_VALUE"""),0.625)</f>
        <v>0.625</v>
      </c>
      <c r="J114" s="16">
        <f>IFERROR(__xludf.DUMMYFUNCTION("""COMPUTED_VALUE"""),43312.66666666667)</f>
        <v>43312.66667</v>
      </c>
      <c r="K114" t="str">
        <f>IFERROR(__xludf.DUMMYFUNCTION("""COMPUTED_VALUE"""),"20ft Sea Ark FL5351SJ UNF 2015")</f>
        <v>20ft Sea Ark FL5351SJ UNF 2015</v>
      </c>
      <c r="M114" t="str">
        <f>IFERROR(__xludf.DUMMYFUNCTION("""COMPUTED_VALUE"""),"Ford F250 2017 (Moby Dix) - DEP0021578")</f>
        <v>Ford F250 2017 (Moby Dix) - DEP0021578</v>
      </c>
      <c r="N114" t="str">
        <f>IFERROR(__xludf.DUMMYFUNCTION("""COMPUTED_VALUE"""),"Pam Marcum, (480) 332-5414, Ben Mowbray, (407) 962-8782")</f>
        <v>Pam Marcum, (480) 332-5414, Ben Mowbray, (407) 962-8782</v>
      </c>
      <c r="O114" t="str">
        <f>IFERROR(__xludf.DUMMYFUNCTION("""COMPUTED_VALUE"""),"Mark Hester, harris stephens, ches vervaeke")</f>
        <v>Mark Hester, harris stephens, ches vervaeke</v>
      </c>
      <c r="P114" t="str">
        <f>IFERROR(__xludf.DUMMYFUNCTION("""COMPUTED_VALUE"""),"Pamela Marcum")</f>
        <v>Pamela Marcum</v>
      </c>
      <c r="Q114" t="str">
        <f>IFERROR(__xludf.DUMMYFUNCTION("""COMPUTED_VALUE"""),"Good")</f>
        <v>Good</v>
      </c>
      <c r="R114" t="str">
        <f>IFERROR(__xludf.DUMMYFUNCTION("""COMPUTED_VALUE"""),"Good")</f>
        <v>Good</v>
      </c>
      <c r="S114" t="str">
        <f>IFERROR(__xludf.DUMMYFUNCTION("""COMPUTED_VALUE"""),"Good")</f>
        <v>Good</v>
      </c>
      <c r="T114" t="str">
        <f>IFERROR(__xludf.DUMMYFUNCTION("""COMPUTED_VALUE"""),"Good")</f>
        <v>Good</v>
      </c>
      <c r="U114" t="str">
        <f>IFERROR(__xludf.DUMMYFUNCTION("""COMPUTED_VALUE"""),"Good")</f>
        <v>Good</v>
      </c>
      <c r="V114" t="str">
        <f>IFERROR(__xludf.DUMMYFUNCTION("""COMPUTED_VALUE"""),"Good")</f>
        <v>Good</v>
      </c>
      <c r="W114" t="str">
        <f>IFERROR(__xludf.DUMMYFUNCTION("""COMPUTED_VALUE"""),"Good")</f>
        <v>Good</v>
      </c>
      <c r="X114" t="str">
        <f>IFERROR(__xludf.DUMMYFUNCTION("""COMPUTED_VALUE"""),"Good")</f>
        <v>Good</v>
      </c>
      <c r="Y114" t="str">
        <f>IFERROR(__xludf.DUMMYFUNCTION("""COMPUTED_VALUE"""),"Good")</f>
        <v>Good</v>
      </c>
      <c r="Z114" t="str">
        <f>IFERROR(__xludf.DUMMYFUNCTION("""COMPUTED_VALUE"""),"Good")</f>
        <v>Good</v>
      </c>
      <c r="AA114" t="str">
        <f>IFERROR(__xludf.DUMMYFUNCTION("""COMPUTED_VALUE"""),"Good")</f>
        <v>Good</v>
      </c>
      <c r="AB114" t="str">
        <f>IFERROR(__xludf.DUMMYFUNCTION("""COMPUTED_VALUE"""),"Good")</f>
        <v>Good</v>
      </c>
      <c r="AC114" t="str">
        <f>IFERROR(__xludf.DUMMYFUNCTION("""COMPUTED_VALUE"""),"Good")</f>
        <v>Good</v>
      </c>
      <c r="AE114" s="11"/>
      <c r="AF114" t="s">
        <v>218</v>
      </c>
      <c r="AG114" s="17" t="s">
        <v>128</v>
      </c>
      <c r="AH114" s="23">
        <v>0.6145833333333334</v>
      </c>
      <c r="AI114" s="12" t="s">
        <v>286</v>
      </c>
      <c r="AJ114" s="19" t="s">
        <v>287</v>
      </c>
      <c r="AK114" s="20" t="str">
        <f>HYPERLINK("https://docs.google.com/document/d/1g6-SDWzTDxEaT_6esAFl7Ag0FmdmW2RSeVn4yz_-SWI/edit?usp=drivesdk","&lt;&lt;Your First and Last Name&gt;&gt; - 7/31/2018 7:15 AM")</f>
        <v>&lt;&lt;Your First and Last Name&gt;&gt; - 7/31/2018 7:15 AM</v>
      </c>
      <c r="AL114" s="12" t="s">
        <v>288</v>
      </c>
    </row>
    <row r="115">
      <c r="A115" s="10">
        <f>IFERROR(__xludf.DUMMYFUNCTION("""COMPUTED_VALUE"""),43312.537395520834)</f>
        <v>43312.5374</v>
      </c>
      <c r="B115" s="11" t="str">
        <f>IFERROR(__xludf.DUMMYFUNCTION("""COMPUTED_VALUE"""),"Kenneth Rainer")</f>
        <v>Kenneth Rainer</v>
      </c>
      <c r="C115" t="str">
        <f>IFERROR(__xludf.DUMMYFUNCTION("""COMPUTED_VALUE"""),"Kenneth.Rainer@floridadep.gov")</f>
        <v>Kenneth.Rainer@floridadep.gov</v>
      </c>
      <c r="D115" t="str">
        <f>IFERROR(__xludf.DUMMYFUNCTION("""COMPUTED_VALUE"""),"Education")</f>
        <v>Education</v>
      </c>
      <c r="E115" t="str">
        <f>IFERROR(__xludf.DUMMYFUNCTION("""COMPUTED_VALUE"""),"Usina Boat Ramp")</f>
        <v>Usina Boat Ramp</v>
      </c>
      <c r="F115" s="13">
        <f>IFERROR(__xludf.DUMMYFUNCTION("""COMPUTED_VALUE"""),0.3333333333321207)</f>
        <v>0.3333333333</v>
      </c>
      <c r="G115" s="14">
        <f>IFERROR(__xludf.DUMMYFUNCTION("""COMPUTED_VALUE"""),43313.0)</f>
        <v>43313</v>
      </c>
      <c r="H115" t="str">
        <f>IFERROR(__xludf.DUMMYFUNCTION("""COMPUTED_VALUE"""),"Northern Component")</f>
        <v>Northern Component</v>
      </c>
      <c r="I115" s="15">
        <f>IFERROR(__xludf.DUMMYFUNCTION("""COMPUTED_VALUE"""),0.5416666666678793)</f>
        <v>0.5416666667</v>
      </c>
      <c r="J115" s="16">
        <f>IFERROR(__xludf.DUMMYFUNCTION("""COMPUTED_VALUE"""),43313.66666666667)</f>
        <v>43313.66667</v>
      </c>
      <c r="K115" t="str">
        <f>IFERROR(__xludf.DUMMYFUNCTION("""COMPUTED_VALUE"""),"F 20ft Sea Ark (Easy 200) FL8534PY DEP21451, 23ft Skiff (Bertha) FL7972LJ DEP07613")</f>
        <v>F 20ft Sea Ark (Easy 200) FL8534PY DEP21451, 23ft Skiff (Bertha) FL7972LJ DEP07613</v>
      </c>
      <c r="M115" t="str">
        <f>IFERROR(__xludf.DUMMYFUNCTION("""COMPUTED_VALUE"""),"Ford F150 2015 (White) - DEP21448")</f>
        <v>Ford F150 2015 (White) - DEP21448</v>
      </c>
      <c r="N115" t="str">
        <f>IFERROR(__xludf.DUMMYFUNCTION("""COMPUTED_VALUE"""),"Kenneth Rainer, (936) 499-1853, Shannon Dunnigan, (803) 727-5734")</f>
        <v>Kenneth Rainer, (936) 499-1853, Shannon Dunnigan, (803) 727-5734</v>
      </c>
      <c r="O115" t="str">
        <f>IFERROR(__xludf.DUMMYFUNCTION("""COMPUTED_VALUE"""),"Gabriela Canas, (904) 891-9743, Emma Hanson, Josie Spearman, (386) 627-0816, Summer Camp Inters (5); TOTE Facilitators (3); NERR Employees (4)")</f>
        <v>Gabriela Canas, (904) 891-9743, Emma Hanson, Josie Spearman, (386) 627-0816, Summer Camp Inters (5); TOTE Facilitators (3); NERR Employees (4)</v>
      </c>
      <c r="P115" t="str">
        <f>IFERROR(__xludf.DUMMYFUNCTION("""COMPUTED_VALUE"""),"Kenneth Rainer; Shannon Dunnigan")</f>
        <v>Kenneth Rainer; Shannon Dunnigan</v>
      </c>
      <c r="Q115" t="str">
        <f>IFERROR(__xludf.DUMMYFUNCTION("""COMPUTED_VALUE"""),"Good")</f>
        <v>Good</v>
      </c>
      <c r="R115" t="str">
        <f>IFERROR(__xludf.DUMMYFUNCTION("""COMPUTED_VALUE"""),"Good")</f>
        <v>Good</v>
      </c>
      <c r="S115" t="str">
        <f>IFERROR(__xludf.DUMMYFUNCTION("""COMPUTED_VALUE"""),"Good")</f>
        <v>Good</v>
      </c>
      <c r="T115" t="str">
        <f>IFERROR(__xludf.DUMMYFUNCTION("""COMPUTED_VALUE"""),"Good")</f>
        <v>Good</v>
      </c>
      <c r="U115" t="str">
        <f>IFERROR(__xludf.DUMMYFUNCTION("""COMPUTED_VALUE"""),"Good")</f>
        <v>Good</v>
      </c>
      <c r="V115" t="str">
        <f>IFERROR(__xludf.DUMMYFUNCTION("""COMPUTED_VALUE"""),"Good")</f>
        <v>Good</v>
      </c>
      <c r="W115" t="str">
        <f>IFERROR(__xludf.DUMMYFUNCTION("""COMPUTED_VALUE"""),"Good")</f>
        <v>Good</v>
      </c>
      <c r="X115" t="str">
        <f>IFERROR(__xludf.DUMMYFUNCTION("""COMPUTED_VALUE"""),"Good")</f>
        <v>Good</v>
      </c>
      <c r="Y115" t="str">
        <f>IFERROR(__xludf.DUMMYFUNCTION("""COMPUTED_VALUE"""),"Good")</f>
        <v>Good</v>
      </c>
      <c r="Z115" t="str">
        <f>IFERROR(__xludf.DUMMYFUNCTION("""COMPUTED_VALUE"""),"Good")</f>
        <v>Good</v>
      </c>
      <c r="AA115" t="str">
        <f>IFERROR(__xludf.DUMMYFUNCTION("""COMPUTED_VALUE"""),"Good")</f>
        <v>Good</v>
      </c>
      <c r="AB115" t="str">
        <f>IFERROR(__xludf.DUMMYFUNCTION("""COMPUTED_VALUE"""),"Good")</f>
        <v>Good</v>
      </c>
      <c r="AC115" t="str">
        <f>IFERROR(__xludf.DUMMYFUNCTION("""COMPUTED_VALUE"""),"Good")</f>
        <v>Good</v>
      </c>
      <c r="AD115" t="str">
        <f>IFERROR(__xludf.DUMMYFUNCTION("""COMPUTED_VALUE"""),"Thunderstorms with locally heavy downpours. High 87F. Winds S at 10 to 15 mph. Chance of rain 90%. Rainfall possibly over one inch.")</f>
        <v>Thunderstorms with locally heavy downpours. High 87F. Winds S at 10 to 15 mph. Chance of rain 90%. Rainfall possibly over one inch.</v>
      </c>
      <c r="AE115" s="11" t="str">
        <f>IFERROR(__xludf.DUMMYFUNCTION("""COMPUTED_VALUE""")," 12:25 PM 4.03ft H")</f>
        <v> 12:25 PM 4.03ft H</v>
      </c>
      <c r="AF115" t="s">
        <v>9</v>
      </c>
      <c r="AG115" s="17" t="s">
        <v>18</v>
      </c>
      <c r="AH115" s="23">
        <v>0.5069444444444444</v>
      </c>
      <c r="AI115" s="12" t="s">
        <v>289</v>
      </c>
      <c r="AJ115" s="19" t="s">
        <v>290</v>
      </c>
      <c r="AK115" s="20" t="str">
        <f>HYPERLINK("https://docs.google.com/document/d/1DymsQ1HeGPgIcWUJTZNcP4_6Zo3y4_qnZSDka3MTvQk/edit?usp=drivesdk","Kenneth Rainer - 8/1/2018 8:00 AM")</f>
        <v>Kenneth Rainer - 8/1/2018 8:00 AM</v>
      </c>
      <c r="AL115" s="12" t="s">
        <v>291</v>
      </c>
    </row>
    <row r="116">
      <c r="A116" s="10">
        <f>IFERROR(__xludf.DUMMYFUNCTION("""COMPUTED_VALUE"""),43313.3998444213)</f>
        <v>43313.39984</v>
      </c>
      <c r="B116" s="11" t="str">
        <f>IFERROR(__xludf.DUMMYFUNCTION("""COMPUTED_VALUE"""),"Pamela Marcum")</f>
        <v>Pamela Marcum</v>
      </c>
      <c r="C116" t="str">
        <f>IFERROR(__xludf.DUMMYFUNCTION("""COMPUTED_VALUE"""),"Pamela.Marcum@dep.state.fl.us")</f>
        <v>Pamela.Marcum@dep.state.fl.us</v>
      </c>
      <c r="D116" t="str">
        <f>IFERROR(__xludf.DUMMYFUNCTION("""COMPUTED_VALUE"""),"Research/Nikki")</f>
        <v>Research/Nikki</v>
      </c>
      <c r="E116" t="str">
        <f>IFERROR(__xludf.DUMMYFUNCTION("""COMPUTED_VALUE"""),"Shore Drive")</f>
        <v>Shore Drive</v>
      </c>
      <c r="F116" s="13">
        <f>IFERROR(__xludf.DUMMYFUNCTION("""COMPUTED_VALUE"""),0.3020833333321207)</f>
        <v>0.3020833333</v>
      </c>
      <c r="G116" s="14">
        <f>IFERROR(__xludf.DUMMYFUNCTION("""COMPUTED_VALUE"""),43312.0)</f>
        <v>43312</v>
      </c>
      <c r="H116" t="str">
        <f>IFERROR(__xludf.DUMMYFUNCTION("""COMPUTED_VALUE"""),"Gabby's Creek")</f>
        <v>Gabby's Creek</v>
      </c>
      <c r="I116" s="15">
        <f>IFERROR(__xludf.DUMMYFUNCTION("""COMPUTED_VALUE"""),0.625)</f>
        <v>0.625</v>
      </c>
      <c r="J116" s="16">
        <f>IFERROR(__xludf.DUMMYFUNCTION("""COMPUTED_VALUE"""),43312.66666666667)</f>
        <v>43312.66667</v>
      </c>
      <c r="K116" t="str">
        <f>IFERROR(__xludf.DUMMYFUNCTION("""COMPUTED_VALUE"""),"20ft Sea Ark FL5351SJ UNF 2015")</f>
        <v>20ft Sea Ark FL5351SJ UNF 2015</v>
      </c>
      <c r="M116" t="str">
        <f>IFERROR(__xludf.DUMMYFUNCTION("""COMPUTED_VALUE"""),"Ford F250 2017 (Moby Dix) - DEP0021578")</f>
        <v>Ford F250 2017 (Moby Dix) - DEP0021578</v>
      </c>
      <c r="N116" t="str">
        <f>IFERROR(__xludf.DUMMYFUNCTION("""COMPUTED_VALUE"""),"Pam Marcum, (480) 332-5414, Ben Mowbray, (407) 962-8782")</f>
        <v>Pam Marcum, (480) 332-5414, Ben Mowbray, (407) 962-8782</v>
      </c>
      <c r="O116" t="str">
        <f>IFERROR(__xludf.DUMMYFUNCTION("""COMPUTED_VALUE"""),"Remo Mondazzi, Chuck, Emily, Matt Hayes, Ches Vervaeke, Mark Hester, Harris Stevens")</f>
        <v>Remo Mondazzi, Chuck, Emily, Matt Hayes, Ches Vervaeke, Mark Hester, Harris Stevens</v>
      </c>
      <c r="P116" t="str">
        <f>IFERROR(__xludf.DUMMYFUNCTION("""COMPUTED_VALUE"""),"Pamela Marcum")</f>
        <v>Pamela Marcum</v>
      </c>
      <c r="Q116" t="str">
        <f>IFERROR(__xludf.DUMMYFUNCTION("""COMPUTED_VALUE"""),"Good")</f>
        <v>Good</v>
      </c>
      <c r="R116" t="str">
        <f>IFERROR(__xludf.DUMMYFUNCTION("""COMPUTED_VALUE"""),"Good")</f>
        <v>Good</v>
      </c>
      <c r="S116" t="str">
        <f>IFERROR(__xludf.DUMMYFUNCTION("""COMPUTED_VALUE"""),"Good")</f>
        <v>Good</v>
      </c>
      <c r="T116" t="str">
        <f>IFERROR(__xludf.DUMMYFUNCTION("""COMPUTED_VALUE"""),"Good")</f>
        <v>Good</v>
      </c>
      <c r="U116" t="str">
        <f>IFERROR(__xludf.DUMMYFUNCTION("""COMPUTED_VALUE"""),"Good")</f>
        <v>Good</v>
      </c>
      <c r="V116" t="str">
        <f>IFERROR(__xludf.DUMMYFUNCTION("""COMPUTED_VALUE"""),"Good")</f>
        <v>Good</v>
      </c>
      <c r="W116" t="str">
        <f>IFERROR(__xludf.DUMMYFUNCTION("""COMPUTED_VALUE"""),"Good")</f>
        <v>Good</v>
      </c>
      <c r="X116" t="str">
        <f>IFERROR(__xludf.DUMMYFUNCTION("""COMPUTED_VALUE"""),"Good")</f>
        <v>Good</v>
      </c>
      <c r="Y116" t="str">
        <f>IFERROR(__xludf.DUMMYFUNCTION("""COMPUTED_VALUE"""),"Good")</f>
        <v>Good</v>
      </c>
      <c r="Z116" t="str">
        <f>IFERROR(__xludf.DUMMYFUNCTION("""COMPUTED_VALUE"""),"Good")</f>
        <v>Good</v>
      </c>
      <c r="AA116" t="str">
        <f>IFERROR(__xludf.DUMMYFUNCTION("""COMPUTED_VALUE"""),"Good")</f>
        <v>Good</v>
      </c>
      <c r="AB116" t="str">
        <f>IFERROR(__xludf.DUMMYFUNCTION("""COMPUTED_VALUE"""),"Good")</f>
        <v>Good</v>
      </c>
      <c r="AC116" t="str">
        <f>IFERROR(__xludf.DUMMYFUNCTION("""COMPUTED_VALUE"""),"Good")</f>
        <v>Good</v>
      </c>
      <c r="AE116" s="11"/>
      <c r="AF116" t="s">
        <v>218</v>
      </c>
      <c r="AG116" s="17" t="s">
        <v>60</v>
      </c>
      <c r="AH116" s="12">
        <v>1445.0</v>
      </c>
      <c r="AI116" s="12" t="s">
        <v>292</v>
      </c>
      <c r="AJ116" s="19" t="s">
        <v>293</v>
      </c>
      <c r="AK116" s="20" t="str">
        <f>HYPERLINK("https://docs.google.com/document/d/1M1nSKDRh8KbBXalT-n5-pUJ-LMgc4RpRlvCNRApVBRo/edit?usp=drivesdk","Pamela Marcum - 7/31/2018 7:15 AM")</f>
        <v>Pamela Marcum - 7/31/2018 7:15 AM</v>
      </c>
      <c r="AL116" s="12" t="s">
        <v>294</v>
      </c>
    </row>
    <row r="117">
      <c r="A117" s="10">
        <f>IFERROR(__xludf.DUMMYFUNCTION("""COMPUTED_VALUE"""),43314.22709332176)</f>
        <v>43314.22709</v>
      </c>
      <c r="B117" s="11" t="str">
        <f>IFERROR(__xludf.DUMMYFUNCTION("""COMPUTED_VALUE"""),"Ben Mowbray")</f>
        <v>Ben Mowbray</v>
      </c>
      <c r="C117" t="str">
        <f>IFERROR(__xludf.DUMMYFUNCTION("""COMPUTED_VALUE"""),"ben.mowbray@dep.state.fl.us")</f>
        <v>ben.mowbray@dep.state.fl.us</v>
      </c>
      <c r="D117" t="str">
        <f>IFERROR(__xludf.DUMMYFUNCTION("""COMPUTED_VALUE"""),"Research/Pam")</f>
        <v>Research/Pam</v>
      </c>
      <c r="E117" t="str">
        <f>IFERROR(__xludf.DUMMYFUNCTION("""COMPUTED_VALUE"""),"Aunt Kate's")</f>
        <v>Aunt Kate's</v>
      </c>
      <c r="F117" s="13">
        <f>IFERROR(__xludf.DUMMYFUNCTION("""COMPUTED_VALUE"""),0.23958333333212067)</f>
        <v>0.2395833333</v>
      </c>
      <c r="G117" s="14">
        <f>IFERROR(__xludf.DUMMYFUNCTION("""COMPUTED_VALUE"""),43314.0)</f>
        <v>43314</v>
      </c>
      <c r="H117" t="str">
        <f>IFERROR(__xludf.DUMMYFUNCTION("""COMPUTED_VALUE"""),"GR TR reefs")</f>
        <v>GR TR reefs</v>
      </c>
      <c r="I117" s="15">
        <f>IFERROR(__xludf.DUMMYFUNCTION("""COMPUTED_VALUE"""),0.5416666666678793)</f>
        <v>0.5416666667</v>
      </c>
      <c r="J117" s="16">
        <f>IFERROR(__xludf.DUMMYFUNCTION("""COMPUTED_VALUE"""),43314.055555555555)</f>
        <v>43314.05556</v>
      </c>
      <c r="K117" t="str">
        <f>IFERROR(__xludf.DUMMYFUNCTION("""COMPUTED_VALUE"""),"F 20ft Sea Ark (Easy 200) FL8534PY DEP21451")</f>
        <v>F 20ft Sea Ark (Easy 200) FL8534PY DEP21451</v>
      </c>
      <c r="M117" t="str">
        <f>IFERROR(__xludf.DUMMYFUNCTION("""COMPUTED_VALUE"""),"Ford F250 2017 (Moby Dix) - DEP0021578")</f>
        <v>Ford F250 2017 (Moby Dix) - DEP0021578</v>
      </c>
      <c r="N117" t="str">
        <f>IFERROR(__xludf.DUMMYFUNCTION("""COMPUTED_VALUE"""),"Ben Mowbray, (407) 962-8782")</f>
        <v>Ben Mowbray, (407) 962-8782</v>
      </c>
      <c r="O117" t="str">
        <f>IFERROR(__xludf.DUMMYFUNCTION("""COMPUTED_VALUE"""),"Nicole, Rodrigo, Adrienne, David")</f>
        <v>Nicole, Rodrigo, Adrienne, David</v>
      </c>
      <c r="P117" t="str">
        <f>IFERROR(__xludf.DUMMYFUNCTION("""COMPUTED_VALUE"""),"Ben")</f>
        <v>Ben</v>
      </c>
      <c r="Q117" t="str">
        <f>IFERROR(__xludf.DUMMYFUNCTION("""COMPUTED_VALUE"""),"Good")</f>
        <v>Good</v>
      </c>
      <c r="R117" t="str">
        <f>IFERROR(__xludf.DUMMYFUNCTION("""COMPUTED_VALUE"""),"Good")</f>
        <v>Good</v>
      </c>
      <c r="S117" t="str">
        <f>IFERROR(__xludf.DUMMYFUNCTION("""COMPUTED_VALUE"""),"Good")</f>
        <v>Good</v>
      </c>
      <c r="T117" t="str">
        <f>IFERROR(__xludf.DUMMYFUNCTION("""COMPUTED_VALUE"""),"Good")</f>
        <v>Good</v>
      </c>
      <c r="U117" t="str">
        <f>IFERROR(__xludf.DUMMYFUNCTION("""COMPUTED_VALUE"""),"Good")</f>
        <v>Good</v>
      </c>
      <c r="V117" t="str">
        <f>IFERROR(__xludf.DUMMYFUNCTION("""COMPUTED_VALUE"""),"Good")</f>
        <v>Good</v>
      </c>
      <c r="W117" t="str">
        <f>IFERROR(__xludf.DUMMYFUNCTION("""COMPUTED_VALUE"""),"Good")</f>
        <v>Good</v>
      </c>
      <c r="X117" t="str">
        <f>IFERROR(__xludf.DUMMYFUNCTION("""COMPUTED_VALUE"""),"Good")</f>
        <v>Good</v>
      </c>
      <c r="Y117" t="str">
        <f>IFERROR(__xludf.DUMMYFUNCTION("""COMPUTED_VALUE"""),"Good")</f>
        <v>Good</v>
      </c>
      <c r="Z117" t="str">
        <f>IFERROR(__xludf.DUMMYFUNCTION("""COMPUTED_VALUE"""),"Good")</f>
        <v>Good</v>
      </c>
      <c r="AA117" t="str">
        <f>IFERROR(__xludf.DUMMYFUNCTION("""COMPUTED_VALUE"""),"Good")</f>
        <v>Good</v>
      </c>
      <c r="AB117" t="str">
        <f>IFERROR(__xludf.DUMMYFUNCTION("""COMPUTED_VALUE"""),"Good")</f>
        <v>Good</v>
      </c>
      <c r="AC117" t="str">
        <f>IFERROR(__xludf.DUMMYFUNCTION("""COMPUTED_VALUE"""),"Good")</f>
        <v>Good</v>
      </c>
      <c r="AE117" s="11"/>
      <c r="AF117" t="s">
        <v>262</v>
      </c>
      <c r="AG117" s="17" t="s">
        <v>18</v>
      </c>
      <c r="AH117" s="23">
        <v>0.4895833333333333</v>
      </c>
      <c r="AI117" s="12" t="s">
        <v>295</v>
      </c>
      <c r="AJ117" s="19" t="s">
        <v>296</v>
      </c>
      <c r="AK117" s="20" t="str">
        <f>HYPERLINK("https://docs.google.com/document/d/18ANL2EAsbj-9X5mz0tRj4YzFgnSMdKPwDfVJotzLaHQ/edit?usp=drivesdk","Ben Mowbray - 8/2/2018 5:45 AM")</f>
        <v>Ben Mowbray - 8/2/2018 5:45 AM</v>
      </c>
      <c r="AL117" s="12" t="s">
        <v>297</v>
      </c>
    </row>
    <row r="118">
      <c r="A118" s="10">
        <f>IFERROR(__xludf.DUMMYFUNCTION("""COMPUTED_VALUE"""),43314.35755489583)</f>
        <v>43314.35755</v>
      </c>
      <c r="B118" s="11" t="str">
        <f>IFERROR(__xludf.DUMMYFUNCTION("""COMPUTED_VALUE"""),"Pamela Marcum")</f>
        <v>Pamela Marcum</v>
      </c>
      <c r="C118" t="str">
        <f>IFERROR(__xludf.DUMMYFUNCTION("""COMPUTED_VALUE"""),"Pamela.Marcum@dep.state.fl.us")</f>
        <v>Pamela.Marcum@dep.state.fl.us</v>
      </c>
      <c r="D118" t="str">
        <f>IFERROR(__xludf.DUMMYFUNCTION("""COMPUTED_VALUE"""),"Research/Nikki")</f>
        <v>Research/Nikki</v>
      </c>
      <c r="E118" t="str">
        <f>IFERROR(__xludf.DUMMYFUNCTION("""COMPUTED_VALUE"""),"Shore Drive")</f>
        <v>Shore Drive</v>
      </c>
      <c r="F118" s="13">
        <f>IFERROR(__xludf.DUMMYFUNCTION("""COMPUTED_VALUE"""),0.3958333333321207)</f>
        <v>0.3958333333</v>
      </c>
      <c r="G118" s="14">
        <f>IFERROR(__xludf.DUMMYFUNCTION("""COMPUTED_VALUE"""),43314.0)</f>
        <v>43314</v>
      </c>
      <c r="H118" t="str">
        <f>IFERROR(__xludf.DUMMYFUNCTION("""COMPUTED_VALUE"""),"Gabby's Creek")</f>
        <v>Gabby's Creek</v>
      </c>
      <c r="I118" s="15">
        <f>IFERROR(__xludf.DUMMYFUNCTION("""COMPUTED_VALUE"""),0.625)</f>
        <v>0.625</v>
      </c>
      <c r="J118" s="16">
        <f>IFERROR(__xludf.DUMMYFUNCTION("""COMPUTED_VALUE"""),43314.66666666667)</f>
        <v>43314.66667</v>
      </c>
      <c r="K118" t="str">
        <f>IFERROR(__xludf.DUMMYFUNCTION("""COMPUTED_VALUE"""),"23ft Skiff (Bertha) FL7972LJ DEP07613")</f>
        <v>23ft Skiff (Bertha) FL7972LJ DEP07613</v>
      </c>
      <c r="M118" t="str">
        <f>IFERROR(__xludf.DUMMYFUNCTION("""COMPUTED_VALUE"""),"Ford F150 2015 (White) - DEP21448")</f>
        <v>Ford F150 2015 (White) - DEP21448</v>
      </c>
      <c r="N118" t="str">
        <f>IFERROR(__xludf.DUMMYFUNCTION("""COMPUTED_VALUE"""),"Pam Marcum, (480) 332-5414")</f>
        <v>Pam Marcum, (480) 332-5414</v>
      </c>
      <c r="O118" t="str">
        <f>IFERROR(__xludf.DUMMYFUNCTION("""COMPUTED_VALUE"""),"Gabby Canas, Matt Hayes, Emily, Chuck")</f>
        <v>Gabby Canas, Matt Hayes, Emily, Chuck</v>
      </c>
      <c r="P118" t="str">
        <f>IFERROR(__xludf.DUMMYFUNCTION("""COMPUTED_VALUE"""),"Pamela Marcum")</f>
        <v>Pamela Marcum</v>
      </c>
      <c r="Q118" t="str">
        <f>IFERROR(__xludf.DUMMYFUNCTION("""COMPUTED_VALUE"""),"Good")</f>
        <v>Good</v>
      </c>
      <c r="R118" t="str">
        <f>IFERROR(__xludf.DUMMYFUNCTION("""COMPUTED_VALUE"""),"Good")</f>
        <v>Good</v>
      </c>
      <c r="S118" t="str">
        <f>IFERROR(__xludf.DUMMYFUNCTION("""COMPUTED_VALUE"""),"Good")</f>
        <v>Good</v>
      </c>
      <c r="T118" t="str">
        <f>IFERROR(__xludf.DUMMYFUNCTION("""COMPUTED_VALUE"""),"Good")</f>
        <v>Good</v>
      </c>
      <c r="U118" t="str">
        <f>IFERROR(__xludf.DUMMYFUNCTION("""COMPUTED_VALUE"""),"Good")</f>
        <v>Good</v>
      </c>
      <c r="V118" t="str">
        <f>IFERROR(__xludf.DUMMYFUNCTION("""COMPUTED_VALUE"""),"Good")</f>
        <v>Good</v>
      </c>
      <c r="W118" t="str">
        <f>IFERROR(__xludf.DUMMYFUNCTION("""COMPUTED_VALUE"""),"Good")</f>
        <v>Good</v>
      </c>
      <c r="X118" t="str">
        <f>IFERROR(__xludf.DUMMYFUNCTION("""COMPUTED_VALUE"""),"Good")</f>
        <v>Good</v>
      </c>
      <c r="Y118" t="str">
        <f>IFERROR(__xludf.DUMMYFUNCTION("""COMPUTED_VALUE"""),"Good")</f>
        <v>Good</v>
      </c>
      <c r="Z118" t="str">
        <f>IFERROR(__xludf.DUMMYFUNCTION("""COMPUTED_VALUE"""),"Good")</f>
        <v>Good</v>
      </c>
      <c r="AA118" t="str">
        <f>IFERROR(__xludf.DUMMYFUNCTION("""COMPUTED_VALUE"""),"Good")</f>
        <v>Good</v>
      </c>
      <c r="AB118" t="str">
        <f>IFERROR(__xludf.DUMMYFUNCTION("""COMPUTED_VALUE"""),"Good")</f>
        <v>Good</v>
      </c>
      <c r="AC118" t="str">
        <f>IFERROR(__xludf.DUMMYFUNCTION("""COMPUTED_VALUE"""),"Good")</f>
        <v>Good</v>
      </c>
      <c r="AE118" s="11"/>
      <c r="AF118" t="s">
        <v>218</v>
      </c>
      <c r="AG118" s="17" t="s">
        <v>18</v>
      </c>
      <c r="AH118" s="23">
        <v>0.5618055555555556</v>
      </c>
      <c r="AI118" s="12" t="s">
        <v>298</v>
      </c>
      <c r="AJ118" s="19" t="s">
        <v>299</v>
      </c>
      <c r="AK118" s="20" t="str">
        <f>HYPERLINK("https://docs.google.com/document/d/1_xpbSdAQxiV952g8DEviihzsJ9JvdoIja7XikkzE2jM/edit?usp=drivesdk","Pamela Marcum - 8/2/2018 9:30 AM")</f>
        <v>Pamela Marcum - 8/2/2018 9:30 AM</v>
      </c>
      <c r="AL118" s="12" t="s">
        <v>300</v>
      </c>
    </row>
    <row r="119">
      <c r="A119" s="10">
        <f>IFERROR(__xludf.DUMMYFUNCTION("""COMPUTED_VALUE"""),43314.6034672338)</f>
        <v>43314.60347</v>
      </c>
      <c r="B119" s="11" t="str">
        <f>IFERROR(__xludf.DUMMYFUNCTION("""COMPUTED_VALUE"""),"Ben Mowbray")</f>
        <v>Ben Mowbray</v>
      </c>
      <c r="C119" t="str">
        <f>IFERROR(__xludf.DUMMYFUNCTION("""COMPUTED_VALUE"""),"Ben.mowbray@dep.state.fl.us")</f>
        <v>Ben.mowbray@dep.state.fl.us</v>
      </c>
      <c r="D119" t="str">
        <f>IFERROR(__xludf.DUMMYFUNCTION("""COMPUTED_VALUE"""),"Research/Pam")</f>
        <v>Research/Pam</v>
      </c>
      <c r="E119" t="str">
        <f>IFERROR(__xludf.DUMMYFUNCTION("""COMPUTED_VALUE"""),"Aunt Kate's")</f>
        <v>Aunt Kate's</v>
      </c>
      <c r="F119" s="13">
        <f>IFERROR(__xludf.DUMMYFUNCTION("""COMPUTED_VALUE"""),0.28125)</f>
        <v>0.28125</v>
      </c>
      <c r="G119" s="14">
        <f>IFERROR(__xludf.DUMMYFUNCTION("""COMPUTED_VALUE"""),43315.0)</f>
        <v>43315</v>
      </c>
      <c r="H119" t="str">
        <f>IFERROR(__xludf.DUMMYFUNCTION("""COMPUTED_VALUE"""),"TR reefs")</f>
        <v>TR reefs</v>
      </c>
      <c r="I119" s="15">
        <f>IFERROR(__xludf.DUMMYFUNCTION("""COMPUTED_VALUE"""),0.5)</f>
        <v>0.5</v>
      </c>
      <c r="J119" s="16">
        <f>IFERROR(__xludf.DUMMYFUNCTION("""COMPUTED_VALUE"""),43315.51388888889)</f>
        <v>43315.51389</v>
      </c>
      <c r="K119" t="str">
        <f>IFERROR(__xludf.DUMMYFUNCTION("""COMPUTED_VALUE"""),"20ft Sea Ark FL5351SJ UNF 2015")</f>
        <v>20ft Sea Ark FL5351SJ UNF 2015</v>
      </c>
      <c r="M119" t="str">
        <f>IFERROR(__xludf.DUMMYFUNCTION("""COMPUTED_VALUE"""),"Ford F250 2017 (Moby Dix) - DEP0021578")</f>
        <v>Ford F250 2017 (Moby Dix) - DEP0021578</v>
      </c>
      <c r="N119" t="str">
        <f>IFERROR(__xludf.DUMMYFUNCTION("""COMPUTED_VALUE"""),"Ben Mowbray, (407) 962-8782")</f>
        <v>Ben Mowbray, (407) 962-8782</v>
      </c>
      <c r="O119" t="str">
        <f>IFERROR(__xludf.DUMMYFUNCTION("""COMPUTED_VALUE"""),"Nicole, Rodrigo, Adrienne")</f>
        <v>Nicole, Rodrigo, Adrienne</v>
      </c>
      <c r="P119" t="str">
        <f>IFERROR(__xludf.DUMMYFUNCTION("""COMPUTED_VALUE"""),"Ben")</f>
        <v>Ben</v>
      </c>
      <c r="Q119" t="str">
        <f>IFERROR(__xludf.DUMMYFUNCTION("""COMPUTED_VALUE"""),"Good")</f>
        <v>Good</v>
      </c>
      <c r="R119" t="str">
        <f>IFERROR(__xludf.DUMMYFUNCTION("""COMPUTED_VALUE"""),"Good")</f>
        <v>Good</v>
      </c>
      <c r="S119" t="str">
        <f>IFERROR(__xludf.DUMMYFUNCTION("""COMPUTED_VALUE"""),"Good")</f>
        <v>Good</v>
      </c>
      <c r="T119" t="str">
        <f>IFERROR(__xludf.DUMMYFUNCTION("""COMPUTED_VALUE"""),"Good")</f>
        <v>Good</v>
      </c>
      <c r="U119" t="str">
        <f>IFERROR(__xludf.DUMMYFUNCTION("""COMPUTED_VALUE"""),"Good")</f>
        <v>Good</v>
      </c>
      <c r="V119" t="str">
        <f>IFERROR(__xludf.DUMMYFUNCTION("""COMPUTED_VALUE"""),"Good")</f>
        <v>Good</v>
      </c>
      <c r="W119" t="str">
        <f>IFERROR(__xludf.DUMMYFUNCTION("""COMPUTED_VALUE"""),"Good")</f>
        <v>Good</v>
      </c>
      <c r="X119" t="str">
        <f>IFERROR(__xludf.DUMMYFUNCTION("""COMPUTED_VALUE"""),"Good")</f>
        <v>Good</v>
      </c>
      <c r="Y119" t="str">
        <f>IFERROR(__xludf.DUMMYFUNCTION("""COMPUTED_VALUE"""),"Good")</f>
        <v>Good</v>
      </c>
      <c r="Z119" t="str">
        <f>IFERROR(__xludf.DUMMYFUNCTION("""COMPUTED_VALUE"""),"Good")</f>
        <v>Good</v>
      </c>
      <c r="AA119" t="str">
        <f>IFERROR(__xludf.DUMMYFUNCTION("""COMPUTED_VALUE"""),"Good")</f>
        <v>Good</v>
      </c>
      <c r="AB119" t="str">
        <f>IFERROR(__xludf.DUMMYFUNCTION("""COMPUTED_VALUE"""),"Good")</f>
        <v>Good</v>
      </c>
      <c r="AC119" t="str">
        <f>IFERROR(__xludf.DUMMYFUNCTION("""COMPUTED_VALUE"""),"Good")</f>
        <v>Good</v>
      </c>
      <c r="AE119" s="11"/>
      <c r="AF119" t="s">
        <v>262</v>
      </c>
      <c r="AG119" s="17" t="s">
        <v>18</v>
      </c>
      <c r="AH119" s="12">
        <v>1123.0</v>
      </c>
      <c r="AI119" s="12" t="s">
        <v>301</v>
      </c>
      <c r="AJ119" s="19" t="s">
        <v>302</v>
      </c>
      <c r="AK119" s="20" t="str">
        <f>HYPERLINK("https://docs.google.com/document/d/1CEf7cA2GIPp1xy65JDmnWfxQvW39taVTsOsaX1Ue6ho/edit?usp=drivesdk","Ben Mowbray - 8/3/2018 6:45 AM")</f>
        <v>Ben Mowbray - 8/3/2018 6:45 AM</v>
      </c>
      <c r="AL119" s="12" t="s">
        <v>303</v>
      </c>
    </row>
    <row r="120">
      <c r="A120" s="10">
        <f>IFERROR(__xludf.DUMMYFUNCTION("""COMPUTED_VALUE"""),43315.280441574076)</f>
        <v>43315.28044</v>
      </c>
      <c r="B120" s="11" t="str">
        <f>IFERROR(__xludf.DUMMYFUNCTION("""COMPUTED_VALUE"""),"Pamela Marcum")</f>
        <v>Pamela Marcum</v>
      </c>
      <c r="C120" t="str">
        <f>IFERROR(__xludf.DUMMYFUNCTION("""COMPUTED_VALUE"""),"Pamela.Marcum@dep.state.fl.us")</f>
        <v>Pamela.Marcum@dep.state.fl.us</v>
      </c>
      <c r="D120" t="str">
        <f>IFERROR(__xludf.DUMMYFUNCTION("""COMPUTED_VALUE"""),"Research/Nikki")</f>
        <v>Research/Nikki</v>
      </c>
      <c r="E120" t="str">
        <f>IFERROR(__xludf.DUMMYFUNCTION("""COMPUTED_VALUE"""),"Aunt Kates")</f>
        <v>Aunt Kates</v>
      </c>
      <c r="F120" s="13">
        <f>IFERROR(__xludf.DUMMYFUNCTION("""COMPUTED_VALUE"""),0.3125)</f>
        <v>0.3125</v>
      </c>
      <c r="G120" s="14">
        <f>IFERROR(__xludf.DUMMYFUNCTION("""COMPUTED_VALUE"""),43315.0)</f>
        <v>43315</v>
      </c>
      <c r="H120" t="str">
        <f>IFERROR(__xludf.DUMMYFUNCTION("""COMPUTED_VALUE"""),"Spat Run")</f>
        <v>Spat Run</v>
      </c>
      <c r="I120" s="15">
        <f>IFERROR(__xludf.DUMMYFUNCTION("""COMPUTED_VALUE"""),0.5)</f>
        <v>0.5</v>
      </c>
      <c r="J120" s="16">
        <f>IFERROR(__xludf.DUMMYFUNCTION("""COMPUTED_VALUE"""),43315.52083333333)</f>
        <v>43315.52083</v>
      </c>
      <c r="K120" t="str">
        <f>IFERROR(__xludf.DUMMYFUNCTION("""COMPUTED_VALUE"""),"23ft Skiff (Bertha) FL7972LJ DEP07613")</f>
        <v>23ft Skiff (Bertha) FL7972LJ DEP07613</v>
      </c>
      <c r="M120" t="str">
        <f>IFERROR(__xludf.DUMMYFUNCTION("""COMPUTED_VALUE"""),"Ford F150 2015 (White) - DEP21448")</f>
        <v>Ford F150 2015 (White) - DEP21448</v>
      </c>
      <c r="N120" t="str">
        <f>IFERROR(__xludf.DUMMYFUNCTION("""COMPUTED_VALUE"""),"Pam Marcum, (480) 332-5414")</f>
        <v>Pam Marcum, (480) 332-5414</v>
      </c>
      <c r="O120" t="str">
        <f>IFERROR(__xludf.DUMMYFUNCTION("""COMPUTED_VALUE"""),"Kendall Doody, Chris Kurtz")</f>
        <v>Kendall Doody, Chris Kurtz</v>
      </c>
      <c r="P120" t="str">
        <f>IFERROR(__xludf.DUMMYFUNCTION("""COMPUTED_VALUE"""),"Pamela Marcum")</f>
        <v>Pamela Marcum</v>
      </c>
      <c r="Q120" t="str">
        <f>IFERROR(__xludf.DUMMYFUNCTION("""COMPUTED_VALUE"""),"Good")</f>
        <v>Good</v>
      </c>
      <c r="R120" t="str">
        <f>IFERROR(__xludf.DUMMYFUNCTION("""COMPUTED_VALUE"""),"Good")</f>
        <v>Good</v>
      </c>
      <c r="S120" t="str">
        <f>IFERROR(__xludf.DUMMYFUNCTION("""COMPUTED_VALUE"""),"Good")</f>
        <v>Good</v>
      </c>
      <c r="T120" t="str">
        <f>IFERROR(__xludf.DUMMYFUNCTION("""COMPUTED_VALUE"""),"Good")</f>
        <v>Good</v>
      </c>
      <c r="U120" t="str">
        <f>IFERROR(__xludf.DUMMYFUNCTION("""COMPUTED_VALUE"""),"Good")</f>
        <v>Good</v>
      </c>
      <c r="V120" t="str">
        <f>IFERROR(__xludf.DUMMYFUNCTION("""COMPUTED_VALUE"""),"Good")</f>
        <v>Good</v>
      </c>
      <c r="W120" t="str">
        <f>IFERROR(__xludf.DUMMYFUNCTION("""COMPUTED_VALUE"""),"Good")</f>
        <v>Good</v>
      </c>
      <c r="X120" t="str">
        <f>IFERROR(__xludf.DUMMYFUNCTION("""COMPUTED_VALUE"""),"Good")</f>
        <v>Good</v>
      </c>
      <c r="Y120" t="str">
        <f>IFERROR(__xludf.DUMMYFUNCTION("""COMPUTED_VALUE"""),"Good")</f>
        <v>Good</v>
      </c>
      <c r="Z120" t="str">
        <f>IFERROR(__xludf.DUMMYFUNCTION("""COMPUTED_VALUE"""),"Good")</f>
        <v>Good</v>
      </c>
      <c r="AA120" t="str">
        <f>IFERROR(__xludf.DUMMYFUNCTION("""COMPUTED_VALUE"""),"Good")</f>
        <v>Good</v>
      </c>
      <c r="AB120" t="str">
        <f>IFERROR(__xludf.DUMMYFUNCTION("""COMPUTED_VALUE"""),"Good")</f>
        <v>Good</v>
      </c>
      <c r="AC120" t="str">
        <f>IFERROR(__xludf.DUMMYFUNCTION("""COMPUTED_VALUE"""),"Good")</f>
        <v>Good</v>
      </c>
      <c r="AE120" s="11"/>
      <c r="AF120" t="s">
        <v>218</v>
      </c>
      <c r="AG120" s="17" t="s">
        <v>18</v>
      </c>
      <c r="AH120" s="12">
        <v>1055.0</v>
      </c>
      <c r="AI120" s="12" t="s">
        <v>304</v>
      </c>
      <c r="AJ120" s="19" t="s">
        <v>305</v>
      </c>
      <c r="AK120" s="20" t="str">
        <f>HYPERLINK("https://docs.google.com/document/d/1_f4X9tN9ILtz5QvdB_rIlrFD1AFhQW601asBRe7AfEg/edit?usp=drivesdk","Pamela Marcum - 8/3/2018 7:30 AM")</f>
        <v>Pamela Marcum - 8/3/2018 7:30 AM</v>
      </c>
      <c r="AL120" s="12" t="s">
        <v>306</v>
      </c>
    </row>
    <row r="121">
      <c r="A121" s="10">
        <f>IFERROR(__xludf.DUMMYFUNCTION("""COMPUTED_VALUE"""),43319.243383553236)</f>
        <v>43319.24338</v>
      </c>
      <c r="B121" s="11" t="str">
        <f>IFERROR(__xludf.DUMMYFUNCTION("""COMPUTED_VALUE"""),"Silas Tanner")</f>
        <v>Silas Tanner</v>
      </c>
      <c r="C121" t="str">
        <f>IFERROR(__xludf.DUMMYFUNCTION("""COMPUTED_VALUE"""),"Silas.Tanner@floridadep.gov")</f>
        <v>Silas.Tanner@floridadep.gov</v>
      </c>
      <c r="D121" t="str">
        <f>IFERROR(__xludf.DUMMYFUNCTION("""COMPUTED_VALUE"""),"Research/Nikki")</f>
        <v>Research/Nikki</v>
      </c>
      <c r="E121" t="str">
        <f>IFERROR(__xludf.DUMMYFUNCTION("""COMPUTED_VALUE"""),"Vilano county ramp")</f>
        <v>Vilano county ramp</v>
      </c>
      <c r="F121" s="13">
        <f>IFERROR(__xludf.DUMMYFUNCTION("""COMPUTED_VALUE"""),0.2708333333321207)</f>
        <v>0.2708333333</v>
      </c>
      <c r="G121" s="14">
        <f>IFERROR(__xludf.DUMMYFUNCTION("""COMPUTED_VALUE"""),43319.0)</f>
        <v>43319</v>
      </c>
      <c r="H121" t="str">
        <f>IFERROR(__xludf.DUMMYFUNCTION("""COMPUTED_VALUE"""),"ICW SWMP sites")</f>
        <v>ICW SWMP sites</v>
      </c>
      <c r="I121" s="15">
        <f>IFERROR(__xludf.DUMMYFUNCTION("""COMPUTED_VALUE"""),0.5208333333321207)</f>
        <v>0.5208333333</v>
      </c>
      <c r="J121" s="16">
        <f>IFERROR(__xludf.DUMMYFUNCTION("""COMPUTED_VALUE"""),43319.04166666667)</f>
        <v>43319.04167</v>
      </c>
      <c r="K121" t="str">
        <f>IFERROR(__xludf.DUMMYFUNCTION("""COMPUTED_VALUE"""),"23ft Skiff (Bertha) FL7972LJ DEP07613")</f>
        <v>23ft Skiff (Bertha) FL7972LJ DEP07613</v>
      </c>
      <c r="M121" t="str">
        <f>IFERROR(__xludf.DUMMYFUNCTION("""COMPUTED_VALUE"""),"Ford F250 2017 (Moby Dix) - DEP0021578")</f>
        <v>Ford F250 2017 (Moby Dix) - DEP0021578</v>
      </c>
      <c r="N121" t="str">
        <f>IFERROR(__xludf.DUMMYFUNCTION("""COMPUTED_VALUE"""),"Silas Tanner, (904) 483-8423, Jimmy Tomazinis, (904) 547-0094")</f>
        <v>Silas Tanner, (904) 483-8423, Jimmy Tomazinis, (904) 547-0094</v>
      </c>
      <c r="O121" t="str">
        <f>IFERROR(__xludf.DUMMYFUNCTION("""COMPUTED_VALUE"""),"Emma Hanson, Jessica Lee")</f>
        <v>Emma Hanson, Jessica Lee</v>
      </c>
      <c r="P121" t="str">
        <f>IFERROR(__xludf.DUMMYFUNCTION("""COMPUTED_VALUE"""),"Tomazinis")</f>
        <v>Tomazinis</v>
      </c>
      <c r="Q121" t="str">
        <f>IFERROR(__xludf.DUMMYFUNCTION("""COMPUTED_VALUE"""),"Good")</f>
        <v>Good</v>
      </c>
      <c r="R121" t="str">
        <f>IFERROR(__xludf.DUMMYFUNCTION("""COMPUTED_VALUE"""),"Good")</f>
        <v>Good</v>
      </c>
      <c r="S121" t="str">
        <f>IFERROR(__xludf.DUMMYFUNCTION("""COMPUTED_VALUE"""),"Good")</f>
        <v>Good</v>
      </c>
      <c r="T121" t="str">
        <f>IFERROR(__xludf.DUMMYFUNCTION("""COMPUTED_VALUE"""),"Good")</f>
        <v>Good</v>
      </c>
      <c r="U121" t="str">
        <f>IFERROR(__xludf.DUMMYFUNCTION("""COMPUTED_VALUE"""),"Good")</f>
        <v>Good</v>
      </c>
      <c r="V121" t="str">
        <f>IFERROR(__xludf.DUMMYFUNCTION("""COMPUTED_VALUE"""),"Good")</f>
        <v>Good</v>
      </c>
      <c r="W121" t="str">
        <f>IFERROR(__xludf.DUMMYFUNCTION("""COMPUTED_VALUE"""),"Good")</f>
        <v>Good</v>
      </c>
      <c r="X121" t="str">
        <f>IFERROR(__xludf.DUMMYFUNCTION("""COMPUTED_VALUE"""),"Good")</f>
        <v>Good</v>
      </c>
      <c r="Y121" t="str">
        <f>IFERROR(__xludf.DUMMYFUNCTION("""COMPUTED_VALUE"""),"Good")</f>
        <v>Good</v>
      </c>
      <c r="Z121" t="str">
        <f>IFERROR(__xludf.DUMMYFUNCTION("""COMPUTED_VALUE"""),"Good")</f>
        <v>Good</v>
      </c>
      <c r="AA121" t="str">
        <f>IFERROR(__xludf.DUMMYFUNCTION("""COMPUTED_VALUE"""),"Good")</f>
        <v>Good</v>
      </c>
      <c r="AB121" t="str">
        <f>IFERROR(__xludf.DUMMYFUNCTION("""COMPUTED_VALUE"""),"Good")</f>
        <v>Good</v>
      </c>
      <c r="AC121" t="str">
        <f>IFERROR(__xludf.DUMMYFUNCTION("""COMPUTED_VALUE"""),"Good")</f>
        <v>Good</v>
      </c>
      <c r="AE121" s="11"/>
      <c r="AF121" t="s">
        <v>218</v>
      </c>
      <c r="AG121" s="17" t="s">
        <v>18</v>
      </c>
      <c r="AH121" s="12">
        <v>1132.0</v>
      </c>
      <c r="AI121" s="12" t="s">
        <v>307</v>
      </c>
      <c r="AJ121" s="19" t="s">
        <v>308</v>
      </c>
      <c r="AK121" s="20" t="str">
        <f>HYPERLINK("https://docs.google.com/document/d/1gFmRMe2zpH3j4wfW__4Oo9qMajLX3jmZ0kcbMSYh65A/edit?usp=drivesdk","Silas Tanner - 8/7/2018 6:30 AM")</f>
        <v>Silas Tanner - 8/7/2018 6:30 AM</v>
      </c>
      <c r="AL121" s="12" t="s">
        <v>309</v>
      </c>
    </row>
    <row r="122">
      <c r="A122" s="10">
        <f>IFERROR(__xludf.DUMMYFUNCTION("""COMPUTED_VALUE"""),43319.73661347222)</f>
        <v>43319.73661</v>
      </c>
      <c r="B122" s="11" t="str">
        <f>IFERROR(__xludf.DUMMYFUNCTION("""COMPUTED_VALUE"""),"James Tomazinis")</f>
        <v>James Tomazinis</v>
      </c>
      <c r="C122" t="str">
        <f>IFERROR(__xludf.DUMMYFUNCTION("""COMPUTED_VALUE"""),"james.tomazinis@floridadep.gov")</f>
        <v>james.tomazinis@floridadep.gov</v>
      </c>
      <c r="D122" t="str">
        <f>IFERROR(__xludf.DUMMYFUNCTION("""COMPUTED_VALUE"""),"Stewardship (Aquatic)")</f>
        <v>Stewardship (Aquatic)</v>
      </c>
      <c r="E122" t="str">
        <f>IFERROR(__xludf.DUMMYFUNCTION("""COMPUTED_VALUE"""),"Guana Dam")</f>
        <v>Guana Dam</v>
      </c>
      <c r="F122" s="13">
        <f>IFERROR(__xludf.DUMMYFUNCTION("""COMPUTED_VALUE"""),0.3020833333321207)</f>
        <v>0.3020833333</v>
      </c>
      <c r="G122" s="14">
        <f>IFERROR(__xludf.DUMMYFUNCTION("""COMPUTED_VALUE"""),43320.0)</f>
        <v>43320</v>
      </c>
      <c r="H122" t="str">
        <f>IFERROR(__xludf.DUMMYFUNCTION("""COMPUTED_VALUE"""),"Guana River WQ sites")</f>
        <v>Guana River WQ sites</v>
      </c>
      <c r="I122" s="15">
        <f>IFERROR(__xludf.DUMMYFUNCTION("""COMPUTED_VALUE"""),0.375)</f>
        <v>0.375</v>
      </c>
      <c r="J122" s="16"/>
      <c r="K122" t="str">
        <f>IFERROR(__xludf.DUMMYFUNCTION("""COMPUTED_VALUE"""),"Jon Boat FL0484NP DEP06819")</f>
        <v>Jon Boat FL0484NP DEP06819</v>
      </c>
      <c r="M122" t="str">
        <f>IFERROR(__xludf.DUMMYFUNCTION("""COMPUTED_VALUE"""),"Ford F150 2015 (White) - DEP21448")</f>
        <v>Ford F150 2015 (White) - DEP21448</v>
      </c>
      <c r="N122" t="str">
        <f>IFERROR(__xludf.DUMMYFUNCTION("""COMPUTED_VALUE"""),"Jimmy Tomazinis, (904) 547-0094")</f>
        <v>Jimmy Tomazinis, (904) 547-0094</v>
      </c>
      <c r="O122" t="str">
        <f>IFERROR(__xludf.DUMMYFUNCTION("""COMPUTED_VALUE"""),"Silas Tanner, (904) 483-8423, Scott Eastman, (904) 501-9267")</f>
        <v>Silas Tanner, (904) 483-8423, Scott Eastman, (904) 501-9267</v>
      </c>
      <c r="P122" t="str">
        <f>IFERROR(__xludf.DUMMYFUNCTION("""COMPUTED_VALUE"""),"Jimmy")</f>
        <v>Jimmy</v>
      </c>
      <c r="Q122" t="str">
        <f>IFERROR(__xludf.DUMMYFUNCTION("""COMPUTED_VALUE"""),"Good")</f>
        <v>Good</v>
      </c>
      <c r="R122" t="str">
        <f>IFERROR(__xludf.DUMMYFUNCTION("""COMPUTED_VALUE"""),"Good")</f>
        <v>Good</v>
      </c>
      <c r="S122" t="str">
        <f>IFERROR(__xludf.DUMMYFUNCTION("""COMPUTED_VALUE"""),"Good")</f>
        <v>Good</v>
      </c>
      <c r="T122" t="str">
        <f>IFERROR(__xludf.DUMMYFUNCTION("""COMPUTED_VALUE"""),"Good")</f>
        <v>Good</v>
      </c>
      <c r="U122" t="str">
        <f>IFERROR(__xludf.DUMMYFUNCTION("""COMPUTED_VALUE"""),"Good")</f>
        <v>Good</v>
      </c>
      <c r="V122" t="str">
        <f>IFERROR(__xludf.DUMMYFUNCTION("""COMPUTED_VALUE"""),"Good")</f>
        <v>Good</v>
      </c>
      <c r="W122" t="str">
        <f>IFERROR(__xludf.DUMMYFUNCTION("""COMPUTED_VALUE"""),"Good")</f>
        <v>Good</v>
      </c>
      <c r="X122" t="str">
        <f>IFERROR(__xludf.DUMMYFUNCTION("""COMPUTED_VALUE"""),"Good")</f>
        <v>Good</v>
      </c>
      <c r="Y122" t="str">
        <f>IFERROR(__xludf.DUMMYFUNCTION("""COMPUTED_VALUE"""),"Good")</f>
        <v>Good</v>
      </c>
      <c r="Z122" t="str">
        <f>IFERROR(__xludf.DUMMYFUNCTION("""COMPUTED_VALUE"""),"Good")</f>
        <v>Good</v>
      </c>
      <c r="AA122" t="str">
        <f>IFERROR(__xludf.DUMMYFUNCTION("""COMPUTED_VALUE"""),"Good")</f>
        <v>Good</v>
      </c>
      <c r="AB122" t="str">
        <f>IFERROR(__xludf.DUMMYFUNCTION("""COMPUTED_VALUE"""),"Good")</f>
        <v>Good</v>
      </c>
      <c r="AC122" t="str">
        <f>IFERROR(__xludf.DUMMYFUNCTION("""COMPUTED_VALUE"""),"Good")</f>
        <v>Good</v>
      </c>
      <c r="AE122" s="11"/>
      <c r="AF122" t="s">
        <v>32</v>
      </c>
      <c r="AG122" s="17" t="s">
        <v>18</v>
      </c>
      <c r="AH122" s="12">
        <v>830.0</v>
      </c>
      <c r="AI122" s="12" t="s">
        <v>310</v>
      </c>
      <c r="AJ122" s="19" t="s">
        <v>311</v>
      </c>
      <c r="AK122" s="20" t="str">
        <f>HYPERLINK("https://docs.google.com/document/d/1WiDFrx4D7wDtTG7xhG56FExYdRv-4DwwdP-wvUsnRMc/edit?usp=drivesdk","James Tomazinis - 8/8/2018 7:15 AM")</f>
        <v>James Tomazinis - 8/8/2018 7:15 AM</v>
      </c>
      <c r="AL122" s="12" t="s">
        <v>312</v>
      </c>
    </row>
    <row r="123">
      <c r="A123" s="10">
        <f>IFERROR(__xludf.DUMMYFUNCTION("""COMPUTED_VALUE"""),43320.354894675926)</f>
        <v>43320.35489</v>
      </c>
      <c r="B123" s="11" t="str">
        <f>IFERROR(__xludf.DUMMYFUNCTION("""COMPUTED_VALUE"""),"Pamela Marcum")</f>
        <v>Pamela Marcum</v>
      </c>
      <c r="C123" t="str">
        <f>IFERROR(__xludf.DUMMYFUNCTION("""COMPUTED_VALUE"""),"Pamela.Marcum@dep.state.fl.us")</f>
        <v>Pamela.Marcum@dep.state.fl.us</v>
      </c>
      <c r="D123" t="str">
        <f>IFERROR(__xludf.DUMMYFUNCTION("""COMPUTED_VALUE"""),"Research/Nikki")</f>
        <v>Research/Nikki</v>
      </c>
      <c r="E123" t="str">
        <f>IFERROR(__xludf.DUMMYFUNCTION("""COMPUTED_VALUE"""),"Shore Drive")</f>
        <v>Shore Drive</v>
      </c>
      <c r="F123" s="13">
        <f>IFERROR(__xludf.DUMMYFUNCTION("""COMPUTED_VALUE"""),0.375)</f>
        <v>0.375</v>
      </c>
      <c r="G123" s="14">
        <f>IFERROR(__xludf.DUMMYFUNCTION("""COMPUTED_VALUE"""),43320.0)</f>
        <v>43320</v>
      </c>
      <c r="H123" t="str">
        <f>IFERROR(__xludf.DUMMYFUNCTION("""COMPUTED_VALUE"""),"Gabby's Creek")</f>
        <v>Gabby's Creek</v>
      </c>
      <c r="I123" s="15">
        <f>IFERROR(__xludf.DUMMYFUNCTION("""COMPUTED_VALUE"""),0.625)</f>
        <v>0.625</v>
      </c>
      <c r="J123" s="16">
        <f>IFERROR(__xludf.DUMMYFUNCTION("""COMPUTED_VALUE"""),43321.66666666667)</f>
        <v>43321.66667</v>
      </c>
      <c r="K123" t="str">
        <f>IFERROR(__xludf.DUMMYFUNCTION("""COMPUTED_VALUE"""),"23ft Skiff (Bertha) FL7972LJ DEP07613")</f>
        <v>23ft Skiff (Bertha) FL7972LJ DEP07613</v>
      </c>
      <c r="M123" t="str">
        <f>IFERROR(__xludf.DUMMYFUNCTION("""COMPUTED_VALUE"""),"Ford F250 2017 (Moby Dix) - DEP0021578")</f>
        <v>Ford F250 2017 (Moby Dix) - DEP0021578</v>
      </c>
      <c r="N123" t="str">
        <f>IFERROR(__xludf.DUMMYFUNCTION("""COMPUTED_VALUE"""),"Pam Marcum, (480) 332-5414")</f>
        <v>Pam Marcum, (480) 332-5414</v>
      </c>
      <c r="O123" t="str">
        <f>IFERROR(__xludf.DUMMYFUNCTION("""COMPUTED_VALUE"""),"Gabriela Canas, (904) 891-9743, Matt Hayes, Lorae, Emily, Adam, Sam Chapman")</f>
        <v>Gabriela Canas, (904) 891-9743, Matt Hayes, Lorae, Emily, Adam, Sam Chapman</v>
      </c>
      <c r="P123" t="str">
        <f>IFERROR(__xludf.DUMMYFUNCTION("""COMPUTED_VALUE"""),"Pamela Marcum")</f>
        <v>Pamela Marcum</v>
      </c>
      <c r="Q123" t="str">
        <f>IFERROR(__xludf.DUMMYFUNCTION("""COMPUTED_VALUE"""),"Good")</f>
        <v>Good</v>
      </c>
      <c r="R123" t="str">
        <f>IFERROR(__xludf.DUMMYFUNCTION("""COMPUTED_VALUE"""),"Good")</f>
        <v>Good</v>
      </c>
      <c r="S123" t="str">
        <f>IFERROR(__xludf.DUMMYFUNCTION("""COMPUTED_VALUE"""),"Good")</f>
        <v>Good</v>
      </c>
      <c r="T123" t="str">
        <f>IFERROR(__xludf.DUMMYFUNCTION("""COMPUTED_VALUE"""),"Good")</f>
        <v>Good</v>
      </c>
      <c r="U123" t="str">
        <f>IFERROR(__xludf.DUMMYFUNCTION("""COMPUTED_VALUE"""),"Good")</f>
        <v>Good</v>
      </c>
      <c r="V123" t="str">
        <f>IFERROR(__xludf.DUMMYFUNCTION("""COMPUTED_VALUE"""),"Good")</f>
        <v>Good</v>
      </c>
      <c r="W123" t="str">
        <f>IFERROR(__xludf.DUMMYFUNCTION("""COMPUTED_VALUE"""),"Good")</f>
        <v>Good</v>
      </c>
      <c r="X123" t="str">
        <f>IFERROR(__xludf.DUMMYFUNCTION("""COMPUTED_VALUE"""),"Good")</f>
        <v>Good</v>
      </c>
      <c r="Y123" t="str">
        <f>IFERROR(__xludf.DUMMYFUNCTION("""COMPUTED_VALUE"""),"Good")</f>
        <v>Good</v>
      </c>
      <c r="Z123" t="str">
        <f>IFERROR(__xludf.DUMMYFUNCTION("""COMPUTED_VALUE"""),"Good")</f>
        <v>Good</v>
      </c>
      <c r="AA123" t="str">
        <f>IFERROR(__xludf.DUMMYFUNCTION("""COMPUTED_VALUE"""),"Good")</f>
        <v>Good</v>
      </c>
      <c r="AB123" t="str">
        <f>IFERROR(__xludf.DUMMYFUNCTION("""COMPUTED_VALUE"""),"Good")</f>
        <v>Good</v>
      </c>
      <c r="AC123" t="str">
        <f>IFERROR(__xludf.DUMMYFUNCTION("""COMPUTED_VALUE"""),"Good")</f>
        <v>Good</v>
      </c>
      <c r="AE123" s="11"/>
      <c r="AF123" t="s">
        <v>218</v>
      </c>
      <c r="AG123" s="17" t="s">
        <v>18</v>
      </c>
      <c r="AH123" s="12">
        <v>1449.0</v>
      </c>
      <c r="AI123" s="12" t="s">
        <v>313</v>
      </c>
      <c r="AJ123" s="19" t="s">
        <v>314</v>
      </c>
      <c r="AK123" s="20" t="str">
        <f>HYPERLINK("https://docs.google.com/document/d/1c5DkI6jJ5VBQm3EWgcA563cNGIBizGgTtaIKGIJ2dE8/edit?usp=drivesdk","Pamela Marcum - 8/8/2018 9:00 AM")</f>
        <v>Pamela Marcum - 8/8/2018 9:00 AM</v>
      </c>
      <c r="AL123" s="12" t="s">
        <v>315</v>
      </c>
    </row>
    <row r="124">
      <c r="A124" s="10">
        <f>IFERROR(__xludf.DUMMYFUNCTION("""COMPUTED_VALUE"""),43322.35431465278)</f>
        <v>43322.35431</v>
      </c>
      <c r="B124" s="11" t="str">
        <f>IFERROR(__xludf.DUMMYFUNCTION("""COMPUTED_VALUE"""),"Silas Tanner")</f>
        <v>Silas Tanner</v>
      </c>
      <c r="C124" t="str">
        <f>IFERROR(__xludf.DUMMYFUNCTION("""COMPUTED_VALUE"""),"Silas.tanner@floridadep.gov")</f>
        <v>Silas.tanner@floridadep.gov</v>
      </c>
      <c r="D124" t="str">
        <f>IFERROR(__xludf.DUMMYFUNCTION("""COMPUTED_VALUE"""),"Research/Nikki")</f>
        <v>Research/Nikki</v>
      </c>
      <c r="E124" t="str">
        <f>IFERROR(__xludf.DUMMYFUNCTION("""COMPUTED_VALUE"""),"Bing's")</f>
        <v>Bing's</v>
      </c>
      <c r="F124" s="13">
        <f>IFERROR(__xludf.DUMMYFUNCTION("""COMPUTED_VALUE"""),0.4375)</f>
        <v>0.4375</v>
      </c>
      <c r="G124" s="14">
        <f>IFERROR(__xludf.DUMMYFUNCTION("""COMPUTED_VALUE"""),43322.0)</f>
        <v>43322</v>
      </c>
      <c r="H124" t="str">
        <f>IFERROR(__xludf.DUMMYFUNCTION("""COMPUTED_VALUE"""),"ICW - Rattlesnake Is. to Bing's")</f>
        <v>ICW - Rattlesnake Is. to Bing's</v>
      </c>
      <c r="I124" s="15">
        <f>IFERROR(__xludf.DUMMYFUNCTION("""COMPUTED_VALUE"""),0.5416666666678793)</f>
        <v>0.5416666667</v>
      </c>
      <c r="J124" s="16">
        <f>IFERROR(__xludf.DUMMYFUNCTION("""COMPUTED_VALUE"""),43322.625)</f>
        <v>43322.625</v>
      </c>
      <c r="K124" t="str">
        <f>IFERROR(__xludf.DUMMYFUNCTION("""COMPUTED_VALUE"""),"23ft Skiff (Bertha) FL7972LJ DEP07613")</f>
        <v>23ft Skiff (Bertha) FL7972LJ DEP07613</v>
      </c>
      <c r="M124" t="str">
        <f>IFERROR(__xludf.DUMMYFUNCTION("""COMPUTED_VALUE"""),"Ford F250 2017 (Moby Dix) - DEP0021578")</f>
        <v>Ford F250 2017 (Moby Dix) - DEP0021578</v>
      </c>
      <c r="N124" t="str">
        <f>IFERROR(__xludf.DUMMYFUNCTION("""COMPUTED_VALUE"""),"Shannon Dunnigan, (803) 727-5734, Silas Tanner, (904) 483-8423")</f>
        <v>Shannon Dunnigan, (803) 727-5734, Silas Tanner, (904) 483-8423</v>
      </c>
      <c r="O124" t="str">
        <f>IFERROR(__xludf.DUMMYFUNCTION("""COMPUTED_VALUE"""),"Suzi Porterfield, Matt Brown, Westly Woodward")</f>
        <v>Suzi Porterfield, Matt Brown, Westly Woodward</v>
      </c>
      <c r="P124" t="str">
        <f>IFERROR(__xludf.DUMMYFUNCTION("""COMPUTED_VALUE"""),"Shannon Dunnigan")</f>
        <v>Shannon Dunnigan</v>
      </c>
      <c r="Q124" t="str">
        <f>IFERROR(__xludf.DUMMYFUNCTION("""COMPUTED_VALUE"""),"Good")</f>
        <v>Good</v>
      </c>
      <c r="R124" t="str">
        <f>IFERROR(__xludf.DUMMYFUNCTION("""COMPUTED_VALUE"""),"Good")</f>
        <v>Good</v>
      </c>
      <c r="S124" t="str">
        <f>IFERROR(__xludf.DUMMYFUNCTION("""COMPUTED_VALUE"""),"Good")</f>
        <v>Good</v>
      </c>
      <c r="T124" t="str">
        <f>IFERROR(__xludf.DUMMYFUNCTION("""COMPUTED_VALUE"""),"Good")</f>
        <v>Good</v>
      </c>
      <c r="U124" t="str">
        <f>IFERROR(__xludf.DUMMYFUNCTION("""COMPUTED_VALUE"""),"Good")</f>
        <v>Good</v>
      </c>
      <c r="V124" t="str">
        <f>IFERROR(__xludf.DUMMYFUNCTION("""COMPUTED_VALUE"""),"Good")</f>
        <v>Good</v>
      </c>
      <c r="W124" t="str">
        <f>IFERROR(__xludf.DUMMYFUNCTION("""COMPUTED_VALUE"""),"Good")</f>
        <v>Good</v>
      </c>
      <c r="X124" t="str">
        <f>IFERROR(__xludf.DUMMYFUNCTION("""COMPUTED_VALUE"""),"Good")</f>
        <v>Good</v>
      </c>
      <c r="Y124" t="str">
        <f>IFERROR(__xludf.DUMMYFUNCTION("""COMPUTED_VALUE"""),"Good")</f>
        <v>Good</v>
      </c>
      <c r="Z124" t="str">
        <f>IFERROR(__xludf.DUMMYFUNCTION("""COMPUTED_VALUE"""),"Good")</f>
        <v>Good</v>
      </c>
      <c r="AA124" t="str">
        <f>IFERROR(__xludf.DUMMYFUNCTION("""COMPUTED_VALUE"""),"Good")</f>
        <v>Good</v>
      </c>
      <c r="AB124" t="str">
        <f>IFERROR(__xludf.DUMMYFUNCTION("""COMPUTED_VALUE"""),"Good")</f>
        <v>Good</v>
      </c>
      <c r="AC124" t="str">
        <f>IFERROR(__xludf.DUMMYFUNCTION("""COMPUTED_VALUE"""),"Good")</f>
        <v>Good</v>
      </c>
      <c r="AE124" s="11"/>
      <c r="AF124" t="s">
        <v>218</v>
      </c>
      <c r="AG124" s="17" t="s">
        <v>43</v>
      </c>
      <c r="AH124" s="12">
        <v>1250.0</v>
      </c>
      <c r="AI124" s="12" t="s">
        <v>316</v>
      </c>
      <c r="AJ124" s="19" t="s">
        <v>317</v>
      </c>
      <c r="AK124" s="20" t="str">
        <f>HYPERLINK("https://docs.google.com/document/d/17sdCynz09IpAwVH5o8CprezXdWWPeoNhVJw4691Iw8A/edit?usp=drivesdk","Silas Tanner - 8/10/2018 10:30 AM")</f>
        <v>Silas Tanner - 8/10/2018 10:30 AM</v>
      </c>
      <c r="AL124" s="12" t="s">
        <v>318</v>
      </c>
    </row>
    <row r="125">
      <c r="A125" s="10">
        <f>IFERROR(__xludf.DUMMYFUNCTION("""COMPUTED_VALUE"""),43323.54032908564)</f>
        <v>43323.54033</v>
      </c>
      <c r="B125" s="11" t="str">
        <f>IFERROR(__xludf.DUMMYFUNCTION("""COMPUTED_VALUE"""),"James Tomazinis ")</f>
        <v>James Tomazinis </v>
      </c>
      <c r="C125" t="str">
        <f>IFERROR(__xludf.DUMMYFUNCTION("""COMPUTED_VALUE"""),"james.tomazinis@floridadep.gov")</f>
        <v>james.tomazinis@floridadep.gov</v>
      </c>
      <c r="D125" t="str">
        <f>IFERROR(__xludf.DUMMYFUNCTION("""COMPUTED_VALUE"""),"Stewardship (Aquatic)")</f>
        <v>Stewardship (Aquatic)</v>
      </c>
      <c r="E125" t="str">
        <f>IFERROR(__xludf.DUMMYFUNCTION("""COMPUTED_VALUE"""),"Palatka City Ramp")</f>
        <v>Palatka City Ramp</v>
      </c>
      <c r="F125" s="13">
        <f>IFERROR(__xludf.DUMMYFUNCTION("""COMPUTED_VALUE"""),0.5416666666678793)</f>
        <v>0.5416666667</v>
      </c>
      <c r="G125" s="14">
        <f>IFERROR(__xludf.DUMMYFUNCTION("""COMPUTED_VALUE"""),43323.0)</f>
        <v>43323</v>
      </c>
      <c r="H125" t="str">
        <f>IFERROR(__xludf.DUMMYFUNCTION("""COMPUTED_VALUE"""),"St. John's River near Palatka")</f>
        <v>St. John's River near Palatka</v>
      </c>
      <c r="I125" s="15">
        <f>IFERROR(__xludf.DUMMYFUNCTION("""COMPUTED_VALUE"""),0.7083333333321207)</f>
        <v>0.7083333333</v>
      </c>
      <c r="J125" s="16"/>
      <c r="K125" t="str">
        <f>IFERROR(__xludf.DUMMYFUNCTION("""COMPUTED_VALUE"""),"17ft Skill FL0642GW DEP07239")</f>
        <v>17ft Skill FL0642GW DEP07239</v>
      </c>
      <c r="M125" t="str">
        <f>IFERROR(__xludf.DUMMYFUNCTION("""COMPUTED_VALUE"""),"Ford F150 2015 (White) - DEP21448")</f>
        <v>Ford F150 2015 (White) - DEP21448</v>
      </c>
      <c r="N125" t="str">
        <f>IFERROR(__xludf.DUMMYFUNCTION("""COMPUTED_VALUE"""),"Jimmy Tomazinis, (904) 547-0094")</f>
        <v>Jimmy Tomazinis, (904) 547-0094</v>
      </c>
      <c r="P125" t="str">
        <f>IFERROR(__xludf.DUMMYFUNCTION("""COMPUTED_VALUE"""),"Jimmy")</f>
        <v>Jimmy</v>
      </c>
      <c r="Q125" t="str">
        <f>IFERROR(__xludf.DUMMYFUNCTION("""COMPUTED_VALUE"""),"Good")</f>
        <v>Good</v>
      </c>
      <c r="R125" t="str">
        <f>IFERROR(__xludf.DUMMYFUNCTION("""COMPUTED_VALUE"""),"Good")</f>
        <v>Good</v>
      </c>
      <c r="S125" t="str">
        <f>IFERROR(__xludf.DUMMYFUNCTION("""COMPUTED_VALUE"""),"Good")</f>
        <v>Good</v>
      </c>
      <c r="T125" t="str">
        <f>IFERROR(__xludf.DUMMYFUNCTION("""COMPUTED_VALUE"""),"Good")</f>
        <v>Good</v>
      </c>
      <c r="U125" t="str">
        <f>IFERROR(__xludf.DUMMYFUNCTION("""COMPUTED_VALUE"""),"Good")</f>
        <v>Good</v>
      </c>
      <c r="V125" t="str">
        <f>IFERROR(__xludf.DUMMYFUNCTION("""COMPUTED_VALUE"""),"Good")</f>
        <v>Good</v>
      </c>
      <c r="W125" t="str">
        <f>IFERROR(__xludf.DUMMYFUNCTION("""COMPUTED_VALUE"""),"Good")</f>
        <v>Good</v>
      </c>
      <c r="X125" t="str">
        <f>IFERROR(__xludf.DUMMYFUNCTION("""COMPUTED_VALUE"""),"Good")</f>
        <v>Good</v>
      </c>
      <c r="Y125" t="str">
        <f>IFERROR(__xludf.DUMMYFUNCTION("""COMPUTED_VALUE"""),"Good")</f>
        <v>Good</v>
      </c>
      <c r="Z125" t="str">
        <f>IFERROR(__xludf.DUMMYFUNCTION("""COMPUTED_VALUE"""),"Good")</f>
        <v>Good</v>
      </c>
      <c r="AA125" t="str">
        <f>IFERROR(__xludf.DUMMYFUNCTION("""COMPUTED_VALUE"""),"Good")</f>
        <v>Good</v>
      </c>
      <c r="AB125" t="str">
        <f>IFERROR(__xludf.DUMMYFUNCTION("""COMPUTED_VALUE"""),"Good")</f>
        <v>Good</v>
      </c>
      <c r="AC125" t="str">
        <f>IFERROR(__xludf.DUMMYFUNCTION("""COMPUTED_VALUE"""),"Good")</f>
        <v>Good</v>
      </c>
      <c r="AE125" s="11"/>
      <c r="AF125" t="s">
        <v>32</v>
      </c>
      <c r="AG125" s="17" t="s">
        <v>22</v>
      </c>
      <c r="AH125" s="12">
        <v>1531.0</v>
      </c>
      <c r="AI125" s="12" t="s">
        <v>319</v>
      </c>
      <c r="AJ125" s="19" t="s">
        <v>320</v>
      </c>
      <c r="AK125" s="20" t="str">
        <f>HYPERLINK("https://docs.google.com/document/d/1ewslJEYMYiLWpQVfKwKUIdB5aER5uzJ2SHLwyC5bnho/edit?usp=drivesdk","James Tomazinis  - 8/11/2018 1:00 PM")</f>
        <v>James Tomazinis  - 8/11/2018 1:00 PM</v>
      </c>
      <c r="AL125" s="12" t="s">
        <v>321</v>
      </c>
    </row>
    <row r="126">
      <c r="A126" s="10">
        <f>IFERROR(__xludf.DUMMYFUNCTION("""COMPUTED_VALUE"""),43326.45093533564)</f>
        <v>43326.45094</v>
      </c>
      <c r="B126" s="11" t="str">
        <f>IFERROR(__xludf.DUMMYFUNCTION("""COMPUTED_VALUE"""),"Kenneth Rainer")</f>
        <v>Kenneth Rainer</v>
      </c>
      <c r="C126" t="str">
        <f>IFERROR(__xludf.DUMMYFUNCTION("""COMPUTED_VALUE"""),"Kenneth.Rainer@dep.state.fl.us")</f>
        <v>Kenneth.Rainer@dep.state.fl.us</v>
      </c>
      <c r="D126" t="str">
        <f>IFERROR(__xludf.DUMMYFUNCTION("""COMPUTED_VALUE"""),"Education")</f>
        <v>Education</v>
      </c>
      <c r="E126" t="str">
        <f>IFERROR(__xludf.DUMMYFUNCTION("""COMPUTED_VALUE"""),"Usina Boat Ramp")</f>
        <v>Usina Boat Ramp</v>
      </c>
      <c r="F126" s="13">
        <f>IFERROR(__xludf.DUMMYFUNCTION("""COMPUTED_VALUE"""),0.5416666666678793)</f>
        <v>0.5416666667</v>
      </c>
      <c r="G126" s="14">
        <f>IFERROR(__xludf.DUMMYFUNCTION("""COMPUTED_VALUE"""),43326.0)</f>
        <v>43326</v>
      </c>
      <c r="H126" t="str">
        <f>IFERROR(__xludf.DUMMYFUNCTION("""COMPUTED_VALUE"""),"Northern Component")</f>
        <v>Northern Component</v>
      </c>
      <c r="I126" s="15">
        <f>IFERROR(__xludf.DUMMYFUNCTION("""COMPUTED_VALUE"""),0.6666666666678793)</f>
        <v>0.6666666667</v>
      </c>
      <c r="J126" s="16">
        <f>IFERROR(__xludf.DUMMYFUNCTION("""COMPUTED_VALUE"""),43326.6875)</f>
        <v>43326.6875</v>
      </c>
      <c r="K126" t="str">
        <f>IFERROR(__xludf.DUMMYFUNCTION("""COMPUTED_VALUE"""),"23ft Skiff (Bertha) FL7972LJ DEP07613")</f>
        <v>23ft Skiff (Bertha) FL7972LJ DEP07613</v>
      </c>
      <c r="M126" t="str">
        <f>IFERROR(__xludf.DUMMYFUNCTION("""COMPUTED_VALUE"""),"Ford F250 2017 (Moby Dix) - DEP0021578")</f>
        <v>Ford F250 2017 (Moby Dix) - DEP0021578</v>
      </c>
      <c r="N126" t="str">
        <f>IFERROR(__xludf.DUMMYFUNCTION("""COMPUTED_VALUE"""),"Kenneth Rainer, (936) 499-1853")</f>
        <v>Kenneth Rainer, (936) 499-1853</v>
      </c>
      <c r="O126" t="str">
        <f>IFERROR(__xludf.DUMMYFUNCTION("""COMPUTED_VALUE"""),"Master Naturalist Coastal Restoration Class")</f>
        <v>Master Naturalist Coastal Restoration Class</v>
      </c>
      <c r="P126" t="str">
        <f>IFERROR(__xludf.DUMMYFUNCTION("""COMPUTED_VALUE"""),"Kenneth Rainer")</f>
        <v>Kenneth Rainer</v>
      </c>
      <c r="Q126" t="str">
        <f>IFERROR(__xludf.DUMMYFUNCTION("""COMPUTED_VALUE"""),"Good")</f>
        <v>Good</v>
      </c>
      <c r="R126" t="str">
        <f>IFERROR(__xludf.DUMMYFUNCTION("""COMPUTED_VALUE"""),"Good")</f>
        <v>Good</v>
      </c>
      <c r="S126" t="str">
        <f>IFERROR(__xludf.DUMMYFUNCTION("""COMPUTED_VALUE"""),"Good")</f>
        <v>Good</v>
      </c>
      <c r="T126" t="str">
        <f>IFERROR(__xludf.DUMMYFUNCTION("""COMPUTED_VALUE"""),"Good")</f>
        <v>Good</v>
      </c>
      <c r="U126" t="str">
        <f>IFERROR(__xludf.DUMMYFUNCTION("""COMPUTED_VALUE"""),"Good")</f>
        <v>Good</v>
      </c>
      <c r="V126" t="str">
        <f>IFERROR(__xludf.DUMMYFUNCTION("""COMPUTED_VALUE"""),"Good")</f>
        <v>Good</v>
      </c>
      <c r="W126" t="str">
        <f>IFERROR(__xludf.DUMMYFUNCTION("""COMPUTED_VALUE"""),"Good")</f>
        <v>Good</v>
      </c>
      <c r="X126" t="str">
        <f>IFERROR(__xludf.DUMMYFUNCTION("""COMPUTED_VALUE"""),"Good")</f>
        <v>Good</v>
      </c>
      <c r="Y126" t="str">
        <f>IFERROR(__xludf.DUMMYFUNCTION("""COMPUTED_VALUE"""),"Good")</f>
        <v>Good</v>
      </c>
      <c r="Z126" t="str">
        <f>IFERROR(__xludf.DUMMYFUNCTION("""COMPUTED_VALUE"""),"Good")</f>
        <v>Good</v>
      </c>
      <c r="AA126" t="str">
        <f>IFERROR(__xludf.DUMMYFUNCTION("""COMPUTED_VALUE"""),"Good")</f>
        <v>Good</v>
      </c>
      <c r="AB126" t="str">
        <f>IFERROR(__xludf.DUMMYFUNCTION("""COMPUTED_VALUE"""),"Good")</f>
        <v>Good</v>
      </c>
      <c r="AC126" t="str">
        <f>IFERROR(__xludf.DUMMYFUNCTION("""COMPUTED_VALUE"""),"Good")</f>
        <v>Good</v>
      </c>
      <c r="AD126" t="str">
        <f>IFERROR(__xludf.DUMMYFUNCTION("""COMPUTED_VALUE"""),"Partly cloudy with afternoon showers or thunderstorms. High 87F. Winds SSE at 10 to 15 mph. Chance of rain 40%.")</f>
        <v>Partly cloudy with afternoon showers or thunderstorms. High 87F. Winds SSE at 10 to 15 mph. Chance of rain 40%.</v>
      </c>
      <c r="AE126" s="11" t="str">
        <f>IFERROR(__xludf.DUMMYFUNCTION("""COMPUTED_VALUE"""),"11:46 AM, 5.39ft, H; 5:50 PM, 0.11ft, L")</f>
        <v>11:46 AM, 5.39ft, H; 5:50 PM, 0.11ft, L</v>
      </c>
      <c r="AF126" t="s">
        <v>9</v>
      </c>
      <c r="AG126" s="17" t="s">
        <v>18</v>
      </c>
      <c r="AH126" s="12">
        <v>1440.0</v>
      </c>
      <c r="AI126" s="12" t="s">
        <v>322</v>
      </c>
      <c r="AJ126" s="19" t="s">
        <v>323</v>
      </c>
      <c r="AK126" s="20" t="str">
        <f>HYPERLINK("https://docs.google.com/document/d/1UoUokpEmpx5df0h6r4uANvSRcZZUW8I676NwUPCYPfg/edit?usp=drivesdk","Kenneth Rainer - 8/14/2018 1:00 PM")</f>
        <v>Kenneth Rainer - 8/14/2018 1:00 PM</v>
      </c>
      <c r="AL126" s="12" t="s">
        <v>324</v>
      </c>
    </row>
    <row r="127">
      <c r="A127" s="10">
        <f>IFERROR(__xludf.DUMMYFUNCTION("""COMPUTED_VALUE"""),43326.49895987269)</f>
        <v>43326.49896</v>
      </c>
      <c r="B127" s="11" t="str">
        <f>IFERROR(__xludf.DUMMYFUNCTION("""COMPUTED_VALUE"""),"Jimmy Tomazinis")</f>
        <v>Jimmy Tomazinis</v>
      </c>
      <c r="C127" t="str">
        <f>IFERROR(__xludf.DUMMYFUNCTION("""COMPUTED_VALUE"""),"James.Tomazinis@floridadep.gov")</f>
        <v>James.Tomazinis@floridadep.gov</v>
      </c>
      <c r="D127" t="str">
        <f>IFERROR(__xludf.DUMMYFUNCTION("""COMPUTED_VALUE"""),"Stewardship (Aquatic)")</f>
        <v>Stewardship (Aquatic)</v>
      </c>
      <c r="E127" t="str">
        <f>IFERROR(__xludf.DUMMYFUNCTION("""COMPUTED_VALUE"""),"Aunt Kates")</f>
        <v>Aunt Kates</v>
      </c>
      <c r="F127" s="13">
        <f>IFERROR(__xludf.DUMMYFUNCTION("""COMPUTED_VALUE"""),0.5416666666678793)</f>
        <v>0.5416666667</v>
      </c>
      <c r="G127" s="14">
        <f>IFERROR(__xludf.DUMMYFUNCTION("""COMPUTED_VALUE"""),43326.0)</f>
        <v>43326</v>
      </c>
      <c r="H127" t="str">
        <f>IFERROR(__xludf.DUMMYFUNCTION("""COMPUTED_VALUE"""),"ICW (with Kenneth)")</f>
        <v>ICW (with Kenneth)</v>
      </c>
      <c r="I127" s="15">
        <f>IFERROR(__xludf.DUMMYFUNCTION("""COMPUTED_VALUE"""),0.6875)</f>
        <v>0.6875</v>
      </c>
      <c r="J127" s="16">
        <f>IFERROR(__xludf.DUMMYFUNCTION("""COMPUTED_VALUE"""),43326.70833333333)</f>
        <v>43326.70833</v>
      </c>
      <c r="K127" t="str">
        <f>IFERROR(__xludf.DUMMYFUNCTION("""COMPUTED_VALUE"""),"F 20ft Sea Ark (Easy 200) FL8534PY DEP21451")</f>
        <v>F 20ft Sea Ark (Easy 200) FL8534PY DEP21451</v>
      </c>
      <c r="M127" t="str">
        <f>IFERROR(__xludf.DUMMYFUNCTION("""COMPUTED_VALUE"""),"Ford F150 2015 (White) - DEP21448")</f>
        <v>Ford F150 2015 (White) - DEP21448</v>
      </c>
      <c r="N127" t="str">
        <f>IFERROR(__xludf.DUMMYFUNCTION("""COMPUTED_VALUE"""),"Jimmy Tomazinis, (904) 547-0094")</f>
        <v>Jimmy Tomazinis, (904) 547-0094</v>
      </c>
      <c r="O127" t="str">
        <f>IFERROR(__xludf.DUMMYFUNCTION("""COMPUTED_VALUE"""),"Florida Master Naturalist Course")</f>
        <v>Florida Master Naturalist Course</v>
      </c>
      <c r="P127" t="str">
        <f>IFERROR(__xludf.DUMMYFUNCTION("""COMPUTED_VALUE"""),"Jimmy Tomazinis")</f>
        <v>Jimmy Tomazinis</v>
      </c>
      <c r="Q127" t="str">
        <f>IFERROR(__xludf.DUMMYFUNCTION("""COMPUTED_VALUE"""),"Good")</f>
        <v>Good</v>
      </c>
      <c r="R127" t="str">
        <f>IFERROR(__xludf.DUMMYFUNCTION("""COMPUTED_VALUE"""),"Good")</f>
        <v>Good</v>
      </c>
      <c r="S127" t="str">
        <f>IFERROR(__xludf.DUMMYFUNCTION("""COMPUTED_VALUE"""),"Good")</f>
        <v>Good</v>
      </c>
      <c r="T127" t="str">
        <f>IFERROR(__xludf.DUMMYFUNCTION("""COMPUTED_VALUE"""),"Good")</f>
        <v>Good</v>
      </c>
      <c r="U127" t="str">
        <f>IFERROR(__xludf.DUMMYFUNCTION("""COMPUTED_VALUE"""),"Good")</f>
        <v>Good</v>
      </c>
      <c r="V127" t="str">
        <f>IFERROR(__xludf.DUMMYFUNCTION("""COMPUTED_VALUE"""),"Good")</f>
        <v>Good</v>
      </c>
      <c r="W127" t="str">
        <f>IFERROR(__xludf.DUMMYFUNCTION("""COMPUTED_VALUE"""),"Good")</f>
        <v>Good</v>
      </c>
      <c r="X127" t="str">
        <f>IFERROR(__xludf.DUMMYFUNCTION("""COMPUTED_VALUE"""),"Good")</f>
        <v>Good</v>
      </c>
      <c r="Y127" t="str">
        <f>IFERROR(__xludf.DUMMYFUNCTION("""COMPUTED_VALUE"""),"Good")</f>
        <v>Good</v>
      </c>
      <c r="Z127" t="str">
        <f>IFERROR(__xludf.DUMMYFUNCTION("""COMPUTED_VALUE"""),"Good")</f>
        <v>Good</v>
      </c>
      <c r="AA127" t="str">
        <f>IFERROR(__xludf.DUMMYFUNCTION("""COMPUTED_VALUE"""),"Good")</f>
        <v>Good</v>
      </c>
      <c r="AB127" t="str">
        <f>IFERROR(__xludf.DUMMYFUNCTION("""COMPUTED_VALUE"""),"Good")</f>
        <v>Good</v>
      </c>
      <c r="AC127" t="str">
        <f>IFERROR(__xludf.DUMMYFUNCTION("""COMPUTED_VALUE"""),"Good")</f>
        <v>Good</v>
      </c>
      <c r="AE127" s="11"/>
      <c r="AF127" t="s">
        <v>32</v>
      </c>
      <c r="AG127" s="17" t="s">
        <v>18</v>
      </c>
      <c r="AH127" s="12">
        <v>1440.0</v>
      </c>
      <c r="AI127" s="12" t="s">
        <v>325</v>
      </c>
      <c r="AJ127" s="19" t="s">
        <v>326</v>
      </c>
      <c r="AK127" s="20" t="str">
        <f>HYPERLINK("https://docs.google.com/document/d/1Zr-dHoYFPh8hWNtbTV1mMdu01l2o95lPBKDPC730sdw/edit?usp=drivesdk","Jimmy Tomazinis - 8/14/2018 1:00 PM")</f>
        <v>Jimmy Tomazinis - 8/14/2018 1:00 PM</v>
      </c>
      <c r="AL127" s="12" t="s">
        <v>327</v>
      </c>
    </row>
    <row r="128">
      <c r="A128" s="10">
        <f>IFERROR(__xludf.DUMMYFUNCTION("""COMPUTED_VALUE"""),43327.41478663195)</f>
        <v>43327.41479</v>
      </c>
      <c r="B128" s="11" t="str">
        <f>IFERROR(__xludf.DUMMYFUNCTION("""COMPUTED_VALUE"""),"Ben Mowbray")</f>
        <v>Ben Mowbray</v>
      </c>
      <c r="C128" t="str">
        <f>IFERROR(__xludf.DUMMYFUNCTION("""COMPUTED_VALUE"""),"ben.mowbray@dep.state.fl.us")</f>
        <v>ben.mowbray@dep.state.fl.us</v>
      </c>
      <c r="D128" t="str">
        <f>IFERROR(__xludf.DUMMYFUNCTION("""COMPUTED_VALUE"""),"Research/Nikki")</f>
        <v>Research/Nikki</v>
      </c>
      <c r="E128" t="str">
        <f>IFERROR(__xludf.DUMMYFUNCTION("""COMPUTED_VALUE"""),"Bing's")</f>
        <v>Bing's</v>
      </c>
      <c r="F128" s="13">
        <f>IFERROR(__xludf.DUMMYFUNCTION("""COMPUTED_VALUE"""),0.5416666666678793)</f>
        <v>0.5416666667</v>
      </c>
      <c r="G128" s="14">
        <f>IFERROR(__xludf.DUMMYFUNCTION("""COMPUTED_VALUE"""),43327.0)</f>
        <v>43327</v>
      </c>
      <c r="H128" t="str">
        <f>IFERROR(__xludf.DUMMYFUNCTION("""COMPUTED_VALUE"""),"Training exercises")</f>
        <v>Training exercises</v>
      </c>
      <c r="I128" s="15">
        <f>IFERROR(__xludf.DUMMYFUNCTION("""COMPUTED_VALUE"""),0.625)</f>
        <v>0.625</v>
      </c>
      <c r="J128" s="16">
        <f>IFERROR(__xludf.DUMMYFUNCTION("""COMPUTED_VALUE"""),43327.66666666667)</f>
        <v>43327.66667</v>
      </c>
      <c r="K128" t="str">
        <f>IFERROR(__xludf.DUMMYFUNCTION("""COMPUTED_VALUE"""),"23ft Skiff (Bertha) FL7972LJ DEP07613")</f>
        <v>23ft Skiff (Bertha) FL7972LJ DEP07613</v>
      </c>
      <c r="M128" t="str">
        <f>IFERROR(__xludf.DUMMYFUNCTION("""COMPUTED_VALUE"""),"Ford F250 2017 (Moby Dix) - DEP0021578")</f>
        <v>Ford F250 2017 (Moby Dix) - DEP0021578</v>
      </c>
      <c r="N128" t="str">
        <f>IFERROR(__xludf.DUMMYFUNCTION("""COMPUTED_VALUE"""),"Pam Marcum, (480) 332-5414, Ben Mowbray, (407) 962-8782")</f>
        <v>Pam Marcum, (480) 332-5414, Ben Mowbray, (407) 962-8782</v>
      </c>
      <c r="P128" t="str">
        <f>IFERROR(__xludf.DUMMYFUNCTION("""COMPUTED_VALUE"""),"Ben")</f>
        <v>Ben</v>
      </c>
      <c r="Q128" t="str">
        <f>IFERROR(__xludf.DUMMYFUNCTION("""COMPUTED_VALUE"""),"Good")</f>
        <v>Good</v>
      </c>
      <c r="R128" t="str">
        <f>IFERROR(__xludf.DUMMYFUNCTION("""COMPUTED_VALUE"""),"Good")</f>
        <v>Good</v>
      </c>
      <c r="S128" t="str">
        <f>IFERROR(__xludf.DUMMYFUNCTION("""COMPUTED_VALUE"""),"Good")</f>
        <v>Good</v>
      </c>
      <c r="T128" t="str">
        <f>IFERROR(__xludf.DUMMYFUNCTION("""COMPUTED_VALUE"""),"Good")</f>
        <v>Good</v>
      </c>
      <c r="U128" t="str">
        <f>IFERROR(__xludf.DUMMYFUNCTION("""COMPUTED_VALUE"""),"Good")</f>
        <v>Good</v>
      </c>
      <c r="V128" t="str">
        <f>IFERROR(__xludf.DUMMYFUNCTION("""COMPUTED_VALUE"""),"Good")</f>
        <v>Good</v>
      </c>
      <c r="W128" t="str">
        <f>IFERROR(__xludf.DUMMYFUNCTION("""COMPUTED_VALUE"""),"Good")</f>
        <v>Good</v>
      </c>
      <c r="X128" t="str">
        <f>IFERROR(__xludf.DUMMYFUNCTION("""COMPUTED_VALUE"""),"Good")</f>
        <v>Good</v>
      </c>
      <c r="Y128" t="str">
        <f>IFERROR(__xludf.DUMMYFUNCTION("""COMPUTED_VALUE"""),"Good")</f>
        <v>Good</v>
      </c>
      <c r="Z128" t="str">
        <f>IFERROR(__xludf.DUMMYFUNCTION("""COMPUTED_VALUE"""),"Good")</f>
        <v>Good</v>
      </c>
      <c r="AA128" t="str">
        <f>IFERROR(__xludf.DUMMYFUNCTION("""COMPUTED_VALUE"""),"Good")</f>
        <v>Good</v>
      </c>
      <c r="AB128" t="str">
        <f>IFERROR(__xludf.DUMMYFUNCTION("""COMPUTED_VALUE"""),"Good")</f>
        <v>Good</v>
      </c>
      <c r="AC128" t="str">
        <f>IFERROR(__xludf.DUMMYFUNCTION("""COMPUTED_VALUE"""),"Good")</f>
        <v>Good</v>
      </c>
      <c r="AE128" s="11"/>
      <c r="AF128" t="s">
        <v>218</v>
      </c>
      <c r="AG128" s="17" t="s">
        <v>43</v>
      </c>
      <c r="AH128" s="12">
        <v>1756.0</v>
      </c>
      <c r="AI128" s="12" t="s">
        <v>328</v>
      </c>
      <c r="AJ128" s="19" t="s">
        <v>329</v>
      </c>
      <c r="AK128" s="20" t="str">
        <f>HYPERLINK("https://docs.google.com/document/d/1ERbNqlmZ7cO96gpNW3hInnDf7lFEo276aaUSKUXyTaw/edit?usp=drivesdk","Ben Mowbray - 8/15/2018 1:00 PM")</f>
        <v>Ben Mowbray - 8/15/2018 1:00 PM</v>
      </c>
      <c r="AL128" s="12" t="s">
        <v>330</v>
      </c>
    </row>
    <row r="129">
      <c r="A129" s="10">
        <f>IFERROR(__xludf.DUMMYFUNCTION("""COMPUTED_VALUE"""),43329.47656545139)</f>
        <v>43329.47657</v>
      </c>
      <c r="B129" s="11" t="str">
        <f>IFERROR(__xludf.DUMMYFUNCTION("""COMPUTED_VALUE"""),"Ben Mowbray")</f>
        <v>Ben Mowbray</v>
      </c>
      <c r="C129" t="str">
        <f>IFERROR(__xludf.DUMMYFUNCTION("""COMPUTED_VALUE"""),"ben.mowbray@dep.state.fl.us")</f>
        <v>ben.mowbray@dep.state.fl.us</v>
      </c>
      <c r="D129" t="str">
        <f>IFERROR(__xludf.DUMMYFUNCTION("""COMPUTED_VALUE"""),"Research/Nikki")</f>
        <v>Research/Nikki</v>
      </c>
      <c r="E129" t="str">
        <f>IFERROR(__xludf.DUMMYFUNCTION("""COMPUTED_VALUE"""),"Aunt Kate's")</f>
        <v>Aunt Kate's</v>
      </c>
      <c r="F129" s="13">
        <f>IFERROR(__xludf.DUMMYFUNCTION("""COMPUTED_VALUE"""),0.34722222222262644)</f>
        <v>0.3472222222</v>
      </c>
      <c r="G129" s="14">
        <f>IFERROR(__xludf.DUMMYFUNCTION("""COMPUTED_VALUE"""),43332.0)</f>
        <v>43332</v>
      </c>
      <c r="H129" t="str">
        <f>IFERROR(__xludf.DUMMYFUNCTION("""COMPUTED_VALUE"""),"Robinson Creek oyster reefs")</f>
        <v>Robinson Creek oyster reefs</v>
      </c>
      <c r="I129" s="15">
        <f>IFERROR(__xludf.DUMMYFUNCTION("""COMPUTED_VALUE"""),0.6388888888905058)</f>
        <v>0.6388888889</v>
      </c>
      <c r="J129" s="16">
        <f>IFERROR(__xludf.DUMMYFUNCTION("""COMPUTED_VALUE"""),43332.65277777778)</f>
        <v>43332.65278</v>
      </c>
      <c r="K129" t="str">
        <f>IFERROR(__xludf.DUMMYFUNCTION("""COMPUTED_VALUE"""),"20ft Sea Ark FL5351SJ UNF 2015")</f>
        <v>20ft Sea Ark FL5351SJ UNF 2015</v>
      </c>
      <c r="M129" t="str">
        <f>IFERROR(__xludf.DUMMYFUNCTION("""COMPUTED_VALUE"""),"Ford F250 2017 (Moby Dix) - DEP0021578")</f>
        <v>Ford F250 2017 (Moby Dix) - DEP0021578</v>
      </c>
      <c r="N129" t="str">
        <f>IFERROR(__xludf.DUMMYFUNCTION("""COMPUTED_VALUE"""),"Pam Marcum, (480) 332-5414, Ben Mowbray, (407) 962-8782")</f>
        <v>Pam Marcum, (480) 332-5414, Ben Mowbray, (407) 962-8782</v>
      </c>
      <c r="O129" t="str">
        <f>IFERROR(__xludf.DUMMYFUNCTION("""COMPUTED_VALUE"""),"four volunteers")</f>
        <v>four volunteers</v>
      </c>
      <c r="P129" t="str">
        <f>IFERROR(__xludf.DUMMYFUNCTION("""COMPUTED_VALUE"""),"Ben")</f>
        <v>Ben</v>
      </c>
      <c r="Q129" t="str">
        <f>IFERROR(__xludf.DUMMYFUNCTION("""COMPUTED_VALUE"""),"Good")</f>
        <v>Good</v>
      </c>
      <c r="R129" t="str">
        <f>IFERROR(__xludf.DUMMYFUNCTION("""COMPUTED_VALUE"""),"Good")</f>
        <v>Good</v>
      </c>
      <c r="S129" t="str">
        <f>IFERROR(__xludf.DUMMYFUNCTION("""COMPUTED_VALUE"""),"Good")</f>
        <v>Good</v>
      </c>
      <c r="T129" t="str">
        <f>IFERROR(__xludf.DUMMYFUNCTION("""COMPUTED_VALUE"""),"Good")</f>
        <v>Good</v>
      </c>
      <c r="U129" t="str">
        <f>IFERROR(__xludf.DUMMYFUNCTION("""COMPUTED_VALUE"""),"Good")</f>
        <v>Good</v>
      </c>
      <c r="V129" t="str">
        <f>IFERROR(__xludf.DUMMYFUNCTION("""COMPUTED_VALUE"""),"Good")</f>
        <v>Good</v>
      </c>
      <c r="W129" t="str">
        <f>IFERROR(__xludf.DUMMYFUNCTION("""COMPUTED_VALUE"""),"Good")</f>
        <v>Good</v>
      </c>
      <c r="X129" t="str">
        <f>IFERROR(__xludf.DUMMYFUNCTION("""COMPUTED_VALUE"""),"Good")</f>
        <v>Good</v>
      </c>
      <c r="Y129" t="str">
        <f>IFERROR(__xludf.DUMMYFUNCTION("""COMPUTED_VALUE"""),"Good")</f>
        <v>Good</v>
      </c>
      <c r="Z129" t="str">
        <f>IFERROR(__xludf.DUMMYFUNCTION("""COMPUTED_VALUE"""),"Good")</f>
        <v>Good</v>
      </c>
      <c r="AA129" t="str">
        <f>IFERROR(__xludf.DUMMYFUNCTION("""COMPUTED_VALUE"""),"Good")</f>
        <v>Good</v>
      </c>
      <c r="AB129" t="str">
        <f>IFERROR(__xludf.DUMMYFUNCTION("""COMPUTED_VALUE"""),"Good")</f>
        <v>Good</v>
      </c>
      <c r="AC129" t="str">
        <f>IFERROR(__xludf.DUMMYFUNCTION("""COMPUTED_VALUE"""),"Good")</f>
        <v>Good</v>
      </c>
      <c r="AE129" s="11"/>
      <c r="AF129" t="s">
        <v>218</v>
      </c>
      <c r="AG129" s="17" t="s">
        <v>18</v>
      </c>
      <c r="AH129" s="12">
        <v>1325.0</v>
      </c>
      <c r="AI129" s="12" t="s">
        <v>331</v>
      </c>
      <c r="AJ129" s="19" t="s">
        <v>332</v>
      </c>
      <c r="AK129" s="20" t="str">
        <f>HYPERLINK("https://docs.google.com/document/d/1Xqh3FggsY2bltRwZowLuBS6_e56PQHzyI4rVU95A2Zg/edit?usp=drivesdk","Ben Mowbray - 8/20/2018 8:20 AM")</f>
        <v>Ben Mowbray - 8/20/2018 8:20 AM</v>
      </c>
      <c r="AL129" s="12" t="s">
        <v>333</v>
      </c>
    </row>
    <row r="130">
      <c r="A130" s="10">
        <f>IFERROR(__xludf.DUMMYFUNCTION("""COMPUTED_VALUE"""),43332.356024120374)</f>
        <v>43332.35602</v>
      </c>
      <c r="B130" s="11" t="str">
        <f>IFERROR(__xludf.DUMMYFUNCTION("""COMPUTED_VALUE"""),"James Tomazinis")</f>
        <v>James Tomazinis</v>
      </c>
      <c r="C130" t="str">
        <f>IFERROR(__xludf.DUMMYFUNCTION("""COMPUTED_VALUE"""),"james.tomazinis@floridadep.gov")</f>
        <v>james.tomazinis@floridadep.gov</v>
      </c>
      <c r="D130" t="str">
        <f>IFERROR(__xludf.DUMMYFUNCTION("""COMPUTED_VALUE"""),"Stewardship (Aquatic)")</f>
        <v>Stewardship (Aquatic)</v>
      </c>
      <c r="E130" t="str">
        <f>IFERROR(__xludf.DUMMYFUNCTION("""COMPUTED_VALUE"""),"Aunt Kates")</f>
        <v>Aunt Kates</v>
      </c>
      <c r="F130" s="13">
        <f>IFERROR(__xludf.DUMMYFUNCTION("""COMPUTED_VALUE"""),0.3958333333321207)</f>
        <v>0.3958333333</v>
      </c>
      <c r="G130" s="14">
        <f>IFERROR(__xludf.DUMMYFUNCTION("""COMPUTED_VALUE"""),43332.0)</f>
        <v>43332</v>
      </c>
      <c r="H130" t="str">
        <f>IFERROR(__xludf.DUMMYFUNCTION("""COMPUTED_VALUE"""),"Tolomato and Guana Rivers")</f>
        <v>Tolomato and Guana Rivers</v>
      </c>
      <c r="I130" s="15">
        <f>IFERROR(__xludf.DUMMYFUNCTION("""COMPUTED_VALUE"""),0.7083333333321207)</f>
        <v>0.7083333333</v>
      </c>
      <c r="J130" s="16"/>
      <c r="K130" t="str">
        <f>IFERROR(__xludf.DUMMYFUNCTION("""COMPUTED_VALUE"""),"23ft Skiff (Bertha) FL7972LJ DEP07613")</f>
        <v>23ft Skiff (Bertha) FL7972LJ DEP07613</v>
      </c>
      <c r="M130" t="str">
        <f>IFERROR(__xludf.DUMMYFUNCTION("""COMPUTED_VALUE"""),"Ford F150 2015 (White) - DEP21448")</f>
        <v>Ford F150 2015 (White) - DEP21448</v>
      </c>
      <c r="N130" t="str">
        <f>IFERROR(__xludf.DUMMYFUNCTION("""COMPUTED_VALUE"""),"Silas Tanner, (904) 483-8423, Jimmy Tomazinis, (904) 547-0094")</f>
        <v>Silas Tanner, (904) 483-8423, Jimmy Tomazinis, (904) 547-0094</v>
      </c>
      <c r="O130" t="str">
        <f>IFERROR(__xludf.DUMMYFUNCTION("""COMPUTED_VALUE"""),"Hunter Mathews")</f>
        <v>Hunter Mathews</v>
      </c>
      <c r="P130" t="str">
        <f>IFERROR(__xludf.DUMMYFUNCTION("""COMPUTED_VALUE"""),"Jimmy")</f>
        <v>Jimmy</v>
      </c>
      <c r="Q130" t="str">
        <f>IFERROR(__xludf.DUMMYFUNCTION("""COMPUTED_VALUE"""),"Good")</f>
        <v>Good</v>
      </c>
      <c r="R130" t="str">
        <f>IFERROR(__xludf.DUMMYFUNCTION("""COMPUTED_VALUE"""),"Good")</f>
        <v>Good</v>
      </c>
      <c r="S130" t="str">
        <f>IFERROR(__xludf.DUMMYFUNCTION("""COMPUTED_VALUE"""),"Good")</f>
        <v>Good</v>
      </c>
      <c r="T130" t="str">
        <f>IFERROR(__xludf.DUMMYFUNCTION("""COMPUTED_VALUE"""),"Good")</f>
        <v>Good</v>
      </c>
      <c r="U130" t="str">
        <f>IFERROR(__xludf.DUMMYFUNCTION("""COMPUTED_VALUE"""),"Good")</f>
        <v>Good</v>
      </c>
      <c r="V130" t="str">
        <f>IFERROR(__xludf.DUMMYFUNCTION("""COMPUTED_VALUE"""),"Good")</f>
        <v>Good</v>
      </c>
      <c r="W130" t="str">
        <f>IFERROR(__xludf.DUMMYFUNCTION("""COMPUTED_VALUE"""),"Good")</f>
        <v>Good</v>
      </c>
      <c r="X130" t="str">
        <f>IFERROR(__xludf.DUMMYFUNCTION("""COMPUTED_VALUE"""),"Good")</f>
        <v>Good</v>
      </c>
      <c r="Y130" t="str">
        <f>IFERROR(__xludf.DUMMYFUNCTION("""COMPUTED_VALUE"""),"Good")</f>
        <v>Good</v>
      </c>
      <c r="Z130" t="str">
        <f>IFERROR(__xludf.DUMMYFUNCTION("""COMPUTED_VALUE"""),"Good")</f>
        <v>Good</v>
      </c>
      <c r="AA130" t="str">
        <f>IFERROR(__xludf.DUMMYFUNCTION("""COMPUTED_VALUE"""),"Good")</f>
        <v>Good</v>
      </c>
      <c r="AB130" t="str">
        <f>IFERROR(__xludf.DUMMYFUNCTION("""COMPUTED_VALUE"""),"Good")</f>
        <v>Good</v>
      </c>
      <c r="AC130" t="str">
        <f>IFERROR(__xludf.DUMMYFUNCTION("""COMPUTED_VALUE"""),"Good")</f>
        <v>Good</v>
      </c>
      <c r="AE130" s="11"/>
      <c r="AF130" t="s">
        <v>32</v>
      </c>
      <c r="AG130" s="17" t="s">
        <v>22</v>
      </c>
      <c r="AH130" s="12">
        <v>1652.0</v>
      </c>
      <c r="AI130" s="12" t="s">
        <v>334</v>
      </c>
      <c r="AJ130" s="19" t="s">
        <v>335</v>
      </c>
      <c r="AK130" s="20" t="str">
        <f>HYPERLINK("https://docs.google.com/document/d/1LabdHmssr2wUehcOV54gssrkT8MfwEnxZTasLs1gtgo/edit?usp=drivesdk","James Tomazinis - 8/20/2018 9:30 AM")</f>
        <v>James Tomazinis - 8/20/2018 9:30 AM</v>
      </c>
      <c r="AL130" s="12" t="s">
        <v>336</v>
      </c>
    </row>
    <row r="131">
      <c r="A131" s="10">
        <f>IFERROR(__xludf.DUMMYFUNCTION("""COMPUTED_VALUE"""),43333.35646248843)</f>
        <v>43333.35646</v>
      </c>
      <c r="B131" s="11" t="str">
        <f>IFERROR(__xludf.DUMMYFUNCTION("""COMPUTED_VALUE"""),"James Tomazinis")</f>
        <v>James Tomazinis</v>
      </c>
      <c r="C131" t="str">
        <f>IFERROR(__xludf.DUMMYFUNCTION("""COMPUTED_VALUE"""),"james.tomazinis@floridadep.gov")</f>
        <v>james.tomazinis@floridadep.gov</v>
      </c>
      <c r="D131" t="str">
        <f>IFERROR(__xludf.DUMMYFUNCTION("""COMPUTED_VALUE"""),"Stewardship (Aquatic)")</f>
        <v>Stewardship (Aquatic)</v>
      </c>
      <c r="E131" t="str">
        <f>IFERROR(__xludf.DUMMYFUNCTION("""COMPUTED_VALUE"""),"Aunt Kates")</f>
        <v>Aunt Kates</v>
      </c>
      <c r="F131" s="13">
        <f>IFERROR(__xludf.DUMMYFUNCTION("""COMPUTED_VALUE"""),0.3958333333321207)</f>
        <v>0.3958333333</v>
      </c>
      <c r="G131" s="14">
        <f>IFERROR(__xludf.DUMMYFUNCTION("""COMPUTED_VALUE"""),43333.0)</f>
        <v>43333</v>
      </c>
      <c r="H131" t="str">
        <f>IFERROR(__xludf.DUMMYFUNCTION("""COMPUTED_VALUE"""),"Tolomato and Guana Rivers")</f>
        <v>Tolomato and Guana Rivers</v>
      </c>
      <c r="I131" s="15">
        <f>IFERROR(__xludf.DUMMYFUNCTION("""COMPUTED_VALUE"""),0.7083333333321207)</f>
        <v>0.7083333333</v>
      </c>
      <c r="J131" s="16"/>
      <c r="K131" t="str">
        <f>IFERROR(__xludf.DUMMYFUNCTION("""COMPUTED_VALUE"""),"23ft Skiff (Bertha) FL7972LJ DEP07613")</f>
        <v>23ft Skiff (Bertha) FL7972LJ DEP07613</v>
      </c>
      <c r="M131" t="str">
        <f>IFERROR(__xludf.DUMMYFUNCTION("""COMPUTED_VALUE"""),"Ford F150 2015 (White) - DEP21448")</f>
        <v>Ford F150 2015 (White) - DEP21448</v>
      </c>
      <c r="N131" t="str">
        <f>IFERROR(__xludf.DUMMYFUNCTION("""COMPUTED_VALUE"""),"Silas Tanner, (904) 483-8423, Jimmy Tomazinis, (904) 547-0094")</f>
        <v>Silas Tanner, (904) 483-8423, Jimmy Tomazinis, (904) 547-0094</v>
      </c>
      <c r="O131" t="str">
        <f>IFERROR(__xludf.DUMMYFUNCTION("""COMPUTED_VALUE"""),"Hunter Mathews and Mike Dickson")</f>
        <v>Hunter Mathews and Mike Dickson</v>
      </c>
      <c r="P131" t="str">
        <f>IFERROR(__xludf.DUMMYFUNCTION("""COMPUTED_VALUE"""),"Jimmy")</f>
        <v>Jimmy</v>
      </c>
      <c r="Q131" t="str">
        <f>IFERROR(__xludf.DUMMYFUNCTION("""COMPUTED_VALUE"""),"Good")</f>
        <v>Good</v>
      </c>
      <c r="R131" t="str">
        <f>IFERROR(__xludf.DUMMYFUNCTION("""COMPUTED_VALUE"""),"Good")</f>
        <v>Good</v>
      </c>
      <c r="S131" t="str">
        <f>IFERROR(__xludf.DUMMYFUNCTION("""COMPUTED_VALUE"""),"Good")</f>
        <v>Good</v>
      </c>
      <c r="T131" t="str">
        <f>IFERROR(__xludf.DUMMYFUNCTION("""COMPUTED_VALUE"""),"Good")</f>
        <v>Good</v>
      </c>
      <c r="U131" t="str">
        <f>IFERROR(__xludf.DUMMYFUNCTION("""COMPUTED_VALUE"""),"Good")</f>
        <v>Good</v>
      </c>
      <c r="V131" t="str">
        <f>IFERROR(__xludf.DUMMYFUNCTION("""COMPUTED_VALUE"""),"Good")</f>
        <v>Good</v>
      </c>
      <c r="W131" t="str">
        <f>IFERROR(__xludf.DUMMYFUNCTION("""COMPUTED_VALUE"""),"Good")</f>
        <v>Good</v>
      </c>
      <c r="X131" t="str">
        <f>IFERROR(__xludf.DUMMYFUNCTION("""COMPUTED_VALUE"""),"Good")</f>
        <v>Good</v>
      </c>
      <c r="Y131" t="str">
        <f>IFERROR(__xludf.DUMMYFUNCTION("""COMPUTED_VALUE"""),"Good")</f>
        <v>Good</v>
      </c>
      <c r="Z131" t="str">
        <f>IFERROR(__xludf.DUMMYFUNCTION("""COMPUTED_VALUE"""),"Good")</f>
        <v>Good</v>
      </c>
      <c r="AA131" t="str">
        <f>IFERROR(__xludf.DUMMYFUNCTION("""COMPUTED_VALUE"""),"Good")</f>
        <v>Good</v>
      </c>
      <c r="AB131" t="str">
        <f>IFERROR(__xludf.DUMMYFUNCTION("""COMPUTED_VALUE"""),"Good")</f>
        <v>Good</v>
      </c>
      <c r="AC131" t="str">
        <f>IFERROR(__xludf.DUMMYFUNCTION("""COMPUTED_VALUE"""),"Good")</f>
        <v>Good</v>
      </c>
      <c r="AE131" s="11"/>
      <c r="AF131" t="s">
        <v>32</v>
      </c>
      <c r="AG131" s="17" t="s">
        <v>18</v>
      </c>
      <c r="AH131" s="12">
        <v>1535.0</v>
      </c>
      <c r="AI131" s="12" t="s">
        <v>337</v>
      </c>
      <c r="AJ131" s="19" t="s">
        <v>338</v>
      </c>
      <c r="AK131" s="20" t="str">
        <f>HYPERLINK("https://docs.google.com/document/d/1q53uSpEdchRnj-Rtxaj4hDDzRXe32da2SRUUmKfdEYs/edit?usp=drivesdk","James Tomazinis - 8/21/2018 9:30 AM")</f>
        <v>James Tomazinis - 8/21/2018 9:30 AM</v>
      </c>
      <c r="AL131" s="12" t="s">
        <v>339</v>
      </c>
    </row>
    <row r="132">
      <c r="A132" s="10">
        <f>IFERROR(__xludf.DUMMYFUNCTION("""COMPUTED_VALUE"""),43333.38058549769)</f>
        <v>43333.38059</v>
      </c>
      <c r="B132" s="11" t="str">
        <f>IFERROR(__xludf.DUMMYFUNCTION("""COMPUTED_VALUE"""),"Ben Mowbray")</f>
        <v>Ben Mowbray</v>
      </c>
      <c r="C132" t="str">
        <f>IFERROR(__xludf.DUMMYFUNCTION("""COMPUTED_VALUE"""),"ben.mowbray@dep.state.fl.us")</f>
        <v>ben.mowbray@dep.state.fl.us</v>
      </c>
      <c r="D132" t="str">
        <f>IFERROR(__xludf.DUMMYFUNCTION("""COMPUTED_VALUE"""),"Research/Nikki")</f>
        <v>Research/Nikki</v>
      </c>
      <c r="E132" t="str">
        <f>IFERROR(__xludf.DUMMYFUNCTION("""COMPUTED_VALUE"""),"Aunt Kate's")</f>
        <v>Aunt Kate's</v>
      </c>
      <c r="F132" s="13">
        <f>IFERROR(__xludf.DUMMYFUNCTION("""COMPUTED_VALUE"""),0.40277777777737356)</f>
        <v>0.4027777778</v>
      </c>
      <c r="G132" s="14">
        <f>IFERROR(__xludf.DUMMYFUNCTION("""COMPUTED_VALUE"""),43333.0)</f>
        <v>43333</v>
      </c>
      <c r="H132" t="str">
        <f>IFERROR(__xludf.DUMMYFUNCTION("""COMPUTED_VALUE"""),"Guana River Reefs")</f>
        <v>Guana River Reefs</v>
      </c>
      <c r="I132" s="15">
        <f>IFERROR(__xludf.DUMMYFUNCTION("""COMPUTED_VALUE"""),0.5625)</f>
        <v>0.5625</v>
      </c>
      <c r="J132" s="16">
        <f>IFERROR(__xludf.DUMMYFUNCTION("""COMPUTED_VALUE"""),43333.58333333333)</f>
        <v>43333.58333</v>
      </c>
      <c r="K132" t="str">
        <f>IFERROR(__xludf.DUMMYFUNCTION("""COMPUTED_VALUE"""),"20ft Sea Ark FL5351SJ UNF 2015")</f>
        <v>20ft Sea Ark FL5351SJ UNF 2015</v>
      </c>
      <c r="M132" t="str">
        <f>IFERROR(__xludf.DUMMYFUNCTION("""COMPUTED_VALUE"""),"Ford F250 2017 (Moby Dix) - DEP0021578")</f>
        <v>Ford F250 2017 (Moby Dix) - DEP0021578</v>
      </c>
      <c r="N132" t="str">
        <f>IFERROR(__xludf.DUMMYFUNCTION("""COMPUTED_VALUE"""),"Pam Marcum, (480) 332-5414, Ben Mowbray, (407) 962-8782, Remo")</f>
        <v>Pam Marcum, (480) 332-5414, Ben Mowbray, (407) 962-8782, Remo</v>
      </c>
      <c r="O132" t="str">
        <f>IFERROR(__xludf.DUMMYFUNCTION("""COMPUTED_VALUE"""),"Amy Brownfield, Sooz, Mike Darragh ")</f>
        <v>Amy Brownfield, Sooz, Mike Darragh </v>
      </c>
      <c r="P132" t="str">
        <f>IFERROR(__xludf.DUMMYFUNCTION("""COMPUTED_VALUE"""),"Pam")</f>
        <v>Pam</v>
      </c>
      <c r="Q132" t="str">
        <f>IFERROR(__xludf.DUMMYFUNCTION("""COMPUTED_VALUE"""),"Good")</f>
        <v>Good</v>
      </c>
      <c r="R132" t="str">
        <f>IFERROR(__xludf.DUMMYFUNCTION("""COMPUTED_VALUE"""),"Good")</f>
        <v>Good</v>
      </c>
      <c r="S132" t="str">
        <f>IFERROR(__xludf.DUMMYFUNCTION("""COMPUTED_VALUE"""),"Good")</f>
        <v>Good</v>
      </c>
      <c r="T132" t="str">
        <f>IFERROR(__xludf.DUMMYFUNCTION("""COMPUTED_VALUE"""),"Good")</f>
        <v>Good</v>
      </c>
      <c r="U132" t="str">
        <f>IFERROR(__xludf.DUMMYFUNCTION("""COMPUTED_VALUE"""),"Good")</f>
        <v>Good</v>
      </c>
      <c r="V132" t="str">
        <f>IFERROR(__xludf.DUMMYFUNCTION("""COMPUTED_VALUE"""),"Good")</f>
        <v>Good</v>
      </c>
      <c r="W132" t="str">
        <f>IFERROR(__xludf.DUMMYFUNCTION("""COMPUTED_VALUE"""),"Good")</f>
        <v>Good</v>
      </c>
      <c r="X132" t="str">
        <f>IFERROR(__xludf.DUMMYFUNCTION("""COMPUTED_VALUE"""),"Good")</f>
        <v>Good</v>
      </c>
      <c r="Y132" t="str">
        <f>IFERROR(__xludf.DUMMYFUNCTION("""COMPUTED_VALUE"""),"Good")</f>
        <v>Good</v>
      </c>
      <c r="Z132" t="str">
        <f>IFERROR(__xludf.DUMMYFUNCTION("""COMPUTED_VALUE"""),"Good")</f>
        <v>Good</v>
      </c>
      <c r="AA132" t="str">
        <f>IFERROR(__xludf.DUMMYFUNCTION("""COMPUTED_VALUE"""),"Good")</f>
        <v>Good</v>
      </c>
      <c r="AB132" t="str">
        <f>IFERROR(__xludf.DUMMYFUNCTION("""COMPUTED_VALUE"""),"Good")</f>
        <v>Good</v>
      </c>
      <c r="AC132" t="str">
        <f>IFERROR(__xludf.DUMMYFUNCTION("""COMPUTED_VALUE"""),"Good")</f>
        <v>Good</v>
      </c>
      <c r="AE132" s="11"/>
      <c r="AF132" t="s">
        <v>218</v>
      </c>
      <c r="AG132" s="17" t="s">
        <v>18</v>
      </c>
      <c r="AH132" s="12">
        <v>1320.0</v>
      </c>
      <c r="AI132" s="12" t="s">
        <v>340</v>
      </c>
      <c r="AJ132" s="19" t="s">
        <v>341</v>
      </c>
      <c r="AK132" s="20" t="str">
        <f>HYPERLINK("https://docs.google.com/document/d/1-b6Gewks7v19ieHsXcoC8h0jDEWW_u_gOcnr1iFkHVU/edit?usp=drivesdk","Ben Mowbray - 8/21/2018 9:40 AM")</f>
        <v>Ben Mowbray - 8/21/2018 9:40 AM</v>
      </c>
      <c r="AL132" s="12" t="s">
        <v>342</v>
      </c>
    </row>
    <row r="133">
      <c r="A133" s="10">
        <f>IFERROR(__xludf.DUMMYFUNCTION("""COMPUTED_VALUE"""),43334.386247916664)</f>
        <v>43334.38625</v>
      </c>
      <c r="B133" s="11" t="str">
        <f>IFERROR(__xludf.DUMMYFUNCTION("""COMPUTED_VALUE"""),"James Tomazinis")</f>
        <v>James Tomazinis</v>
      </c>
      <c r="C133" t="str">
        <f>IFERROR(__xludf.DUMMYFUNCTION("""COMPUTED_VALUE"""),"james.tomazinis@floridadep.gov")</f>
        <v>james.tomazinis@floridadep.gov</v>
      </c>
      <c r="D133" t="str">
        <f>IFERROR(__xludf.DUMMYFUNCTION("""COMPUTED_VALUE"""),"Stewardship (Aquatic)")</f>
        <v>Stewardship (Aquatic)</v>
      </c>
      <c r="E133" t="str">
        <f>IFERROR(__xludf.DUMMYFUNCTION("""COMPUTED_VALUE"""),"Vilano")</f>
        <v>Vilano</v>
      </c>
      <c r="F133" s="13">
        <f>IFERROR(__xludf.DUMMYFUNCTION("""COMPUTED_VALUE"""),0.3958333333321207)</f>
        <v>0.3958333333</v>
      </c>
      <c r="G133" s="14">
        <f>IFERROR(__xludf.DUMMYFUNCTION("""COMPUTED_VALUE"""),43334.0)</f>
        <v>43334</v>
      </c>
      <c r="H133" t="str">
        <f>IFERROR(__xludf.DUMMYFUNCTION("""COMPUTED_VALUE"""),"Matanzas River south of 312")</f>
        <v>Matanzas River south of 312</v>
      </c>
      <c r="I133" s="15">
        <f>IFERROR(__xludf.DUMMYFUNCTION("""COMPUTED_VALUE"""),0.7083333333321207)</f>
        <v>0.7083333333</v>
      </c>
      <c r="J133" s="16"/>
      <c r="K133" t="str">
        <f>IFERROR(__xludf.DUMMYFUNCTION("""COMPUTED_VALUE"""),"23ft Skiff (Bertha) FL7972LJ DEP07613")</f>
        <v>23ft Skiff (Bertha) FL7972LJ DEP07613</v>
      </c>
      <c r="M133" t="str">
        <f>IFERROR(__xludf.DUMMYFUNCTION("""COMPUTED_VALUE"""),"Ford F150 2015 (White) - DEP21448")</f>
        <v>Ford F150 2015 (White) - DEP21448</v>
      </c>
      <c r="N133" t="str">
        <f>IFERROR(__xludf.DUMMYFUNCTION("""COMPUTED_VALUE"""),"Scott Eastman, (904) 501-9267, Jimmy Tomazinis, (904) 547-0094")</f>
        <v>Scott Eastman, (904) 501-9267, Jimmy Tomazinis, (904) 547-0094</v>
      </c>
      <c r="O133" t="str">
        <f>IFERROR(__xludf.DUMMYFUNCTION("""COMPUTED_VALUE"""),"Suzi Porterfield")</f>
        <v>Suzi Porterfield</v>
      </c>
      <c r="P133" t="str">
        <f>IFERROR(__xludf.DUMMYFUNCTION("""COMPUTED_VALUE"""),"Jimmy")</f>
        <v>Jimmy</v>
      </c>
      <c r="Q133" t="str">
        <f>IFERROR(__xludf.DUMMYFUNCTION("""COMPUTED_VALUE"""),"Good")</f>
        <v>Good</v>
      </c>
      <c r="R133" t="str">
        <f>IFERROR(__xludf.DUMMYFUNCTION("""COMPUTED_VALUE"""),"Good")</f>
        <v>Good</v>
      </c>
      <c r="S133" t="str">
        <f>IFERROR(__xludf.DUMMYFUNCTION("""COMPUTED_VALUE"""),"Good")</f>
        <v>Good</v>
      </c>
      <c r="T133" t="str">
        <f>IFERROR(__xludf.DUMMYFUNCTION("""COMPUTED_VALUE"""),"Good")</f>
        <v>Good</v>
      </c>
      <c r="U133" t="str">
        <f>IFERROR(__xludf.DUMMYFUNCTION("""COMPUTED_VALUE"""),"Good")</f>
        <v>Good</v>
      </c>
      <c r="V133" t="str">
        <f>IFERROR(__xludf.DUMMYFUNCTION("""COMPUTED_VALUE"""),"Good")</f>
        <v>Good</v>
      </c>
      <c r="W133" t="str">
        <f>IFERROR(__xludf.DUMMYFUNCTION("""COMPUTED_VALUE"""),"Good")</f>
        <v>Good</v>
      </c>
      <c r="X133" t="str">
        <f>IFERROR(__xludf.DUMMYFUNCTION("""COMPUTED_VALUE"""),"Good")</f>
        <v>Good</v>
      </c>
      <c r="Y133" t="str">
        <f>IFERROR(__xludf.DUMMYFUNCTION("""COMPUTED_VALUE"""),"Good")</f>
        <v>Good</v>
      </c>
      <c r="Z133" t="str">
        <f>IFERROR(__xludf.DUMMYFUNCTION("""COMPUTED_VALUE"""),"Good")</f>
        <v>Good</v>
      </c>
      <c r="AA133" t="str">
        <f>IFERROR(__xludf.DUMMYFUNCTION("""COMPUTED_VALUE"""),"Good")</f>
        <v>Good</v>
      </c>
      <c r="AB133" t="str">
        <f>IFERROR(__xludf.DUMMYFUNCTION("""COMPUTED_VALUE"""),"Good")</f>
        <v>Good</v>
      </c>
      <c r="AC133" t="str">
        <f>IFERROR(__xludf.DUMMYFUNCTION("""COMPUTED_VALUE"""),"Good")</f>
        <v>Good</v>
      </c>
      <c r="AE133" s="11"/>
      <c r="AF133" t="s">
        <v>32</v>
      </c>
      <c r="AG133" s="17" t="s">
        <v>18</v>
      </c>
      <c r="AH133" s="12">
        <v>1537.0</v>
      </c>
      <c r="AI133" s="12" t="s">
        <v>343</v>
      </c>
      <c r="AJ133" s="19" t="s">
        <v>344</v>
      </c>
      <c r="AK133" s="20" t="str">
        <f>HYPERLINK("https://docs.google.com/document/d/1FbfrpXrmysodX8qvntPP4u8abx1oSvLdYgvdnAhlqV4/edit?usp=drivesdk","James Tomazinis - 8/22/2018 9:30 AM")</f>
        <v>James Tomazinis - 8/22/2018 9:30 AM</v>
      </c>
      <c r="AL133" s="12" t="s">
        <v>345</v>
      </c>
    </row>
    <row r="134">
      <c r="A134" s="10">
        <f>IFERROR(__xludf.DUMMYFUNCTION("""COMPUTED_VALUE"""),43334.65458540509)</f>
        <v>43334.65459</v>
      </c>
      <c r="B134" s="11" t="str">
        <f>IFERROR(__xludf.DUMMYFUNCTION("""COMPUTED_VALUE"""),"Silas Tanner")</f>
        <v>Silas Tanner</v>
      </c>
      <c r="C134" t="str">
        <f>IFERROR(__xludf.DUMMYFUNCTION("""COMPUTED_VALUE"""),"silas.tanner@floridadep.gov")</f>
        <v>silas.tanner@floridadep.gov</v>
      </c>
      <c r="D134" t="str">
        <f>IFERROR(__xludf.DUMMYFUNCTION("""COMPUTED_VALUE"""),"Research/Nikki")</f>
        <v>Research/Nikki</v>
      </c>
      <c r="E134" t="str">
        <f>IFERROR(__xludf.DUMMYFUNCTION("""COMPUTED_VALUE"""),"Vilano County Ramp")</f>
        <v>Vilano County Ramp</v>
      </c>
      <c r="F134" s="13">
        <f>IFERROR(__xludf.DUMMYFUNCTION("""COMPUTED_VALUE"""),0.3020833333321207)</f>
        <v>0.3020833333</v>
      </c>
      <c r="G134" s="14">
        <f>IFERROR(__xludf.DUMMYFUNCTION("""COMPUTED_VALUE"""),43335.0)</f>
        <v>43335</v>
      </c>
      <c r="H134" t="str">
        <f>IFERROR(__xludf.DUMMYFUNCTION("""COMPUTED_VALUE"""),"ICW - SWMP sites")</f>
        <v>ICW - SWMP sites</v>
      </c>
      <c r="I134" s="15">
        <f>IFERROR(__xludf.DUMMYFUNCTION("""COMPUTED_VALUE"""),0.625)</f>
        <v>0.625</v>
      </c>
      <c r="J134" s="16">
        <f>IFERROR(__xludf.DUMMYFUNCTION("""COMPUTED_VALUE"""),43335.64583333333)</f>
        <v>43335.64583</v>
      </c>
      <c r="K134" t="str">
        <f>IFERROR(__xludf.DUMMYFUNCTION("""COMPUTED_VALUE"""),"20ft Sea Ark FL5351SJ UNF 2015")</f>
        <v>20ft Sea Ark FL5351SJ UNF 2015</v>
      </c>
      <c r="M134" t="str">
        <f>IFERROR(__xludf.DUMMYFUNCTION("""COMPUTED_VALUE"""),"Ford F250 2017 (Moby Dix) - DEP0021578")</f>
        <v>Ford F250 2017 (Moby Dix) - DEP0021578</v>
      </c>
      <c r="N134" t="str">
        <f>IFERROR(__xludf.DUMMYFUNCTION("""COMPUTED_VALUE"""),"Shannon Dunnigan, (803) 727-5734, Silas Tanner, (904) 483-8423")</f>
        <v>Shannon Dunnigan, (803) 727-5734, Silas Tanner, (904) 483-8423</v>
      </c>
      <c r="O134" t="str">
        <f>IFERROR(__xludf.DUMMYFUNCTION("""COMPUTED_VALUE"""),"Mike Darragh")</f>
        <v>Mike Darragh</v>
      </c>
      <c r="P134" t="str">
        <f>IFERROR(__xludf.DUMMYFUNCTION("""COMPUTED_VALUE"""),"Shannon Dunnigan")</f>
        <v>Shannon Dunnigan</v>
      </c>
      <c r="Q134" t="str">
        <f>IFERROR(__xludf.DUMMYFUNCTION("""COMPUTED_VALUE"""),"Good")</f>
        <v>Good</v>
      </c>
      <c r="R134" t="str">
        <f>IFERROR(__xludf.DUMMYFUNCTION("""COMPUTED_VALUE"""),"Good")</f>
        <v>Good</v>
      </c>
      <c r="S134" t="str">
        <f>IFERROR(__xludf.DUMMYFUNCTION("""COMPUTED_VALUE"""),"Good")</f>
        <v>Good</v>
      </c>
      <c r="T134" t="str">
        <f>IFERROR(__xludf.DUMMYFUNCTION("""COMPUTED_VALUE"""),"Good")</f>
        <v>Good</v>
      </c>
      <c r="U134" t="str">
        <f>IFERROR(__xludf.DUMMYFUNCTION("""COMPUTED_VALUE"""),"Good")</f>
        <v>Good</v>
      </c>
      <c r="V134" t="str">
        <f>IFERROR(__xludf.DUMMYFUNCTION("""COMPUTED_VALUE"""),"Good")</f>
        <v>Good</v>
      </c>
      <c r="W134" t="str">
        <f>IFERROR(__xludf.DUMMYFUNCTION("""COMPUTED_VALUE"""),"Good")</f>
        <v>Good</v>
      </c>
      <c r="X134" t="str">
        <f>IFERROR(__xludf.DUMMYFUNCTION("""COMPUTED_VALUE"""),"Good")</f>
        <v>Good</v>
      </c>
      <c r="Y134" t="str">
        <f>IFERROR(__xludf.DUMMYFUNCTION("""COMPUTED_VALUE"""),"Good")</f>
        <v>Good</v>
      </c>
      <c r="Z134" t="str">
        <f>IFERROR(__xludf.DUMMYFUNCTION("""COMPUTED_VALUE"""),"Good")</f>
        <v>Good</v>
      </c>
      <c r="AA134" t="str">
        <f>IFERROR(__xludf.DUMMYFUNCTION("""COMPUTED_VALUE"""),"Good")</f>
        <v>Good</v>
      </c>
      <c r="AB134" t="str">
        <f>IFERROR(__xludf.DUMMYFUNCTION("""COMPUTED_VALUE"""),"Good")</f>
        <v>Good</v>
      </c>
      <c r="AC134" t="str">
        <f>IFERROR(__xludf.DUMMYFUNCTION("""COMPUTED_VALUE"""),"Good")</f>
        <v>Good</v>
      </c>
      <c r="AE134" s="11"/>
      <c r="AF134" t="s">
        <v>218</v>
      </c>
      <c r="AG134" s="17" t="s">
        <v>60</v>
      </c>
      <c r="AH134" s="12">
        <v>1140.0</v>
      </c>
      <c r="AI134" s="12" t="s">
        <v>346</v>
      </c>
      <c r="AJ134" s="19" t="s">
        <v>347</v>
      </c>
      <c r="AK134" s="20" t="str">
        <f>HYPERLINK("https://docs.google.com/document/d/1V_UjvbS_4beIAIbGI2rknHAZN_bkiraEkuj6Ua6mwWE/edit?usp=drivesdk","Silas Tanner - 8/23/2018 7:15 AM")</f>
        <v>Silas Tanner - 8/23/2018 7:15 AM</v>
      </c>
      <c r="AL134" s="12" t="s">
        <v>348</v>
      </c>
    </row>
    <row r="135">
      <c r="A135" s="10">
        <f>IFERROR(__xludf.DUMMYFUNCTION("""COMPUTED_VALUE"""),43335.38977065973)</f>
        <v>43335.38977</v>
      </c>
      <c r="B135" s="11" t="str">
        <f>IFERROR(__xludf.DUMMYFUNCTION("""COMPUTED_VALUE"""),"Pam Marcum")</f>
        <v>Pam Marcum</v>
      </c>
      <c r="C135" t="str">
        <f>IFERROR(__xludf.DUMMYFUNCTION("""COMPUTED_VALUE"""),"Pamela.Marcum@dep.state.fl.us")</f>
        <v>Pamela.Marcum@dep.state.fl.us</v>
      </c>
      <c r="D135" t="str">
        <f>IFERROR(__xludf.DUMMYFUNCTION("""COMPUTED_VALUE"""),"Research/Nikki")</f>
        <v>Research/Nikki</v>
      </c>
      <c r="E135" t="str">
        <f>IFERROR(__xludf.DUMMYFUNCTION("""COMPUTED_VALUE"""),"Aunt Kate's")</f>
        <v>Aunt Kate's</v>
      </c>
      <c r="F135" s="13">
        <f>IFERROR(__xludf.DUMMYFUNCTION("""COMPUTED_VALUE"""),0.4583333333321207)</f>
        <v>0.4583333333</v>
      </c>
      <c r="G135" s="14">
        <f>IFERROR(__xludf.DUMMYFUNCTION("""COMPUTED_VALUE"""),43335.0)</f>
        <v>43335</v>
      </c>
      <c r="H135" t="str">
        <f>IFERROR(__xludf.DUMMYFUNCTION("""COMPUTED_VALUE"""),"Robinson's Creek &amp; Guana River")</f>
        <v>Robinson's Creek &amp; Guana River</v>
      </c>
      <c r="I135" s="15">
        <f>IFERROR(__xludf.DUMMYFUNCTION("""COMPUTED_VALUE"""),0.625)</f>
        <v>0.625</v>
      </c>
      <c r="J135" s="16">
        <f>IFERROR(__xludf.DUMMYFUNCTION("""COMPUTED_VALUE"""),43335.66666666667)</f>
        <v>43335.66667</v>
      </c>
      <c r="K135" t="str">
        <f>IFERROR(__xludf.DUMMYFUNCTION("""COMPUTED_VALUE"""),"F 20ft Sea Ark (Easy 200) FL8534PY DEP21451")</f>
        <v>F 20ft Sea Ark (Easy 200) FL8534PY DEP21451</v>
      </c>
      <c r="M135" t="str">
        <f>IFERROR(__xludf.DUMMYFUNCTION("""COMPUTED_VALUE"""),"Ford F150 4-door DEP07668")</f>
        <v>Ford F150 4-door DEP07668</v>
      </c>
      <c r="N135" t="str">
        <f>IFERROR(__xludf.DUMMYFUNCTION("""COMPUTED_VALUE"""),"Pam Marcum, (480) 332-5414, Ben Mowbray, (407) 962-8782")</f>
        <v>Pam Marcum, (480) 332-5414, Ben Mowbray, (407) 962-8782</v>
      </c>
      <c r="P135" t="str">
        <f>IFERROR(__xludf.DUMMYFUNCTION("""COMPUTED_VALUE"""),"Pam Marcum")</f>
        <v>Pam Marcum</v>
      </c>
      <c r="Q135" t="str">
        <f>IFERROR(__xludf.DUMMYFUNCTION("""COMPUTED_VALUE"""),"Good")</f>
        <v>Good</v>
      </c>
      <c r="R135" t="str">
        <f>IFERROR(__xludf.DUMMYFUNCTION("""COMPUTED_VALUE"""),"Good")</f>
        <v>Good</v>
      </c>
      <c r="S135" t="str">
        <f>IFERROR(__xludf.DUMMYFUNCTION("""COMPUTED_VALUE"""),"Good")</f>
        <v>Good</v>
      </c>
      <c r="T135" t="str">
        <f>IFERROR(__xludf.DUMMYFUNCTION("""COMPUTED_VALUE"""),"Good")</f>
        <v>Good</v>
      </c>
      <c r="U135" t="str">
        <f>IFERROR(__xludf.DUMMYFUNCTION("""COMPUTED_VALUE"""),"Good")</f>
        <v>Good</v>
      </c>
      <c r="V135" t="str">
        <f>IFERROR(__xludf.DUMMYFUNCTION("""COMPUTED_VALUE"""),"Good")</f>
        <v>Good</v>
      </c>
      <c r="W135" t="str">
        <f>IFERROR(__xludf.DUMMYFUNCTION("""COMPUTED_VALUE"""),"Good")</f>
        <v>Good</v>
      </c>
      <c r="X135" t="str">
        <f>IFERROR(__xludf.DUMMYFUNCTION("""COMPUTED_VALUE"""),"Good")</f>
        <v>Good</v>
      </c>
      <c r="Y135" t="str">
        <f>IFERROR(__xludf.DUMMYFUNCTION("""COMPUTED_VALUE"""),"Good")</f>
        <v>Good</v>
      </c>
      <c r="Z135" t="str">
        <f>IFERROR(__xludf.DUMMYFUNCTION("""COMPUTED_VALUE"""),"Good")</f>
        <v>Good</v>
      </c>
      <c r="AA135" t="str">
        <f>IFERROR(__xludf.DUMMYFUNCTION("""COMPUTED_VALUE"""),"Good")</f>
        <v>Good</v>
      </c>
      <c r="AB135" t="str">
        <f>IFERROR(__xludf.DUMMYFUNCTION("""COMPUTED_VALUE"""),"Good")</f>
        <v>Good</v>
      </c>
      <c r="AC135" t="str">
        <f>IFERROR(__xludf.DUMMYFUNCTION("""COMPUTED_VALUE"""),"Good")</f>
        <v>Good</v>
      </c>
      <c r="AE135" s="11"/>
      <c r="AF135" t="s">
        <v>218</v>
      </c>
      <c r="AG135" s="17" t="s">
        <v>60</v>
      </c>
      <c r="AH135" s="12">
        <v>1324.0</v>
      </c>
      <c r="AI135" s="12" t="s">
        <v>349</v>
      </c>
      <c r="AJ135" s="19" t="s">
        <v>350</v>
      </c>
      <c r="AK135" s="20" t="str">
        <f>HYPERLINK("https://docs.google.com/document/d/1FoCPEaVaT4-aS9Qr0r4nW6zlRTuDNZoJ3QoyHDTqm4A/edit?usp=drivesdk","Pam Marcum - 8/23/2018 11:00 AM")</f>
        <v>Pam Marcum - 8/23/2018 11:00 AM</v>
      </c>
      <c r="AL135" s="12" t="s">
        <v>351</v>
      </c>
    </row>
    <row r="136">
      <c r="A136" s="10">
        <f>IFERROR(__xludf.DUMMYFUNCTION("""COMPUTED_VALUE"""),43335.92170368055)</f>
        <v>43335.9217</v>
      </c>
      <c r="B136" s="11" t="str">
        <f>IFERROR(__xludf.DUMMYFUNCTION("""COMPUTED_VALUE"""),"Shannon Dunnigan")</f>
        <v>Shannon Dunnigan</v>
      </c>
      <c r="C136" t="str">
        <f>IFERROR(__xludf.DUMMYFUNCTION("""COMPUTED_VALUE"""),"shannon.dunnigan@dep.state.fl.us")</f>
        <v>shannon.dunnigan@dep.state.fl.us</v>
      </c>
      <c r="D136" t="str">
        <f>IFERROR(__xludf.DUMMYFUNCTION("""COMPUTED_VALUE"""),"Research/Nikki")</f>
        <v>Research/Nikki</v>
      </c>
      <c r="E136" t="str">
        <f>IFERROR(__xludf.DUMMYFUNCTION("""COMPUTED_VALUE"""),"Bings Landing")</f>
        <v>Bings Landing</v>
      </c>
      <c r="F136" s="13">
        <f>IFERROR(__xludf.DUMMYFUNCTION("""COMPUTED_VALUE"""),0.4375)</f>
        <v>0.4375</v>
      </c>
      <c r="G136" s="14">
        <f>IFERROR(__xludf.DUMMYFUNCTION("""COMPUTED_VALUE"""),43336.0)</f>
        <v>43336</v>
      </c>
      <c r="H136" t="str">
        <f>IFERROR(__xludf.DUMMYFUNCTION("""COMPUTED_VALUE"""),"Summerhaven River area")</f>
        <v>Summerhaven River area</v>
      </c>
      <c r="I136" s="15">
        <f>IFERROR(__xludf.DUMMYFUNCTION("""COMPUTED_VALUE"""),0.5416666666678793)</f>
        <v>0.5416666667</v>
      </c>
      <c r="J136" s="16">
        <f>IFERROR(__xludf.DUMMYFUNCTION("""COMPUTED_VALUE"""),43336.64583333333)</f>
        <v>43336.64583</v>
      </c>
      <c r="K136" t="str">
        <f>IFERROR(__xludf.DUMMYFUNCTION("""COMPUTED_VALUE"""),"20ft Sea Ark FL5351SJ UNF 2015")</f>
        <v>20ft Sea Ark FL5351SJ UNF 2015</v>
      </c>
      <c r="M136" t="str">
        <f>IFERROR(__xludf.DUMMYFUNCTION("""COMPUTED_VALUE"""),"Ford F250 2017 (Moby Dix) - DEP0021578")</f>
        <v>Ford F250 2017 (Moby Dix) - DEP0021578</v>
      </c>
      <c r="N136" t="str">
        <f>IFERROR(__xludf.DUMMYFUNCTION("""COMPUTED_VALUE"""),"Shannon Dunnigan, (803) 727-5734, Silas Tanner, (904) 483-8423")</f>
        <v>Shannon Dunnigan, (803) 727-5734, Silas Tanner, (904) 483-8423</v>
      </c>
      <c r="O136" t="str">
        <f>IFERROR(__xludf.DUMMYFUNCTION("""COMPUTED_VALUE"""),"Shannon Dunnigan, (803) 727-5734, Silas Tanner, (904) 483-8423, Gabriela Canas, (904) 891-9743, Jessica Lee, Matt Brown")</f>
        <v>Shannon Dunnigan, (803) 727-5734, Silas Tanner, (904) 483-8423, Gabriela Canas, (904) 891-9743, Jessica Lee, Matt Brown</v>
      </c>
      <c r="P136" t="str">
        <f>IFERROR(__xludf.DUMMYFUNCTION("""COMPUTED_VALUE"""),"Shannon Dunnigan")</f>
        <v>Shannon Dunnigan</v>
      </c>
      <c r="Q136" t="str">
        <f>IFERROR(__xludf.DUMMYFUNCTION("""COMPUTED_VALUE"""),"Good")</f>
        <v>Good</v>
      </c>
      <c r="R136" t="str">
        <f>IFERROR(__xludf.DUMMYFUNCTION("""COMPUTED_VALUE"""),"Good")</f>
        <v>Good</v>
      </c>
      <c r="S136" t="str">
        <f>IFERROR(__xludf.DUMMYFUNCTION("""COMPUTED_VALUE"""),"Good")</f>
        <v>Good</v>
      </c>
      <c r="T136" t="str">
        <f>IFERROR(__xludf.DUMMYFUNCTION("""COMPUTED_VALUE"""),"Good")</f>
        <v>Good</v>
      </c>
      <c r="U136" t="str">
        <f>IFERROR(__xludf.DUMMYFUNCTION("""COMPUTED_VALUE"""),"Good")</f>
        <v>Good</v>
      </c>
      <c r="V136" t="str">
        <f>IFERROR(__xludf.DUMMYFUNCTION("""COMPUTED_VALUE"""),"Good")</f>
        <v>Good</v>
      </c>
      <c r="W136" t="str">
        <f>IFERROR(__xludf.DUMMYFUNCTION("""COMPUTED_VALUE"""),"Good")</f>
        <v>Good</v>
      </c>
      <c r="X136" t="str">
        <f>IFERROR(__xludf.DUMMYFUNCTION("""COMPUTED_VALUE"""),"Good")</f>
        <v>Good</v>
      </c>
      <c r="Y136" t="str">
        <f>IFERROR(__xludf.DUMMYFUNCTION("""COMPUTED_VALUE"""),"Good")</f>
        <v>Good</v>
      </c>
      <c r="Z136" t="str">
        <f>IFERROR(__xludf.DUMMYFUNCTION("""COMPUTED_VALUE"""),"Good")</f>
        <v>Good</v>
      </c>
      <c r="AA136" t="str">
        <f>IFERROR(__xludf.DUMMYFUNCTION("""COMPUTED_VALUE"""),"Good")</f>
        <v>Good</v>
      </c>
      <c r="AB136" t="str">
        <f>IFERROR(__xludf.DUMMYFUNCTION("""COMPUTED_VALUE"""),"Good")</f>
        <v>Good</v>
      </c>
      <c r="AC136" t="str">
        <f>IFERROR(__xludf.DUMMYFUNCTION("""COMPUTED_VALUE"""),"Good")</f>
        <v>Good</v>
      </c>
      <c r="AE136" s="11"/>
      <c r="AF136" t="s">
        <v>218</v>
      </c>
      <c r="AG136" s="17" t="s">
        <v>18</v>
      </c>
      <c r="AH136" s="12">
        <v>1200.0</v>
      </c>
      <c r="AI136" s="12" t="s">
        <v>352</v>
      </c>
      <c r="AJ136" s="19" t="s">
        <v>353</v>
      </c>
      <c r="AK136" s="20" t="str">
        <f>HYPERLINK("https://docs.google.com/document/d/1XqXDCS49mMlYjyDJhRRyb2rd--vYYMQZl9cTt1SyJXY/edit?usp=drivesdk","Shannon Dunnigan - 8/24/2018 10:30 AM")</f>
        <v>Shannon Dunnigan - 8/24/2018 10:30 AM</v>
      </c>
      <c r="AL136" s="12" t="s">
        <v>354</v>
      </c>
    </row>
    <row r="137">
      <c r="A137" s="10">
        <f>IFERROR(__xludf.DUMMYFUNCTION("""COMPUTED_VALUE"""),43340.68483427083)</f>
        <v>43340.68483</v>
      </c>
      <c r="B137" s="11" t="str">
        <f>IFERROR(__xludf.DUMMYFUNCTION("""COMPUTED_VALUE"""),"Ben Mowbray")</f>
        <v>Ben Mowbray</v>
      </c>
      <c r="C137" t="str">
        <f>IFERROR(__xludf.DUMMYFUNCTION("""COMPUTED_VALUE"""),"ben.mowbray@dep.state.fl.us")</f>
        <v>ben.mowbray@dep.state.fl.us</v>
      </c>
      <c r="D137" t="str">
        <f>IFERROR(__xludf.DUMMYFUNCTION("""COMPUTED_VALUE"""),"Research/Pam")</f>
        <v>Research/Pam</v>
      </c>
      <c r="E137" t="str">
        <f>IFERROR(__xludf.DUMMYFUNCTION("""COMPUTED_VALUE"""),"Shore Dr.")</f>
        <v>Shore Dr.</v>
      </c>
      <c r="F137" s="13">
        <f>IFERROR(__xludf.DUMMYFUNCTION("""COMPUTED_VALUE"""),0.4270833333321207)</f>
        <v>0.4270833333</v>
      </c>
      <c r="G137" s="14">
        <f>IFERROR(__xludf.DUMMYFUNCTION("""COMPUTED_VALUE"""),43341.0)</f>
        <v>43341</v>
      </c>
      <c r="H137" t="str">
        <f>IFERROR(__xludf.DUMMYFUNCTION("""COMPUTED_VALUE"""),"Gabby's Creek Chapman Site")</f>
        <v>Gabby's Creek Chapman Site</v>
      </c>
      <c r="I137" s="15">
        <f>IFERROR(__xludf.DUMMYFUNCTION("""COMPUTED_VALUE"""),0.625)</f>
        <v>0.625</v>
      </c>
      <c r="J137" s="16">
        <f>IFERROR(__xludf.DUMMYFUNCTION("""COMPUTED_VALUE"""),43341.65277777778)</f>
        <v>43341.65278</v>
      </c>
      <c r="K137" t="str">
        <f>IFERROR(__xludf.DUMMYFUNCTION("""COMPUTED_VALUE"""),"20ft Sea Ark FL5351SJ UNF 2015")</f>
        <v>20ft Sea Ark FL5351SJ UNF 2015</v>
      </c>
      <c r="M137" t="str">
        <f>IFERROR(__xludf.DUMMYFUNCTION("""COMPUTED_VALUE"""),"Ford F250 2017 (Moby Dix) - DEP0021578")</f>
        <v>Ford F250 2017 (Moby Dix) - DEP0021578</v>
      </c>
      <c r="N137" t="str">
        <f>IFERROR(__xludf.DUMMYFUNCTION("""COMPUTED_VALUE"""),"Ben Mowbray, (407) 962-8782")</f>
        <v>Ben Mowbray, (407) 962-8782</v>
      </c>
      <c r="O137" t="str">
        <f>IFERROR(__xludf.DUMMYFUNCTION("""COMPUTED_VALUE"""),"Gabriela Canas, (904) 891-9743")</f>
        <v>Gabriela Canas, (904) 891-9743</v>
      </c>
      <c r="P137" t="str">
        <f>IFERROR(__xludf.DUMMYFUNCTION("""COMPUTED_VALUE"""),"Ben")</f>
        <v>Ben</v>
      </c>
      <c r="Q137" t="str">
        <f>IFERROR(__xludf.DUMMYFUNCTION("""COMPUTED_VALUE"""),"Good")</f>
        <v>Good</v>
      </c>
      <c r="R137" t="str">
        <f>IFERROR(__xludf.DUMMYFUNCTION("""COMPUTED_VALUE"""),"Good")</f>
        <v>Good</v>
      </c>
      <c r="S137" t="str">
        <f>IFERROR(__xludf.DUMMYFUNCTION("""COMPUTED_VALUE"""),"Good")</f>
        <v>Good</v>
      </c>
      <c r="T137" t="str">
        <f>IFERROR(__xludf.DUMMYFUNCTION("""COMPUTED_VALUE"""),"Good")</f>
        <v>Good</v>
      </c>
      <c r="U137" t="str">
        <f>IFERROR(__xludf.DUMMYFUNCTION("""COMPUTED_VALUE"""),"Good")</f>
        <v>Good</v>
      </c>
      <c r="V137" t="str">
        <f>IFERROR(__xludf.DUMMYFUNCTION("""COMPUTED_VALUE"""),"Good")</f>
        <v>Good</v>
      </c>
      <c r="W137" t="str">
        <f>IFERROR(__xludf.DUMMYFUNCTION("""COMPUTED_VALUE"""),"Good")</f>
        <v>Good</v>
      </c>
      <c r="X137" t="str">
        <f>IFERROR(__xludf.DUMMYFUNCTION("""COMPUTED_VALUE"""),"Good")</f>
        <v>Good</v>
      </c>
      <c r="Y137" t="str">
        <f>IFERROR(__xludf.DUMMYFUNCTION("""COMPUTED_VALUE"""),"Good")</f>
        <v>Good</v>
      </c>
      <c r="Z137" t="str">
        <f>IFERROR(__xludf.DUMMYFUNCTION("""COMPUTED_VALUE"""),"Good")</f>
        <v>Good</v>
      </c>
      <c r="AA137" t="str">
        <f>IFERROR(__xludf.DUMMYFUNCTION("""COMPUTED_VALUE"""),"Good")</f>
        <v>Good</v>
      </c>
      <c r="AB137" t="str">
        <f>IFERROR(__xludf.DUMMYFUNCTION("""COMPUTED_VALUE"""),"Good")</f>
        <v>Good</v>
      </c>
      <c r="AC137" t="str">
        <f>IFERROR(__xludf.DUMMYFUNCTION("""COMPUTED_VALUE"""),"Good")</f>
        <v>Good</v>
      </c>
      <c r="AE137" s="11"/>
      <c r="AF137" t="s">
        <v>262</v>
      </c>
      <c r="AG137" s="17" t="s">
        <v>60</v>
      </c>
      <c r="AH137" s="12">
        <v>1316.0</v>
      </c>
      <c r="AI137" s="12" t="s">
        <v>355</v>
      </c>
      <c r="AJ137" s="19" t="s">
        <v>356</v>
      </c>
      <c r="AK137" s="20" t="str">
        <f>HYPERLINK("https://docs.google.com/document/d/12qKaqDTA40f8qxQAUU_wtTRdEwjpjOsa3wmJ7Cm-CR0/edit?usp=drivesdk","Ben Mowbray - 8/29/2018 10:15 AM")</f>
        <v>Ben Mowbray - 8/29/2018 10:15 AM</v>
      </c>
      <c r="AL137" s="12" t="s">
        <v>357</v>
      </c>
    </row>
    <row r="138">
      <c r="A138" s="10">
        <f>IFERROR(__xludf.DUMMYFUNCTION("""COMPUTED_VALUE"""),43342.405627210646)</f>
        <v>43342.40563</v>
      </c>
      <c r="B138" s="11" t="str">
        <f>IFERROR(__xludf.DUMMYFUNCTION("""COMPUTED_VALUE"""),"James Tomazinis")</f>
        <v>James Tomazinis</v>
      </c>
      <c r="C138" t="str">
        <f>IFERROR(__xludf.DUMMYFUNCTION("""COMPUTED_VALUE"""),"james.tomazinis@floridadep.gov")</f>
        <v>james.tomazinis@floridadep.gov</v>
      </c>
      <c r="D138" t="str">
        <f>IFERROR(__xludf.DUMMYFUNCTION("""COMPUTED_VALUE"""),"Stewardship (Aquatic)")</f>
        <v>Stewardship (Aquatic)</v>
      </c>
      <c r="E138" t="str">
        <f>IFERROR(__xludf.DUMMYFUNCTION("""COMPUTED_VALUE"""),"Bings")</f>
        <v>Bings</v>
      </c>
      <c r="F138" s="13">
        <f>IFERROR(__xludf.DUMMYFUNCTION("""COMPUTED_VALUE"""),0.4166666666678793)</f>
        <v>0.4166666667</v>
      </c>
      <c r="G138" s="14">
        <f>IFERROR(__xludf.DUMMYFUNCTION("""COMPUTED_VALUE"""),43342.0)</f>
        <v>43342</v>
      </c>
      <c r="H138" t="str">
        <f>IFERROR(__xludf.DUMMYFUNCTION("""COMPUTED_VALUE"""),"Matanzas River")</f>
        <v>Matanzas River</v>
      </c>
      <c r="I138" s="15">
        <f>IFERROR(__xludf.DUMMYFUNCTION("""COMPUTED_VALUE"""),0.6666666666678793)</f>
        <v>0.6666666667</v>
      </c>
      <c r="J138" s="16"/>
      <c r="K138" t="str">
        <f>IFERROR(__xludf.DUMMYFUNCTION("""COMPUTED_VALUE"""),"23ft Skiff (Bertha) FL7972LJ DEP07613")</f>
        <v>23ft Skiff (Bertha) FL7972LJ DEP07613</v>
      </c>
      <c r="M138" t="str">
        <f>IFERROR(__xludf.DUMMYFUNCTION("""COMPUTED_VALUE"""),"Ford F150 2015 (White) - DEP21448")</f>
        <v>Ford F150 2015 (White) - DEP21448</v>
      </c>
      <c r="N138" t="str">
        <f>IFERROR(__xludf.DUMMYFUNCTION("""COMPUTED_VALUE"""),"Jimmy Tomazinis, (904) 547-0094")</f>
        <v>Jimmy Tomazinis, (904) 547-0094</v>
      </c>
      <c r="O138" t="str">
        <f>IFERROR(__xludf.DUMMYFUNCTION("""COMPUTED_VALUE"""),"Annie Otto, Mike Dickson")</f>
        <v>Annie Otto, Mike Dickson</v>
      </c>
      <c r="P138" t="str">
        <f>IFERROR(__xludf.DUMMYFUNCTION("""COMPUTED_VALUE"""),"Jimmy")</f>
        <v>Jimmy</v>
      </c>
      <c r="Q138" t="str">
        <f>IFERROR(__xludf.DUMMYFUNCTION("""COMPUTED_VALUE"""),"Good")</f>
        <v>Good</v>
      </c>
      <c r="R138" t="str">
        <f>IFERROR(__xludf.DUMMYFUNCTION("""COMPUTED_VALUE"""),"Good")</f>
        <v>Good</v>
      </c>
      <c r="S138" t="str">
        <f>IFERROR(__xludf.DUMMYFUNCTION("""COMPUTED_VALUE"""),"Good")</f>
        <v>Good</v>
      </c>
      <c r="T138" t="str">
        <f>IFERROR(__xludf.DUMMYFUNCTION("""COMPUTED_VALUE"""),"Good")</f>
        <v>Good</v>
      </c>
      <c r="U138" t="str">
        <f>IFERROR(__xludf.DUMMYFUNCTION("""COMPUTED_VALUE"""),"Good")</f>
        <v>Good</v>
      </c>
      <c r="V138" t="str">
        <f>IFERROR(__xludf.DUMMYFUNCTION("""COMPUTED_VALUE"""),"Good")</f>
        <v>Good</v>
      </c>
      <c r="W138" t="str">
        <f>IFERROR(__xludf.DUMMYFUNCTION("""COMPUTED_VALUE"""),"Good")</f>
        <v>Good</v>
      </c>
      <c r="X138" t="str">
        <f>IFERROR(__xludf.DUMMYFUNCTION("""COMPUTED_VALUE"""),"Good")</f>
        <v>Good</v>
      </c>
      <c r="Y138" t="str">
        <f>IFERROR(__xludf.DUMMYFUNCTION("""COMPUTED_VALUE"""),"Good")</f>
        <v>Good</v>
      </c>
      <c r="Z138" t="str">
        <f>IFERROR(__xludf.DUMMYFUNCTION("""COMPUTED_VALUE"""),"Good")</f>
        <v>Good</v>
      </c>
      <c r="AA138" t="str">
        <f>IFERROR(__xludf.DUMMYFUNCTION("""COMPUTED_VALUE"""),"Good")</f>
        <v>Good</v>
      </c>
      <c r="AB138" t="str">
        <f>IFERROR(__xludf.DUMMYFUNCTION("""COMPUTED_VALUE"""),"Good")</f>
        <v>Good</v>
      </c>
      <c r="AC138" t="str">
        <f>IFERROR(__xludf.DUMMYFUNCTION("""COMPUTED_VALUE"""),"Good")</f>
        <v>Good</v>
      </c>
      <c r="AE138" s="11"/>
      <c r="AF138" t="s">
        <v>32</v>
      </c>
      <c r="AG138" s="17" t="s">
        <v>22</v>
      </c>
      <c r="AH138" s="12">
        <v>1530.0</v>
      </c>
      <c r="AI138" s="12" t="s">
        <v>358</v>
      </c>
      <c r="AJ138" s="19" t="s">
        <v>359</v>
      </c>
      <c r="AK138" s="20" t="str">
        <f>HYPERLINK("https://docs.google.com/document/d/1n6ckOJjtT5Kbqv-5GwvO7IK8Y_xs2-jWe9dPvarxoEo/edit?usp=drivesdk","James Tomazinis - 8/30/2018 10:00 AM")</f>
        <v>James Tomazinis - 8/30/2018 10:00 AM</v>
      </c>
      <c r="AL138" s="12" t="s">
        <v>360</v>
      </c>
    </row>
    <row r="139">
      <c r="A139" s="10">
        <f>IFERROR(__xludf.DUMMYFUNCTION("""COMPUTED_VALUE"""),43347.344824988424)</f>
        <v>43347.34482</v>
      </c>
      <c r="B139" s="11" t="str">
        <f>IFERROR(__xludf.DUMMYFUNCTION("""COMPUTED_VALUE"""),"Ben Mowbray")</f>
        <v>Ben Mowbray</v>
      </c>
      <c r="C139" t="str">
        <f>IFERROR(__xludf.DUMMYFUNCTION("""COMPUTED_VALUE"""),"ben.mowbray@dep.state.fl.us")</f>
        <v>ben.mowbray@dep.state.fl.us</v>
      </c>
      <c r="D139" t="str">
        <f>IFERROR(__xludf.DUMMYFUNCTION("""COMPUTED_VALUE"""),"Research/Pam")</f>
        <v>Research/Pam</v>
      </c>
      <c r="E139" t="str">
        <f>IFERROR(__xludf.DUMMYFUNCTION("""COMPUTED_VALUE"""),"Palm Valley")</f>
        <v>Palm Valley</v>
      </c>
      <c r="F139" s="13">
        <f>IFERROR(__xludf.DUMMYFUNCTION("""COMPUTED_VALUE"""),0.40277777777737356)</f>
        <v>0.4027777778</v>
      </c>
      <c r="G139" s="14">
        <f>IFERROR(__xludf.DUMMYFUNCTION("""COMPUTED_VALUE"""),43347.0)</f>
        <v>43347</v>
      </c>
      <c r="H139" t="str">
        <f>IFERROR(__xludf.DUMMYFUNCTION("""COMPUTED_VALUE"""),"Spat Run")</f>
        <v>Spat Run</v>
      </c>
      <c r="I139" s="15">
        <f>IFERROR(__xludf.DUMMYFUNCTION("""COMPUTED_VALUE"""),0.6458333333321207)</f>
        <v>0.6458333333</v>
      </c>
      <c r="J139" s="16">
        <f>IFERROR(__xludf.DUMMYFUNCTION("""COMPUTED_VALUE"""),43347.6875)</f>
        <v>43347.6875</v>
      </c>
      <c r="K139" t="str">
        <f>IFERROR(__xludf.DUMMYFUNCTION("""COMPUTED_VALUE"""),"20ft Sea Ark FL5351SJ UNF 2015")</f>
        <v>20ft Sea Ark FL5351SJ UNF 2015</v>
      </c>
      <c r="M139" t="str">
        <f>IFERROR(__xludf.DUMMYFUNCTION("""COMPUTED_VALUE"""),"DEP07668 Ford F150 2010")</f>
        <v>DEP07668 Ford F150 2010</v>
      </c>
      <c r="N139" t="str">
        <f>IFERROR(__xludf.DUMMYFUNCTION("""COMPUTED_VALUE"""),"Ben Mowbray, (407) 962-8782")</f>
        <v>Ben Mowbray, (407) 962-8782</v>
      </c>
      <c r="O139" t="str">
        <f>IFERROR(__xludf.DUMMYFUNCTION("""COMPUTED_VALUE"""),"Alicia Bishop, Marissa Raymond")</f>
        <v>Alicia Bishop, Marissa Raymond</v>
      </c>
      <c r="P139" t="str">
        <f>IFERROR(__xludf.DUMMYFUNCTION("""COMPUTED_VALUE"""),"Ben")</f>
        <v>Ben</v>
      </c>
      <c r="Q139" t="str">
        <f>IFERROR(__xludf.DUMMYFUNCTION("""COMPUTED_VALUE"""),"Good")</f>
        <v>Good</v>
      </c>
      <c r="R139" t="str">
        <f>IFERROR(__xludf.DUMMYFUNCTION("""COMPUTED_VALUE"""),"Good")</f>
        <v>Good</v>
      </c>
      <c r="S139" t="str">
        <f>IFERROR(__xludf.DUMMYFUNCTION("""COMPUTED_VALUE"""),"Good")</f>
        <v>Good</v>
      </c>
      <c r="T139" t="str">
        <f>IFERROR(__xludf.DUMMYFUNCTION("""COMPUTED_VALUE"""),"Good")</f>
        <v>Good</v>
      </c>
      <c r="U139" t="str">
        <f>IFERROR(__xludf.DUMMYFUNCTION("""COMPUTED_VALUE"""),"Good")</f>
        <v>Good</v>
      </c>
      <c r="V139" t="str">
        <f>IFERROR(__xludf.DUMMYFUNCTION("""COMPUTED_VALUE"""),"Good")</f>
        <v>Good</v>
      </c>
      <c r="W139" t="str">
        <f>IFERROR(__xludf.DUMMYFUNCTION("""COMPUTED_VALUE"""),"Good")</f>
        <v>Good</v>
      </c>
      <c r="X139" t="str">
        <f>IFERROR(__xludf.DUMMYFUNCTION("""COMPUTED_VALUE"""),"Good")</f>
        <v>Good</v>
      </c>
      <c r="Y139" t="str">
        <f>IFERROR(__xludf.DUMMYFUNCTION("""COMPUTED_VALUE"""),"Good")</f>
        <v>Good</v>
      </c>
      <c r="Z139" t="str">
        <f>IFERROR(__xludf.DUMMYFUNCTION("""COMPUTED_VALUE"""),"Good")</f>
        <v>Good</v>
      </c>
      <c r="AA139" t="str">
        <f>IFERROR(__xludf.DUMMYFUNCTION("""COMPUTED_VALUE"""),"Good")</f>
        <v>Good</v>
      </c>
      <c r="AB139" t="str">
        <f>IFERROR(__xludf.DUMMYFUNCTION("""COMPUTED_VALUE"""),"Good")</f>
        <v>Good</v>
      </c>
      <c r="AC139" t="str">
        <f>IFERROR(__xludf.DUMMYFUNCTION("""COMPUTED_VALUE"""),"Good")</f>
        <v>Good</v>
      </c>
      <c r="AE139" s="11"/>
      <c r="AF139" t="s">
        <v>262</v>
      </c>
      <c r="AG139" s="17" t="s">
        <v>18</v>
      </c>
      <c r="AH139" s="12">
        <v>1517.0</v>
      </c>
      <c r="AI139" s="12" t="s">
        <v>361</v>
      </c>
      <c r="AJ139" s="19" t="s">
        <v>362</v>
      </c>
      <c r="AK139" s="20" t="str">
        <f>HYPERLINK("https://docs.google.com/document/d/1Lmr6ukcytK5A4BRLAWOczZ0_erfF7eQyrndmyQl55_4/edit?usp=drivesdk","Ben Mowbray - 9/4/2018 9:40 AM")</f>
        <v>Ben Mowbray - 9/4/2018 9:40 AM</v>
      </c>
      <c r="AL139" s="12" t="s">
        <v>363</v>
      </c>
    </row>
    <row r="140">
      <c r="A140" s="10">
        <f>IFERROR(__xludf.DUMMYFUNCTION("""COMPUTED_VALUE"""),43347.660692743055)</f>
        <v>43347.66069</v>
      </c>
      <c r="B140" s="11" t="str">
        <f>IFERROR(__xludf.DUMMYFUNCTION("""COMPUTED_VALUE"""),"James Tomazinis")</f>
        <v>James Tomazinis</v>
      </c>
      <c r="C140" t="str">
        <f>IFERROR(__xludf.DUMMYFUNCTION("""COMPUTED_VALUE"""),"james.tomazinis@floridadep.gov")</f>
        <v>james.tomazinis@floridadep.gov</v>
      </c>
      <c r="D140" t="str">
        <f>IFERROR(__xludf.DUMMYFUNCTION("""COMPUTED_VALUE"""),"Stewardship (Aquatic)")</f>
        <v>Stewardship (Aquatic)</v>
      </c>
      <c r="E140" t="str">
        <f>IFERROR(__xludf.DUMMYFUNCTION("""COMPUTED_VALUE"""),"Vilano")</f>
        <v>Vilano</v>
      </c>
      <c r="F140" s="13">
        <f>IFERROR(__xludf.DUMMYFUNCTION("""COMPUTED_VALUE"""),0.2708333333321207)</f>
        <v>0.2708333333</v>
      </c>
      <c r="G140" s="14">
        <f>IFERROR(__xludf.DUMMYFUNCTION("""COMPUTED_VALUE"""),43348.0)</f>
        <v>43348</v>
      </c>
      <c r="H140" t="str">
        <f>IFERROR(__xludf.DUMMYFUNCTION("""COMPUTED_VALUE"""),"SWMP Sites")</f>
        <v>SWMP Sites</v>
      </c>
      <c r="I140" s="15">
        <f>IFERROR(__xludf.DUMMYFUNCTION("""COMPUTED_VALUE"""),0.5416666666678793)</f>
        <v>0.5416666667</v>
      </c>
      <c r="J140" s="16"/>
      <c r="K140" t="str">
        <f>IFERROR(__xludf.DUMMYFUNCTION("""COMPUTED_VALUE"""),"23ft Skiff (Bertha) FL7972LJ DEP07613")</f>
        <v>23ft Skiff (Bertha) FL7972LJ DEP07613</v>
      </c>
      <c r="M140" t="str">
        <f>IFERROR(__xludf.DUMMYFUNCTION("""COMPUTED_VALUE"""),"Ford F250 2017 (Moby Dix) - DEP0021578")</f>
        <v>Ford F250 2017 (Moby Dix) - DEP0021578</v>
      </c>
      <c r="N140" t="str">
        <f>IFERROR(__xludf.DUMMYFUNCTION("""COMPUTED_VALUE"""),"Nikki Dix, (352) 219-4079, Jimmy Tomazinis, (904) 547-0094")</f>
        <v>Nikki Dix, (352) 219-4079, Jimmy Tomazinis, (904) 547-0094</v>
      </c>
      <c r="O140" t="str">
        <f>IFERROR(__xludf.DUMMYFUNCTION("""COMPUTED_VALUE"""),"Jeff Finnan")</f>
        <v>Jeff Finnan</v>
      </c>
      <c r="P140" t="str">
        <f>IFERROR(__xludf.DUMMYFUNCTION("""COMPUTED_VALUE"""),"Jimmy")</f>
        <v>Jimmy</v>
      </c>
      <c r="Q140" t="str">
        <f>IFERROR(__xludf.DUMMYFUNCTION("""COMPUTED_VALUE"""),"Good")</f>
        <v>Good</v>
      </c>
      <c r="R140" t="str">
        <f>IFERROR(__xludf.DUMMYFUNCTION("""COMPUTED_VALUE"""),"Good")</f>
        <v>Good</v>
      </c>
      <c r="S140" t="str">
        <f>IFERROR(__xludf.DUMMYFUNCTION("""COMPUTED_VALUE"""),"Good")</f>
        <v>Good</v>
      </c>
      <c r="T140" t="str">
        <f>IFERROR(__xludf.DUMMYFUNCTION("""COMPUTED_VALUE"""),"Good")</f>
        <v>Good</v>
      </c>
      <c r="U140" t="str">
        <f>IFERROR(__xludf.DUMMYFUNCTION("""COMPUTED_VALUE"""),"Good")</f>
        <v>Good</v>
      </c>
      <c r="V140" t="str">
        <f>IFERROR(__xludf.DUMMYFUNCTION("""COMPUTED_VALUE"""),"Good")</f>
        <v>Good</v>
      </c>
      <c r="W140" t="str">
        <f>IFERROR(__xludf.DUMMYFUNCTION("""COMPUTED_VALUE"""),"Good")</f>
        <v>Good</v>
      </c>
      <c r="X140" t="str">
        <f>IFERROR(__xludf.DUMMYFUNCTION("""COMPUTED_VALUE"""),"Good")</f>
        <v>Good</v>
      </c>
      <c r="Y140" t="str">
        <f>IFERROR(__xludf.DUMMYFUNCTION("""COMPUTED_VALUE"""),"Good")</f>
        <v>Good</v>
      </c>
      <c r="Z140" t="str">
        <f>IFERROR(__xludf.DUMMYFUNCTION("""COMPUTED_VALUE"""),"Good")</f>
        <v>Good</v>
      </c>
      <c r="AA140" t="str">
        <f>IFERROR(__xludf.DUMMYFUNCTION("""COMPUTED_VALUE"""),"Good")</f>
        <v>Good</v>
      </c>
      <c r="AB140" t="str">
        <f>IFERROR(__xludf.DUMMYFUNCTION("""COMPUTED_VALUE"""),"Good")</f>
        <v>Good</v>
      </c>
      <c r="AC140" t="str">
        <f>IFERROR(__xludf.DUMMYFUNCTION("""COMPUTED_VALUE"""),"Good")</f>
        <v>Good</v>
      </c>
      <c r="AE140" s="11"/>
      <c r="AF140" t="s">
        <v>32</v>
      </c>
      <c r="AG140" s="17" t="s">
        <v>18</v>
      </c>
      <c r="AH140" s="12">
        <v>1045.0</v>
      </c>
      <c r="AI140" s="12" t="s">
        <v>364</v>
      </c>
      <c r="AJ140" s="19" t="s">
        <v>365</v>
      </c>
      <c r="AK140" s="20" t="str">
        <f>HYPERLINK("https://docs.google.com/document/d/1O7zNwJ7tD7cHfDAv1vY8YMgIs28bfzrPCLqAZVh0D54/edit?usp=drivesdk","James Tomazinis - 9/5/2018 6:30 AM")</f>
        <v>James Tomazinis - 9/5/2018 6:30 AM</v>
      </c>
      <c r="AL140" s="12" t="s">
        <v>366</v>
      </c>
    </row>
    <row r="141">
      <c r="A141" s="10">
        <f>IFERROR(__xludf.DUMMYFUNCTION("""COMPUTED_VALUE"""),43348.31595107639)</f>
        <v>43348.31595</v>
      </c>
      <c r="B141" s="11" t="str">
        <f>IFERROR(__xludf.DUMMYFUNCTION("""COMPUTED_VALUE"""),"Pamela Marcum")</f>
        <v>Pamela Marcum</v>
      </c>
      <c r="C141" t="str">
        <f>IFERROR(__xludf.DUMMYFUNCTION("""COMPUTED_VALUE"""),"Pamela.Marcum@dep.state.fl.us")</f>
        <v>Pamela.Marcum@dep.state.fl.us</v>
      </c>
      <c r="D141" t="str">
        <f>IFERROR(__xludf.DUMMYFUNCTION("""COMPUTED_VALUE"""),"Research/Nikki")</f>
        <v>Research/Nikki</v>
      </c>
      <c r="E141" t="str">
        <f>IFERROR(__xludf.DUMMYFUNCTION("""COMPUTED_VALUE"""),"Whitney Lab")</f>
        <v>Whitney Lab</v>
      </c>
      <c r="F141" s="13">
        <f>IFERROR(__xludf.DUMMYFUNCTION("""COMPUTED_VALUE"""),0.3958333333321207)</f>
        <v>0.3958333333</v>
      </c>
      <c r="G141" s="14">
        <f>IFERROR(__xludf.DUMMYFUNCTION("""COMPUTED_VALUE"""),43348.0)</f>
        <v>43348</v>
      </c>
      <c r="H141" t="str">
        <f>IFERROR(__xludf.DUMMYFUNCTION("""COMPUTED_VALUE"""),"Dolphin Creek")</f>
        <v>Dolphin Creek</v>
      </c>
      <c r="I141" s="15">
        <f>IFERROR(__xludf.DUMMYFUNCTION("""COMPUTED_VALUE"""),0.625)</f>
        <v>0.625</v>
      </c>
      <c r="J141" s="16">
        <f>IFERROR(__xludf.DUMMYFUNCTION("""COMPUTED_VALUE"""),43348.66666666667)</f>
        <v>43348.66667</v>
      </c>
      <c r="K141" t="str">
        <f>IFERROR(__xludf.DUMMYFUNCTION("""COMPUTED_VALUE"""),"F 20ft Sea Ark (Easy 200) FL8534PY DEP21451")</f>
        <v>F 20ft Sea Ark (Easy 200) FL8534PY DEP21451</v>
      </c>
      <c r="M141" t="str">
        <f>IFERROR(__xludf.DUMMYFUNCTION("""COMPUTED_VALUE"""),"Ford F150 2015 (White) - DEP21448")</f>
        <v>Ford F150 2015 (White) - DEP21448</v>
      </c>
      <c r="N141" t="str">
        <f>IFERROR(__xludf.DUMMYFUNCTION("""COMPUTED_VALUE"""),"Pam Marcum, (480) 332-5414")</f>
        <v>Pam Marcum, (480) 332-5414</v>
      </c>
      <c r="O141" t="str">
        <f>IFERROR(__xludf.DUMMYFUNCTION("""COMPUTED_VALUE"""),"Tatum Theodore, Morgan Langley, Tim Coons, Chuck Snavely")</f>
        <v>Tatum Theodore, Morgan Langley, Tim Coons, Chuck Snavely</v>
      </c>
      <c r="P141" t="str">
        <f>IFERROR(__xludf.DUMMYFUNCTION("""COMPUTED_VALUE"""),"Pamela Marcum")</f>
        <v>Pamela Marcum</v>
      </c>
      <c r="Q141" t="str">
        <f>IFERROR(__xludf.DUMMYFUNCTION("""COMPUTED_VALUE"""),"Good")</f>
        <v>Good</v>
      </c>
      <c r="R141" t="str">
        <f>IFERROR(__xludf.DUMMYFUNCTION("""COMPUTED_VALUE"""),"Good")</f>
        <v>Good</v>
      </c>
      <c r="S141" t="str">
        <f>IFERROR(__xludf.DUMMYFUNCTION("""COMPUTED_VALUE"""),"Good")</f>
        <v>Good</v>
      </c>
      <c r="T141" t="str">
        <f>IFERROR(__xludf.DUMMYFUNCTION("""COMPUTED_VALUE"""),"Good")</f>
        <v>Good</v>
      </c>
      <c r="U141" t="str">
        <f>IFERROR(__xludf.DUMMYFUNCTION("""COMPUTED_VALUE"""),"Good")</f>
        <v>Good</v>
      </c>
      <c r="V141" t="str">
        <f>IFERROR(__xludf.DUMMYFUNCTION("""COMPUTED_VALUE"""),"Good")</f>
        <v>Good</v>
      </c>
      <c r="W141" t="str">
        <f>IFERROR(__xludf.DUMMYFUNCTION("""COMPUTED_VALUE"""),"Good")</f>
        <v>Good</v>
      </c>
      <c r="X141" t="str">
        <f>IFERROR(__xludf.DUMMYFUNCTION("""COMPUTED_VALUE"""),"Good")</f>
        <v>Good</v>
      </c>
      <c r="Y141" t="str">
        <f>IFERROR(__xludf.DUMMYFUNCTION("""COMPUTED_VALUE"""),"Good")</f>
        <v>Good</v>
      </c>
      <c r="Z141" t="str">
        <f>IFERROR(__xludf.DUMMYFUNCTION("""COMPUTED_VALUE"""),"Good")</f>
        <v>Good</v>
      </c>
      <c r="AA141" t="str">
        <f>IFERROR(__xludf.DUMMYFUNCTION("""COMPUTED_VALUE"""),"Good")</f>
        <v>Good</v>
      </c>
      <c r="AB141" t="str">
        <f>IFERROR(__xludf.DUMMYFUNCTION("""COMPUTED_VALUE"""),"Good")</f>
        <v>Good</v>
      </c>
      <c r="AC141" t="str">
        <f>IFERROR(__xludf.DUMMYFUNCTION("""COMPUTED_VALUE"""),"Good")</f>
        <v>Good</v>
      </c>
      <c r="AE141" s="11"/>
      <c r="AF141" t="s">
        <v>218</v>
      </c>
      <c r="AG141" s="17" t="s">
        <v>18</v>
      </c>
      <c r="AH141" s="12">
        <v>1450.0</v>
      </c>
      <c r="AI141" s="12" t="s">
        <v>367</v>
      </c>
      <c r="AJ141" s="19" t="s">
        <v>368</v>
      </c>
      <c r="AK141" s="20" t="str">
        <f>HYPERLINK("https://docs.google.com/document/d/1kJHcvyhgyIpKw8P9mBqauadO_E-MGaX1yx9HngVDcEU/edit?usp=drivesdk","Pamela Marcum - 9/5/2018 9:30 AM")</f>
        <v>Pamela Marcum - 9/5/2018 9:30 AM</v>
      </c>
      <c r="AL141" s="12" t="s">
        <v>369</v>
      </c>
    </row>
    <row r="142">
      <c r="A142" s="10">
        <f>IFERROR(__xludf.DUMMYFUNCTION("""COMPUTED_VALUE"""),43348.33764722222)</f>
        <v>43348.33765</v>
      </c>
      <c r="B142" s="11" t="str">
        <f>IFERROR(__xludf.DUMMYFUNCTION("""COMPUTED_VALUE"""),"Ben Mowbray")</f>
        <v>Ben Mowbray</v>
      </c>
      <c r="C142" t="str">
        <f>IFERROR(__xludf.DUMMYFUNCTION("""COMPUTED_VALUE"""),"ben.mowbray@dep.state.fl.us")</f>
        <v>ben.mowbray@dep.state.fl.us</v>
      </c>
      <c r="D142" t="str">
        <f>IFERROR(__xludf.DUMMYFUNCTION("""COMPUTED_VALUE"""),"Research/Pam")</f>
        <v>Research/Pam</v>
      </c>
      <c r="E142" t="str">
        <f>IFERROR(__xludf.DUMMYFUNCTION("""COMPUTED_VALUE"""),"Aunt Kate's")</f>
        <v>Aunt Kate's</v>
      </c>
      <c r="F142" s="13">
        <f>IFERROR(__xludf.DUMMYFUNCTION("""COMPUTED_VALUE"""),0.38888888889050577)</f>
        <v>0.3888888889</v>
      </c>
      <c r="G142" s="14">
        <f>IFERROR(__xludf.DUMMYFUNCTION("""COMPUTED_VALUE"""),43348.0)</f>
        <v>43348</v>
      </c>
      <c r="H142" t="str">
        <f>IFERROR(__xludf.DUMMYFUNCTION("""COMPUTED_VALUE"""),"Kimbro Reefs in TR, GR")</f>
        <v>Kimbro Reefs in TR, GR</v>
      </c>
      <c r="I142" s="15">
        <f>IFERROR(__xludf.DUMMYFUNCTION("""COMPUTED_VALUE"""),0.5625)</f>
        <v>0.5625</v>
      </c>
      <c r="J142" s="16">
        <f>IFERROR(__xludf.DUMMYFUNCTION("""COMPUTED_VALUE"""),43348.59027777778)</f>
        <v>43348.59028</v>
      </c>
      <c r="K142" t="str">
        <f>IFERROR(__xludf.DUMMYFUNCTION("""COMPUTED_VALUE"""),"20ft Sea Ark FL5351SJ UNF 2015")</f>
        <v>20ft Sea Ark FL5351SJ UNF 2015</v>
      </c>
      <c r="M142" t="str">
        <f>IFERROR(__xludf.DUMMYFUNCTION("""COMPUTED_VALUE"""),"DEP07668 Ford F150 2010")</f>
        <v>DEP07668 Ford F150 2010</v>
      </c>
      <c r="N142" t="str">
        <f>IFERROR(__xludf.DUMMYFUNCTION("""COMPUTED_VALUE"""),"Ben Mowbray, (407) 962-8782")</f>
        <v>Ben Mowbray, (407) 962-8782</v>
      </c>
      <c r="O142" t="str">
        <f>IFERROR(__xludf.DUMMYFUNCTION("""COMPUTED_VALUE"""),"Craig Tinus, Nicole, Adrienne, Rodrigo")</f>
        <v>Craig Tinus, Nicole, Adrienne, Rodrigo</v>
      </c>
      <c r="P142" t="str">
        <f>IFERROR(__xludf.DUMMYFUNCTION("""COMPUTED_VALUE"""),"Ben")</f>
        <v>Ben</v>
      </c>
      <c r="Q142" t="str">
        <f>IFERROR(__xludf.DUMMYFUNCTION("""COMPUTED_VALUE"""),"Good")</f>
        <v>Good</v>
      </c>
      <c r="R142" t="str">
        <f>IFERROR(__xludf.DUMMYFUNCTION("""COMPUTED_VALUE"""),"Good")</f>
        <v>Good</v>
      </c>
      <c r="S142" t="str">
        <f>IFERROR(__xludf.DUMMYFUNCTION("""COMPUTED_VALUE"""),"Good")</f>
        <v>Good</v>
      </c>
      <c r="T142" t="str">
        <f>IFERROR(__xludf.DUMMYFUNCTION("""COMPUTED_VALUE"""),"Good")</f>
        <v>Good</v>
      </c>
      <c r="U142" t="str">
        <f>IFERROR(__xludf.DUMMYFUNCTION("""COMPUTED_VALUE"""),"Good")</f>
        <v>Good</v>
      </c>
      <c r="V142" t="str">
        <f>IFERROR(__xludf.DUMMYFUNCTION("""COMPUTED_VALUE"""),"Good")</f>
        <v>Good</v>
      </c>
      <c r="W142" t="str">
        <f>IFERROR(__xludf.DUMMYFUNCTION("""COMPUTED_VALUE"""),"Good")</f>
        <v>Good</v>
      </c>
      <c r="X142" t="str">
        <f>IFERROR(__xludf.DUMMYFUNCTION("""COMPUTED_VALUE"""),"Good")</f>
        <v>Good</v>
      </c>
      <c r="Y142" t="str">
        <f>IFERROR(__xludf.DUMMYFUNCTION("""COMPUTED_VALUE"""),"Good")</f>
        <v>Good</v>
      </c>
      <c r="Z142" t="str">
        <f>IFERROR(__xludf.DUMMYFUNCTION("""COMPUTED_VALUE"""),"Good")</f>
        <v>Good</v>
      </c>
      <c r="AA142" t="str">
        <f>IFERROR(__xludf.DUMMYFUNCTION("""COMPUTED_VALUE"""),"Good")</f>
        <v>Good</v>
      </c>
      <c r="AB142" t="str">
        <f>IFERROR(__xludf.DUMMYFUNCTION("""COMPUTED_VALUE"""),"Good")</f>
        <v>Good</v>
      </c>
      <c r="AC142" t="str">
        <f>IFERROR(__xludf.DUMMYFUNCTION("""COMPUTED_VALUE"""),"Good")</f>
        <v>Good</v>
      </c>
      <c r="AE142" s="11"/>
      <c r="AF142" t="s">
        <v>262</v>
      </c>
      <c r="AG142" s="17" t="s">
        <v>18</v>
      </c>
      <c r="AH142" s="12">
        <v>1307.0</v>
      </c>
      <c r="AI142" s="12" t="s">
        <v>370</v>
      </c>
      <c r="AJ142" s="19" t="s">
        <v>371</v>
      </c>
      <c r="AK142" s="20" t="str">
        <f>HYPERLINK("https://docs.google.com/document/d/1hlaZ7sS4mysE6nV8d7dJ53WrBvYx2rjjVBaLtrkEUXE/edit?usp=drivesdk","Ben Mowbray - 9/5/2018 9:20 AM")</f>
        <v>Ben Mowbray - 9/5/2018 9:20 AM</v>
      </c>
      <c r="AL142" s="12" t="s">
        <v>372</v>
      </c>
    </row>
    <row r="143">
      <c r="A143" s="10">
        <f>IFERROR(__xludf.DUMMYFUNCTION("""COMPUTED_VALUE"""),43348.60891362269)</f>
        <v>43348.60891</v>
      </c>
      <c r="B143" s="11" t="str">
        <f>IFERROR(__xludf.DUMMYFUNCTION("""COMPUTED_VALUE"""),"Jimmy Tomazinis")</f>
        <v>Jimmy Tomazinis</v>
      </c>
      <c r="C143" t="str">
        <f>IFERROR(__xludf.DUMMYFUNCTION("""COMPUTED_VALUE"""),"james.tomazinis@floridadep.gov")</f>
        <v>james.tomazinis@floridadep.gov</v>
      </c>
      <c r="D143" t="str">
        <f>IFERROR(__xludf.DUMMYFUNCTION("""COMPUTED_VALUE"""),"Stewardship (Aquatic)")</f>
        <v>Stewardship (Aquatic)</v>
      </c>
      <c r="E143" t="str">
        <f>IFERROR(__xludf.DUMMYFUNCTION("""COMPUTED_VALUE"""),"Guana Dam")</f>
        <v>Guana Dam</v>
      </c>
      <c r="F143" s="13">
        <f>IFERROR(__xludf.DUMMYFUNCTION("""COMPUTED_VALUE"""),0.3020833333321207)</f>
        <v>0.3020833333</v>
      </c>
      <c r="G143" s="14">
        <f>IFERROR(__xludf.DUMMYFUNCTION("""COMPUTED_VALUE"""),43349.0)</f>
        <v>43349</v>
      </c>
      <c r="H143" t="str">
        <f>IFERROR(__xludf.DUMMYFUNCTION("""COMPUTED_VALUE"""),"Guana River WQ Sampling sites")</f>
        <v>Guana River WQ Sampling sites</v>
      </c>
      <c r="I143" s="15">
        <f>IFERROR(__xludf.DUMMYFUNCTION("""COMPUTED_VALUE"""),0.375)</f>
        <v>0.375</v>
      </c>
      <c r="J143" s="16"/>
      <c r="K143" t="str">
        <f>IFERROR(__xludf.DUMMYFUNCTION("""COMPUTED_VALUE"""),"Jon Boat FL0484NP DEP06819")</f>
        <v>Jon Boat FL0484NP DEP06819</v>
      </c>
      <c r="M143" t="str">
        <f>IFERROR(__xludf.DUMMYFUNCTION("""COMPUTED_VALUE"""),"Ford F150 2008 - DEP18041 (SWMP Thing)")</f>
        <v>Ford F150 2008 - DEP18041 (SWMP Thing)</v>
      </c>
      <c r="N143" t="str">
        <f>IFERROR(__xludf.DUMMYFUNCTION("""COMPUTED_VALUE"""),"Jimmy Tomazinis, (904) 547-0094")</f>
        <v>Jimmy Tomazinis, (904) 547-0094</v>
      </c>
      <c r="O143" t="str">
        <f>IFERROR(__xludf.DUMMYFUNCTION("""COMPUTED_VALUE"""),"Hunter Mathews")</f>
        <v>Hunter Mathews</v>
      </c>
      <c r="P143" t="str">
        <f>IFERROR(__xludf.DUMMYFUNCTION("""COMPUTED_VALUE"""),"Jimmy")</f>
        <v>Jimmy</v>
      </c>
      <c r="Q143" t="str">
        <f>IFERROR(__xludf.DUMMYFUNCTION("""COMPUTED_VALUE"""),"Good")</f>
        <v>Good</v>
      </c>
      <c r="R143" t="str">
        <f>IFERROR(__xludf.DUMMYFUNCTION("""COMPUTED_VALUE"""),"Good")</f>
        <v>Good</v>
      </c>
      <c r="S143" t="str">
        <f>IFERROR(__xludf.DUMMYFUNCTION("""COMPUTED_VALUE"""),"Good")</f>
        <v>Good</v>
      </c>
      <c r="T143" t="str">
        <f>IFERROR(__xludf.DUMMYFUNCTION("""COMPUTED_VALUE"""),"Good")</f>
        <v>Good</v>
      </c>
      <c r="U143" t="str">
        <f>IFERROR(__xludf.DUMMYFUNCTION("""COMPUTED_VALUE"""),"Good")</f>
        <v>Good</v>
      </c>
      <c r="V143" t="str">
        <f>IFERROR(__xludf.DUMMYFUNCTION("""COMPUTED_VALUE"""),"Good")</f>
        <v>Good</v>
      </c>
      <c r="W143" t="str">
        <f>IFERROR(__xludf.DUMMYFUNCTION("""COMPUTED_VALUE"""),"Good")</f>
        <v>Good</v>
      </c>
      <c r="X143" t="str">
        <f>IFERROR(__xludf.DUMMYFUNCTION("""COMPUTED_VALUE"""),"Good")</f>
        <v>Good</v>
      </c>
      <c r="Y143" t="str">
        <f>IFERROR(__xludf.DUMMYFUNCTION("""COMPUTED_VALUE"""),"Good")</f>
        <v>Good</v>
      </c>
      <c r="Z143" t="str">
        <f>IFERROR(__xludf.DUMMYFUNCTION("""COMPUTED_VALUE"""),"Good")</f>
        <v>Good</v>
      </c>
      <c r="AA143" t="str">
        <f>IFERROR(__xludf.DUMMYFUNCTION("""COMPUTED_VALUE"""),"Good")</f>
        <v>Good</v>
      </c>
      <c r="AB143" t="str">
        <f>IFERROR(__xludf.DUMMYFUNCTION("""COMPUTED_VALUE"""),"Good")</f>
        <v>Good</v>
      </c>
      <c r="AC143" t="str">
        <f>IFERROR(__xludf.DUMMYFUNCTION("""COMPUTED_VALUE"""),"Good")</f>
        <v>Good</v>
      </c>
      <c r="AE143" s="11"/>
      <c r="AF143" t="s">
        <v>32</v>
      </c>
      <c r="AG143" s="17" t="s">
        <v>18</v>
      </c>
      <c r="AH143" s="12">
        <v>1050.0</v>
      </c>
      <c r="AI143" s="12" t="s">
        <v>373</v>
      </c>
      <c r="AJ143" s="19" t="s">
        <v>374</v>
      </c>
      <c r="AK143" s="20" t="str">
        <f>HYPERLINK("https://docs.google.com/document/d/1uWaH_X62R2Liuv1Udb-7AgjTcZgYdkQkjrG1FW0qql4/edit?usp=drivesdk","Jimmy Tomazinis - 9/6/2018 7:15 AM")</f>
        <v>Jimmy Tomazinis - 9/6/2018 7:15 AM</v>
      </c>
      <c r="AL143" s="12" t="s">
        <v>375</v>
      </c>
    </row>
    <row r="144">
      <c r="A144" s="10">
        <f>IFERROR(__xludf.DUMMYFUNCTION("""COMPUTED_VALUE"""),43349.33683384259)</f>
        <v>43349.33683</v>
      </c>
      <c r="B144" s="11" t="str">
        <f>IFERROR(__xludf.DUMMYFUNCTION("""COMPUTED_VALUE"""),"Ben Mowbray")</f>
        <v>Ben Mowbray</v>
      </c>
      <c r="C144" t="str">
        <f>IFERROR(__xludf.DUMMYFUNCTION("""COMPUTED_VALUE"""),"Ben.mowbray@dep.state.fl.us")</f>
        <v>Ben.mowbray@dep.state.fl.us</v>
      </c>
      <c r="D144" t="str">
        <f>IFERROR(__xludf.DUMMYFUNCTION("""COMPUTED_VALUE"""),"Research/Pam")</f>
        <v>Research/Pam</v>
      </c>
      <c r="E144" t="str">
        <f>IFERROR(__xludf.DUMMYFUNCTION("""COMPUTED_VALUE"""),"Shore Dr. =&gt; Aunt Kate's")</f>
        <v>Shore Dr. =&gt; Aunt Kate's</v>
      </c>
      <c r="F144" s="13">
        <f>IFERROR(__xludf.DUMMYFUNCTION("""COMPUTED_VALUE"""),0.38888888889050577)</f>
        <v>0.3888888889</v>
      </c>
      <c r="G144" s="14">
        <f>IFERROR(__xludf.DUMMYFUNCTION("""COMPUTED_VALUE"""),43349.0)</f>
        <v>43349</v>
      </c>
      <c r="H144" t="str">
        <f>IFERROR(__xludf.DUMMYFUNCTION("""COMPUTED_VALUE"""),"Kimbro Reefs SA, RC, GR, PI")</f>
        <v>Kimbro Reefs SA, RC, GR, PI</v>
      </c>
      <c r="I144" s="15">
        <f>IFERROR(__xludf.DUMMYFUNCTION("""COMPUTED_VALUE"""),0.5833333333321207)</f>
        <v>0.5833333333</v>
      </c>
      <c r="J144" s="16">
        <f>IFERROR(__xludf.DUMMYFUNCTION("""COMPUTED_VALUE"""),43349.625)</f>
        <v>43349.625</v>
      </c>
      <c r="K144" t="str">
        <f>IFERROR(__xludf.DUMMYFUNCTION("""COMPUTED_VALUE"""),"23ft Skiff (Bertha) FL7972LJ DEP07613")</f>
        <v>23ft Skiff (Bertha) FL7972LJ DEP07613</v>
      </c>
      <c r="M144" t="str">
        <f>IFERROR(__xludf.DUMMYFUNCTION("""COMPUTED_VALUE"""),"Ford F250 2017 (Moby Dix) - DEP0021578")</f>
        <v>Ford F250 2017 (Moby Dix) - DEP0021578</v>
      </c>
      <c r="N144" t="str">
        <f>IFERROR(__xludf.DUMMYFUNCTION("""COMPUTED_VALUE"""),"Ben Mowbray, (407) 962-8782")</f>
        <v>Ben Mowbray, (407) 962-8782</v>
      </c>
      <c r="O144" t="str">
        <f>IFERROR(__xludf.DUMMYFUNCTION("""COMPUTED_VALUE"""),"Nicole, Rodrigo, Adrienne")</f>
        <v>Nicole, Rodrigo, Adrienne</v>
      </c>
      <c r="P144" t="str">
        <f>IFERROR(__xludf.DUMMYFUNCTION("""COMPUTED_VALUE"""),"Ben")</f>
        <v>Ben</v>
      </c>
      <c r="Q144" t="str">
        <f>IFERROR(__xludf.DUMMYFUNCTION("""COMPUTED_VALUE"""),"Good")</f>
        <v>Good</v>
      </c>
      <c r="R144" t="str">
        <f>IFERROR(__xludf.DUMMYFUNCTION("""COMPUTED_VALUE"""),"Good")</f>
        <v>Good</v>
      </c>
      <c r="S144" t="str">
        <f>IFERROR(__xludf.DUMMYFUNCTION("""COMPUTED_VALUE"""),"Good")</f>
        <v>Good</v>
      </c>
      <c r="T144" t="str">
        <f>IFERROR(__xludf.DUMMYFUNCTION("""COMPUTED_VALUE"""),"Good")</f>
        <v>Good</v>
      </c>
      <c r="U144" t="str">
        <f>IFERROR(__xludf.DUMMYFUNCTION("""COMPUTED_VALUE"""),"Good")</f>
        <v>Good</v>
      </c>
      <c r="V144" t="str">
        <f>IFERROR(__xludf.DUMMYFUNCTION("""COMPUTED_VALUE"""),"Good")</f>
        <v>Good</v>
      </c>
      <c r="W144" t="str">
        <f>IFERROR(__xludf.DUMMYFUNCTION("""COMPUTED_VALUE"""),"Good")</f>
        <v>Good</v>
      </c>
      <c r="X144" t="str">
        <f>IFERROR(__xludf.DUMMYFUNCTION("""COMPUTED_VALUE"""),"Good")</f>
        <v>Good</v>
      </c>
      <c r="Y144" t="str">
        <f>IFERROR(__xludf.DUMMYFUNCTION("""COMPUTED_VALUE"""),"Good")</f>
        <v>Good</v>
      </c>
      <c r="Z144" t="str">
        <f>IFERROR(__xludf.DUMMYFUNCTION("""COMPUTED_VALUE"""),"Good")</f>
        <v>Good</v>
      </c>
      <c r="AA144" t="str">
        <f>IFERROR(__xludf.DUMMYFUNCTION("""COMPUTED_VALUE"""),"Good")</f>
        <v>Good</v>
      </c>
      <c r="AB144" t="str">
        <f>IFERROR(__xludf.DUMMYFUNCTION("""COMPUTED_VALUE"""),"Good")</f>
        <v>Good</v>
      </c>
      <c r="AC144" t="str">
        <f>IFERROR(__xludf.DUMMYFUNCTION("""COMPUTED_VALUE"""),"Good")</f>
        <v>Good</v>
      </c>
      <c r="AE144" s="11"/>
      <c r="AF144" t="s">
        <v>262</v>
      </c>
      <c r="AG144" s="17" t="s">
        <v>18</v>
      </c>
      <c r="AH144" s="12">
        <v>1420.0</v>
      </c>
      <c r="AI144" s="12" t="s">
        <v>376</v>
      </c>
      <c r="AJ144" s="19" t="s">
        <v>377</v>
      </c>
      <c r="AK144" s="20" t="str">
        <f>HYPERLINK("https://docs.google.com/document/d/1yedKFixA69V0VtSDY7-I0SVCLPtcIuBrNsPWlFA5t0Q/edit?usp=drivesdk","Ben Mowbray - 9/6/2018 9:20 AM")</f>
        <v>Ben Mowbray - 9/6/2018 9:20 AM</v>
      </c>
      <c r="AL144" s="12" t="s">
        <v>378</v>
      </c>
    </row>
    <row r="145">
      <c r="A145" s="10">
        <f>IFERROR(__xludf.DUMMYFUNCTION("""COMPUTED_VALUE"""),43349.379244537035)</f>
        <v>43349.37924</v>
      </c>
      <c r="B145" s="11" t="str">
        <f>IFERROR(__xludf.DUMMYFUNCTION("""COMPUTED_VALUE"""),"Pamela Marcum")</f>
        <v>Pamela Marcum</v>
      </c>
      <c r="C145" t="str">
        <f>IFERROR(__xludf.DUMMYFUNCTION("""COMPUTED_VALUE"""),"Pamela.Marcum@Dep.state.fl.us")</f>
        <v>Pamela.Marcum@Dep.state.fl.us</v>
      </c>
      <c r="D145" t="str">
        <f>IFERROR(__xludf.DUMMYFUNCTION("""COMPUTED_VALUE"""),"Research/Nikki")</f>
        <v>Research/Nikki</v>
      </c>
      <c r="E145" t="str">
        <f>IFERROR(__xludf.DUMMYFUNCTION("""COMPUTED_VALUE"""),"Whitney Lab")</f>
        <v>Whitney Lab</v>
      </c>
      <c r="F145" s="13">
        <f>IFERROR(__xludf.DUMMYFUNCTION("""COMPUTED_VALUE"""),0.4375)</f>
        <v>0.4375</v>
      </c>
      <c r="G145" s="14">
        <f>IFERROR(__xludf.DUMMYFUNCTION("""COMPUTED_VALUE"""),43349.0)</f>
        <v>43349</v>
      </c>
      <c r="H145" t="str">
        <f>IFERROR(__xludf.DUMMYFUNCTION("""COMPUTED_VALUE"""),"Summerhaven Bridge/Whitney Reefs")</f>
        <v>Summerhaven Bridge/Whitney Reefs</v>
      </c>
      <c r="I145" s="15">
        <f>IFERROR(__xludf.DUMMYFUNCTION("""COMPUTED_VALUE"""),0.625)</f>
        <v>0.625</v>
      </c>
      <c r="J145" s="16">
        <f>IFERROR(__xludf.DUMMYFUNCTION("""COMPUTED_VALUE"""),43348.66666666667)</f>
        <v>43348.66667</v>
      </c>
      <c r="K145" t="str">
        <f>IFERROR(__xludf.DUMMYFUNCTION("""COMPUTED_VALUE"""),"F 20ft Sea Ark (Easy 200) FL8534PY DEP21451")</f>
        <v>F 20ft Sea Ark (Easy 200) FL8534PY DEP21451</v>
      </c>
      <c r="M145" t="str">
        <f>IFERROR(__xludf.DUMMYFUNCTION("""COMPUTED_VALUE"""),"Ford F150 2015 (White) - DEP21448")</f>
        <v>Ford F150 2015 (White) - DEP21448</v>
      </c>
      <c r="N145" t="str">
        <f>IFERROR(__xludf.DUMMYFUNCTION("""COMPUTED_VALUE"""),"Pam Marcum, (480) 332-5414")</f>
        <v>Pam Marcum, (480) 332-5414</v>
      </c>
      <c r="O145" t="str">
        <f>IFERROR(__xludf.DUMMYFUNCTION("""COMPUTED_VALUE"""),"Tim Coons, Alle Knoell, Jeff Stephenson, George Morgan, Ron Coyne")</f>
        <v>Tim Coons, Alle Knoell, Jeff Stephenson, George Morgan, Ron Coyne</v>
      </c>
      <c r="P145" t="str">
        <f>IFERROR(__xludf.DUMMYFUNCTION("""COMPUTED_VALUE"""),"Pamela Marcum")</f>
        <v>Pamela Marcum</v>
      </c>
      <c r="Q145" t="str">
        <f>IFERROR(__xludf.DUMMYFUNCTION("""COMPUTED_VALUE"""),"Good")</f>
        <v>Good</v>
      </c>
      <c r="R145" t="str">
        <f>IFERROR(__xludf.DUMMYFUNCTION("""COMPUTED_VALUE"""),"Good")</f>
        <v>Good</v>
      </c>
      <c r="S145" t="str">
        <f>IFERROR(__xludf.DUMMYFUNCTION("""COMPUTED_VALUE"""),"Good")</f>
        <v>Good</v>
      </c>
      <c r="T145" t="str">
        <f>IFERROR(__xludf.DUMMYFUNCTION("""COMPUTED_VALUE"""),"Good")</f>
        <v>Good</v>
      </c>
      <c r="U145" t="str">
        <f>IFERROR(__xludf.DUMMYFUNCTION("""COMPUTED_VALUE"""),"Good")</f>
        <v>Good</v>
      </c>
      <c r="V145" t="str">
        <f>IFERROR(__xludf.DUMMYFUNCTION("""COMPUTED_VALUE"""),"Good")</f>
        <v>Good</v>
      </c>
      <c r="W145" t="str">
        <f>IFERROR(__xludf.DUMMYFUNCTION("""COMPUTED_VALUE"""),"Good")</f>
        <v>Good</v>
      </c>
      <c r="X145" t="str">
        <f>IFERROR(__xludf.DUMMYFUNCTION("""COMPUTED_VALUE"""),"Good")</f>
        <v>Good</v>
      </c>
      <c r="Y145" t="str">
        <f>IFERROR(__xludf.DUMMYFUNCTION("""COMPUTED_VALUE"""),"Good")</f>
        <v>Good</v>
      </c>
      <c r="Z145" t="str">
        <f>IFERROR(__xludf.DUMMYFUNCTION("""COMPUTED_VALUE"""),"Good")</f>
        <v>Good</v>
      </c>
      <c r="AA145" t="str">
        <f>IFERROR(__xludf.DUMMYFUNCTION("""COMPUTED_VALUE"""),"Good")</f>
        <v>Good</v>
      </c>
      <c r="AB145" t="str">
        <f>IFERROR(__xludf.DUMMYFUNCTION("""COMPUTED_VALUE"""),"Good")</f>
        <v>Good</v>
      </c>
      <c r="AC145" t="str">
        <f>IFERROR(__xludf.DUMMYFUNCTION("""COMPUTED_VALUE"""),"Good")</f>
        <v>Good</v>
      </c>
      <c r="AE145" s="11"/>
      <c r="AF145" t="s">
        <v>218</v>
      </c>
      <c r="AG145" s="17" t="s">
        <v>18</v>
      </c>
      <c r="AH145" s="12">
        <v>1505.0</v>
      </c>
      <c r="AI145" s="12" t="s">
        <v>379</v>
      </c>
      <c r="AJ145" s="19" t="s">
        <v>380</v>
      </c>
      <c r="AK145" s="20" t="str">
        <f>HYPERLINK("https://docs.google.com/document/d/17DVNObsevh1PglvOtUWG2_f9xR1DhwO97Kb9C_lXeyg/edit?usp=drivesdk","Pamela Marcum - 9/6/2018 10:30 AM")</f>
        <v>Pamela Marcum - 9/6/2018 10:30 AM</v>
      </c>
      <c r="AL145" s="12" t="s">
        <v>381</v>
      </c>
    </row>
    <row r="146">
      <c r="A146" s="10">
        <f>IFERROR(__xludf.DUMMYFUNCTION("""COMPUTED_VALUE"""),43350.373606030094)</f>
        <v>43350.37361</v>
      </c>
      <c r="B146" s="11" t="str">
        <f>IFERROR(__xludf.DUMMYFUNCTION("""COMPUTED_VALUE"""),"Ben Mowbray")</f>
        <v>Ben Mowbray</v>
      </c>
      <c r="C146" t="str">
        <f>IFERROR(__xludf.DUMMYFUNCTION("""COMPUTED_VALUE"""),"ben.mowbray@dep.state.fl.us")</f>
        <v>ben.mowbray@dep.state.fl.us</v>
      </c>
      <c r="D146" t="str">
        <f>IFERROR(__xludf.DUMMYFUNCTION("""COMPUTED_VALUE"""),"Research/Pam")</f>
        <v>Research/Pam</v>
      </c>
      <c r="E146" t="str">
        <f>IFERROR(__xludf.DUMMYFUNCTION("""COMPUTED_VALUE"""),"Green Rd. =&gt; Anastasia Lighthouse")</f>
        <v>Green Rd. =&gt; Anastasia Lighthouse</v>
      </c>
      <c r="F146" s="13">
        <f>IFERROR(__xludf.DUMMYFUNCTION("""COMPUTED_VALUE"""),0.4375)</f>
        <v>0.4375</v>
      </c>
      <c r="G146" s="14">
        <f>IFERROR(__xludf.DUMMYFUNCTION("""COMPUTED_VALUE"""),43350.0)</f>
        <v>43350</v>
      </c>
      <c r="H146" t="str">
        <f>IFERROR(__xludf.DUMMYFUNCTION("""COMPUTED_VALUE"""),"FM, SR Reefs")</f>
        <v>FM, SR Reefs</v>
      </c>
      <c r="I146" s="15">
        <f>IFERROR(__xludf.DUMMYFUNCTION("""COMPUTED_VALUE"""),0.5416666666678793)</f>
        <v>0.5416666667</v>
      </c>
      <c r="J146" s="16">
        <f>IFERROR(__xludf.DUMMYFUNCTION("""COMPUTED_VALUE"""),43350.569444444445)</f>
        <v>43350.56944</v>
      </c>
      <c r="K146" t="str">
        <f>IFERROR(__xludf.DUMMYFUNCTION("""COMPUTED_VALUE"""),"23ft Skiff (Bertha) FL7972LJ DEP07613")</f>
        <v>23ft Skiff (Bertha) FL7972LJ DEP07613</v>
      </c>
      <c r="M146" t="str">
        <f>IFERROR(__xludf.DUMMYFUNCTION("""COMPUTED_VALUE"""),"Ford F250 2017 (Moby Dix) - DEP0021578")</f>
        <v>Ford F250 2017 (Moby Dix) - DEP0021578</v>
      </c>
      <c r="N146" t="str">
        <f>IFERROR(__xludf.DUMMYFUNCTION("""COMPUTED_VALUE"""),"Ben Mowbray, (407) 962-8782")</f>
        <v>Ben Mowbray, (407) 962-8782</v>
      </c>
      <c r="O146" t="str">
        <f>IFERROR(__xludf.DUMMYFUNCTION("""COMPUTED_VALUE"""),"Alicia")</f>
        <v>Alicia</v>
      </c>
      <c r="P146" t="str">
        <f>IFERROR(__xludf.DUMMYFUNCTION("""COMPUTED_VALUE"""),"Ben")</f>
        <v>Ben</v>
      </c>
      <c r="Q146" t="str">
        <f>IFERROR(__xludf.DUMMYFUNCTION("""COMPUTED_VALUE"""),"Good")</f>
        <v>Good</v>
      </c>
      <c r="R146" t="str">
        <f>IFERROR(__xludf.DUMMYFUNCTION("""COMPUTED_VALUE"""),"Good")</f>
        <v>Good</v>
      </c>
      <c r="S146" t="str">
        <f>IFERROR(__xludf.DUMMYFUNCTION("""COMPUTED_VALUE"""),"Good")</f>
        <v>Good</v>
      </c>
      <c r="T146" t="str">
        <f>IFERROR(__xludf.DUMMYFUNCTION("""COMPUTED_VALUE"""),"Good")</f>
        <v>Good</v>
      </c>
      <c r="U146" t="str">
        <f>IFERROR(__xludf.DUMMYFUNCTION("""COMPUTED_VALUE"""),"Good")</f>
        <v>Good</v>
      </c>
      <c r="V146" t="str">
        <f>IFERROR(__xludf.DUMMYFUNCTION("""COMPUTED_VALUE"""),"Good")</f>
        <v>Good</v>
      </c>
      <c r="W146" t="str">
        <f>IFERROR(__xludf.DUMMYFUNCTION("""COMPUTED_VALUE"""),"Good")</f>
        <v>Good</v>
      </c>
      <c r="X146" t="str">
        <f>IFERROR(__xludf.DUMMYFUNCTION("""COMPUTED_VALUE"""),"Good")</f>
        <v>Good</v>
      </c>
      <c r="Y146" t="str">
        <f>IFERROR(__xludf.DUMMYFUNCTION("""COMPUTED_VALUE"""),"Good")</f>
        <v>Good</v>
      </c>
      <c r="Z146" t="str">
        <f>IFERROR(__xludf.DUMMYFUNCTION("""COMPUTED_VALUE"""),"Good")</f>
        <v>Good</v>
      </c>
      <c r="AA146" t="str">
        <f>IFERROR(__xludf.DUMMYFUNCTION("""COMPUTED_VALUE"""),"Good")</f>
        <v>Good</v>
      </c>
      <c r="AB146" t="str">
        <f>IFERROR(__xludf.DUMMYFUNCTION("""COMPUTED_VALUE"""),"Good")</f>
        <v>Good</v>
      </c>
      <c r="AC146" t="str">
        <f>IFERROR(__xludf.DUMMYFUNCTION("""COMPUTED_VALUE"""),"Good")</f>
        <v>Good</v>
      </c>
      <c r="AE146" s="11"/>
      <c r="AF146" t="s">
        <v>262</v>
      </c>
      <c r="AG146" s="17" t="s">
        <v>43</v>
      </c>
      <c r="AH146" s="12">
        <v>1255.0</v>
      </c>
      <c r="AI146" s="12" t="s">
        <v>382</v>
      </c>
      <c r="AJ146" s="19" t="s">
        <v>383</v>
      </c>
      <c r="AK146" s="20" t="str">
        <f>HYPERLINK("https://docs.google.com/document/d/1vK2OVKgBHmbnDyydJiI28-r72XA9d-1diz04IeBEKo4/edit?usp=drivesdk","Ben Mowbray - 9/7/2018 10:30 AM")</f>
        <v>Ben Mowbray - 9/7/2018 10:30 AM</v>
      </c>
      <c r="AL146" s="12" t="s">
        <v>384</v>
      </c>
    </row>
    <row r="147">
      <c r="A147" s="10">
        <f>IFERROR(__xludf.DUMMYFUNCTION("""COMPUTED_VALUE"""),43350.48477306713)</f>
        <v>43350.48477</v>
      </c>
      <c r="B147" s="11" t="str">
        <f>IFERROR(__xludf.DUMMYFUNCTION("""COMPUTED_VALUE"""),"Pam Marcum")</f>
        <v>Pam Marcum</v>
      </c>
      <c r="C147" t="str">
        <f>IFERROR(__xludf.DUMMYFUNCTION("""COMPUTED_VALUE"""),"pamela.marcum@dep.state.fl.us")</f>
        <v>pamela.marcum@dep.state.fl.us</v>
      </c>
      <c r="D147" t="str">
        <f>IFERROR(__xludf.DUMMYFUNCTION("""COMPUTED_VALUE"""),"Research/Nikki")</f>
        <v>Research/Nikki</v>
      </c>
      <c r="E147" t="str">
        <f>IFERROR(__xludf.DUMMYFUNCTION("""COMPUTED_VALUE"""),"Whitney lab")</f>
        <v>Whitney lab</v>
      </c>
      <c r="F147" s="13">
        <f>IFERROR(__xludf.DUMMYFUNCTION("""COMPUTED_VALUE"""),0.4791666666678793)</f>
        <v>0.4791666667</v>
      </c>
      <c r="G147" s="14">
        <f>IFERROR(__xludf.DUMMYFUNCTION("""COMPUTED_VALUE"""),43350.0)</f>
        <v>43350</v>
      </c>
      <c r="H147" t="str">
        <f>IFERROR(__xludf.DUMMYFUNCTION("""COMPUTED_VALUE"""),"Whitney reefs and pellicer spat")</f>
        <v>Whitney reefs and pellicer spat</v>
      </c>
      <c r="I147" s="15">
        <f>IFERROR(__xludf.DUMMYFUNCTION("""COMPUTED_VALUE"""),0.625)</f>
        <v>0.625</v>
      </c>
      <c r="J147" s="16">
        <f>IFERROR(__xludf.DUMMYFUNCTION("""COMPUTED_VALUE"""),43350.66666666667)</f>
        <v>43350.66667</v>
      </c>
      <c r="K147" t="str">
        <f>IFERROR(__xludf.DUMMYFUNCTION("""COMPUTED_VALUE"""),"F 20ft Sea Ark (Easy 200) FL8534PY DEP21451")</f>
        <v>F 20ft Sea Ark (Easy 200) FL8534PY DEP21451</v>
      </c>
      <c r="M147" t="str">
        <f>IFERROR(__xludf.DUMMYFUNCTION("""COMPUTED_VALUE"""),"Ford F150 2015 (White) - DEP21448")</f>
        <v>Ford F150 2015 (White) - DEP21448</v>
      </c>
      <c r="N147" t="str">
        <f>IFERROR(__xludf.DUMMYFUNCTION("""COMPUTED_VALUE"""),"Pam Marcum, (480) 332-5414")</f>
        <v>Pam Marcum, (480) 332-5414</v>
      </c>
      <c r="O147" t="str">
        <f>IFERROR(__xludf.DUMMYFUNCTION("""COMPUTED_VALUE"""),"Chris Kurtz, Julie Edwards, Diane ")</f>
        <v>Chris Kurtz, Julie Edwards, Diane </v>
      </c>
      <c r="P147" t="str">
        <f>IFERROR(__xludf.DUMMYFUNCTION("""COMPUTED_VALUE"""),"Pam")</f>
        <v>Pam</v>
      </c>
      <c r="Q147" t="str">
        <f>IFERROR(__xludf.DUMMYFUNCTION("""COMPUTED_VALUE"""),"Good")</f>
        <v>Good</v>
      </c>
      <c r="R147" t="str">
        <f>IFERROR(__xludf.DUMMYFUNCTION("""COMPUTED_VALUE"""),"Good")</f>
        <v>Good</v>
      </c>
      <c r="S147" t="str">
        <f>IFERROR(__xludf.DUMMYFUNCTION("""COMPUTED_VALUE"""),"Good")</f>
        <v>Good</v>
      </c>
      <c r="T147" t="str">
        <f>IFERROR(__xludf.DUMMYFUNCTION("""COMPUTED_VALUE"""),"Good")</f>
        <v>Good</v>
      </c>
      <c r="U147" t="str">
        <f>IFERROR(__xludf.DUMMYFUNCTION("""COMPUTED_VALUE"""),"Good")</f>
        <v>Good</v>
      </c>
      <c r="V147" t="str">
        <f>IFERROR(__xludf.DUMMYFUNCTION("""COMPUTED_VALUE"""),"Good")</f>
        <v>Good</v>
      </c>
      <c r="W147" t="str">
        <f>IFERROR(__xludf.DUMMYFUNCTION("""COMPUTED_VALUE"""),"Good")</f>
        <v>Good</v>
      </c>
      <c r="X147" t="str">
        <f>IFERROR(__xludf.DUMMYFUNCTION("""COMPUTED_VALUE"""),"Good")</f>
        <v>Good</v>
      </c>
      <c r="Y147" t="str">
        <f>IFERROR(__xludf.DUMMYFUNCTION("""COMPUTED_VALUE"""),"Good")</f>
        <v>Good</v>
      </c>
      <c r="Z147" t="str">
        <f>IFERROR(__xludf.DUMMYFUNCTION("""COMPUTED_VALUE"""),"Good")</f>
        <v>Good</v>
      </c>
      <c r="AA147" t="str">
        <f>IFERROR(__xludf.DUMMYFUNCTION("""COMPUTED_VALUE"""),"Good")</f>
        <v>Good</v>
      </c>
      <c r="AB147" t="str">
        <f>IFERROR(__xludf.DUMMYFUNCTION("""COMPUTED_VALUE"""),"Good")</f>
        <v>Good</v>
      </c>
      <c r="AC147" t="str">
        <f>IFERROR(__xludf.DUMMYFUNCTION("""COMPUTED_VALUE"""),"Good")</f>
        <v>Good</v>
      </c>
      <c r="AE147" s="11"/>
      <c r="AF147" t="s">
        <v>218</v>
      </c>
      <c r="AG147" s="17" t="s">
        <v>18</v>
      </c>
      <c r="AH147" s="12">
        <v>1520.0</v>
      </c>
      <c r="AI147" s="12" t="s">
        <v>385</v>
      </c>
      <c r="AJ147" s="19" t="s">
        <v>386</v>
      </c>
      <c r="AK147" s="20" t="str">
        <f>HYPERLINK("https://docs.google.com/document/d/1pOCINOcEnSuc-joWQ1QIg6quFm4xBtL_1Iljg7H-ldU/edit?usp=drivesdk","Pam Marcum - 9/7/2018 11:30 AM")</f>
        <v>Pam Marcum - 9/7/2018 11:30 AM</v>
      </c>
      <c r="AL147" s="12" t="s">
        <v>387</v>
      </c>
    </row>
    <row r="148">
      <c r="A148" s="10">
        <f>IFERROR(__xludf.DUMMYFUNCTION("""COMPUTED_VALUE"""),43352.41985236111)</f>
        <v>43352.41985</v>
      </c>
      <c r="B148" s="11" t="str">
        <f>IFERROR(__xludf.DUMMYFUNCTION("""COMPUTED_VALUE"""),"Pam Marcum")</f>
        <v>Pam Marcum</v>
      </c>
      <c r="C148" t="str">
        <f>IFERROR(__xludf.DUMMYFUNCTION("""COMPUTED_VALUE"""),"Pamela.Marcum@dep.state.fl.us")</f>
        <v>Pamela.Marcum@dep.state.fl.us</v>
      </c>
      <c r="D148" t="str">
        <f>IFERROR(__xludf.DUMMYFUNCTION("""COMPUTED_VALUE"""),"Research/Nikki")</f>
        <v>Research/Nikki</v>
      </c>
      <c r="E148" t="str">
        <f>IFERROR(__xludf.DUMMYFUNCTION("""COMPUTED_VALUE"""),"Princess Place")</f>
        <v>Princess Place</v>
      </c>
      <c r="F148" s="13">
        <f>IFERROR(__xludf.DUMMYFUNCTION("""COMPUTED_VALUE"""),0.5416666666678793)</f>
        <v>0.5416666667</v>
      </c>
      <c r="G148" s="14">
        <f>IFERROR(__xludf.DUMMYFUNCTION("""COMPUTED_VALUE"""),43352.0)</f>
        <v>43352</v>
      </c>
      <c r="H148" t="str">
        <f>IFERROR(__xludf.DUMMYFUNCTION("""COMPUTED_VALUE"""),"Pellicer Flats")</f>
        <v>Pellicer Flats</v>
      </c>
      <c r="I148" s="15">
        <f>IFERROR(__xludf.DUMMYFUNCTION("""COMPUTED_VALUE"""),0.7916666666678793)</f>
        <v>0.7916666667</v>
      </c>
      <c r="J148" s="16">
        <f>IFERROR(__xludf.DUMMYFUNCTION("""COMPUTED_VALUE"""),43352.83333333333)</f>
        <v>43352.83333</v>
      </c>
      <c r="K148" t="str">
        <f>IFERROR(__xludf.DUMMYFUNCTION("""COMPUTED_VALUE"""),"Jon Boat FL0484NP DEP06819")</f>
        <v>Jon Boat FL0484NP DEP06819</v>
      </c>
      <c r="M148" t="str">
        <f>IFERROR(__xludf.DUMMYFUNCTION("""COMPUTED_VALUE"""),"Ford F150 2008 - DEP18041 (SWMP Thing)")</f>
        <v>Ford F150 2008 - DEP18041 (SWMP Thing)</v>
      </c>
      <c r="N148" t="str">
        <f>IFERROR(__xludf.DUMMYFUNCTION("""COMPUTED_VALUE"""),"Pam Marcum, (480) 332-5414")</f>
        <v>Pam Marcum, (480) 332-5414</v>
      </c>
      <c r="O148" t="str">
        <f>IFERROR(__xludf.DUMMYFUNCTION("""COMPUTED_VALUE"""),"Steve Durham, Cheryl Clark")</f>
        <v>Steve Durham, Cheryl Clark</v>
      </c>
      <c r="P148" t="str">
        <f>IFERROR(__xludf.DUMMYFUNCTION("""COMPUTED_VALUE"""),"Pam")</f>
        <v>Pam</v>
      </c>
      <c r="Q148" t="str">
        <f>IFERROR(__xludf.DUMMYFUNCTION("""COMPUTED_VALUE"""),"Good")</f>
        <v>Good</v>
      </c>
      <c r="R148" t="str">
        <f>IFERROR(__xludf.DUMMYFUNCTION("""COMPUTED_VALUE"""),"Good")</f>
        <v>Good</v>
      </c>
      <c r="S148" t="str">
        <f>IFERROR(__xludf.DUMMYFUNCTION("""COMPUTED_VALUE"""),"Good")</f>
        <v>Good</v>
      </c>
      <c r="T148" t="str">
        <f>IFERROR(__xludf.DUMMYFUNCTION("""COMPUTED_VALUE"""),"Good")</f>
        <v>Good</v>
      </c>
      <c r="U148" t="str">
        <f>IFERROR(__xludf.DUMMYFUNCTION("""COMPUTED_VALUE"""),"Good")</f>
        <v>Good</v>
      </c>
      <c r="V148" t="str">
        <f>IFERROR(__xludf.DUMMYFUNCTION("""COMPUTED_VALUE"""),"Good")</f>
        <v>Good</v>
      </c>
      <c r="W148" t="str">
        <f>IFERROR(__xludf.DUMMYFUNCTION("""COMPUTED_VALUE"""),"Good")</f>
        <v>Good</v>
      </c>
      <c r="X148" t="str">
        <f>IFERROR(__xludf.DUMMYFUNCTION("""COMPUTED_VALUE"""),"Good")</f>
        <v>Good</v>
      </c>
      <c r="Y148" t="str">
        <f>IFERROR(__xludf.DUMMYFUNCTION("""COMPUTED_VALUE"""),"Good")</f>
        <v>Good</v>
      </c>
      <c r="Z148" t="str">
        <f>IFERROR(__xludf.DUMMYFUNCTION("""COMPUTED_VALUE"""),"Good")</f>
        <v>Good</v>
      </c>
      <c r="AA148" t="str">
        <f>IFERROR(__xludf.DUMMYFUNCTION("""COMPUTED_VALUE"""),"Good")</f>
        <v>Good</v>
      </c>
      <c r="AB148" t="str">
        <f>IFERROR(__xludf.DUMMYFUNCTION("""COMPUTED_VALUE"""),"Good")</f>
        <v>Good</v>
      </c>
      <c r="AC148" t="str">
        <f>IFERROR(__xludf.DUMMYFUNCTION("""COMPUTED_VALUE"""),"Good")</f>
        <v>Good</v>
      </c>
      <c r="AE148" s="11"/>
      <c r="AF148" t="s">
        <v>218</v>
      </c>
      <c r="AG148" s="17" t="s">
        <v>43</v>
      </c>
      <c r="AH148" s="12">
        <v>1900.0</v>
      </c>
      <c r="AI148" s="12" t="s">
        <v>388</v>
      </c>
      <c r="AJ148" s="19" t="s">
        <v>389</v>
      </c>
      <c r="AK148" s="20" t="str">
        <f>HYPERLINK("https://docs.google.com/document/d/1horU_i0hM4yRqRXVdDj8o-byRvvnkNKOrgAhhkzyH94/edit?usp=drivesdk","Pam Marcum - 9/9/2018 1:00 PM")</f>
        <v>Pam Marcum - 9/9/2018 1:00 PM</v>
      </c>
      <c r="AL148" s="12" t="s">
        <v>390</v>
      </c>
    </row>
    <row r="149">
      <c r="A149" s="10">
        <f>IFERROR(__xludf.DUMMYFUNCTION("""COMPUTED_VALUE"""),43352.5349496875)</f>
        <v>43352.53495</v>
      </c>
      <c r="B149" s="11" t="str">
        <f>IFERROR(__xludf.DUMMYFUNCTION("""COMPUTED_VALUE"""),"Ben Mowbray")</f>
        <v>Ben Mowbray</v>
      </c>
      <c r="C149" t="str">
        <f>IFERROR(__xludf.DUMMYFUNCTION("""COMPUTED_VALUE"""),"ben.mowbray@dep.state.fl.us")</f>
        <v>ben.mowbray@dep.state.fl.us</v>
      </c>
      <c r="D149" t="str">
        <f>IFERROR(__xludf.DUMMYFUNCTION("""COMPUTED_VALUE"""),"Research/Nikki")</f>
        <v>Research/Nikki</v>
      </c>
      <c r="E149" t="str">
        <f>IFERROR(__xludf.DUMMYFUNCTION("""COMPUTED_VALUE"""),"Faver Dykes")</f>
        <v>Faver Dykes</v>
      </c>
      <c r="F149" s="13">
        <f>IFERROR(__xludf.DUMMYFUNCTION("""COMPUTED_VALUE"""),0.5833333333321207)</f>
        <v>0.5833333333</v>
      </c>
      <c r="G149" s="14">
        <f>IFERROR(__xludf.DUMMYFUNCTION("""COMPUTED_VALUE"""),43352.0)</f>
        <v>43352</v>
      </c>
      <c r="H149" t="str">
        <f>IFERROR(__xludf.DUMMYFUNCTION("""COMPUTED_VALUE"""),"Pellicer Reefs")</f>
        <v>Pellicer Reefs</v>
      </c>
      <c r="I149" s="15">
        <f>IFERROR(__xludf.DUMMYFUNCTION("""COMPUTED_VALUE"""),0.75)</f>
        <v>0.75</v>
      </c>
      <c r="J149" s="16">
        <f>IFERROR(__xludf.DUMMYFUNCTION("""COMPUTED_VALUE"""),43352.79166666667)</f>
        <v>43352.79167</v>
      </c>
      <c r="K149" t="str">
        <f>IFERROR(__xludf.DUMMYFUNCTION("""COMPUTED_VALUE"""),"20ft Sea Ark FL5351SJ UNF 2015")</f>
        <v>20ft Sea Ark FL5351SJ UNF 2015</v>
      </c>
      <c r="M149" t="str">
        <f>IFERROR(__xludf.DUMMYFUNCTION("""COMPUTED_VALUE"""),"Ford F250 2017 (Moby Dix) - DEP0021578")</f>
        <v>Ford F250 2017 (Moby Dix) - DEP0021578</v>
      </c>
      <c r="N149" t="str">
        <f>IFERROR(__xludf.DUMMYFUNCTION("""COMPUTED_VALUE"""),"Ben Mowbray, (407) 962-8782")</f>
        <v>Ben Mowbray, (407) 962-8782</v>
      </c>
      <c r="O149" t="str">
        <f>IFERROR(__xludf.DUMMYFUNCTION("""COMPUTED_VALUE"""),"Marissa Raymond, Mason Schilling, Anna Thorness, Dawn Thorsness")</f>
        <v>Marissa Raymond, Mason Schilling, Anna Thorness, Dawn Thorsness</v>
      </c>
      <c r="P149" t="str">
        <f>IFERROR(__xludf.DUMMYFUNCTION("""COMPUTED_VALUE"""),"Ben")</f>
        <v>Ben</v>
      </c>
      <c r="Q149" t="str">
        <f>IFERROR(__xludf.DUMMYFUNCTION("""COMPUTED_VALUE"""),"Good")</f>
        <v>Good</v>
      </c>
      <c r="R149" t="str">
        <f>IFERROR(__xludf.DUMMYFUNCTION("""COMPUTED_VALUE"""),"Good")</f>
        <v>Good</v>
      </c>
      <c r="S149" t="str">
        <f>IFERROR(__xludf.DUMMYFUNCTION("""COMPUTED_VALUE"""),"Good")</f>
        <v>Good</v>
      </c>
      <c r="T149" t="str">
        <f>IFERROR(__xludf.DUMMYFUNCTION("""COMPUTED_VALUE"""),"Good")</f>
        <v>Good</v>
      </c>
      <c r="U149" t="str">
        <f>IFERROR(__xludf.DUMMYFUNCTION("""COMPUTED_VALUE"""),"Good")</f>
        <v>Good</v>
      </c>
      <c r="V149" t="str">
        <f>IFERROR(__xludf.DUMMYFUNCTION("""COMPUTED_VALUE"""),"Good")</f>
        <v>Good</v>
      </c>
      <c r="W149" t="str">
        <f>IFERROR(__xludf.DUMMYFUNCTION("""COMPUTED_VALUE"""),"Good")</f>
        <v>Good</v>
      </c>
      <c r="X149" t="str">
        <f>IFERROR(__xludf.DUMMYFUNCTION("""COMPUTED_VALUE"""),"Good")</f>
        <v>Good</v>
      </c>
      <c r="Y149" t="str">
        <f>IFERROR(__xludf.DUMMYFUNCTION("""COMPUTED_VALUE"""),"Good")</f>
        <v>Good</v>
      </c>
      <c r="Z149" t="str">
        <f>IFERROR(__xludf.DUMMYFUNCTION("""COMPUTED_VALUE"""),"Good")</f>
        <v>Good</v>
      </c>
      <c r="AA149" t="str">
        <f>IFERROR(__xludf.DUMMYFUNCTION("""COMPUTED_VALUE"""),"Good")</f>
        <v>Good</v>
      </c>
      <c r="AB149" t="str">
        <f>IFERROR(__xludf.DUMMYFUNCTION("""COMPUTED_VALUE"""),"Good")</f>
        <v>Good</v>
      </c>
      <c r="AC149" t="str">
        <f>IFERROR(__xludf.DUMMYFUNCTION("""COMPUTED_VALUE"""),"Good")</f>
        <v>Good</v>
      </c>
      <c r="AE149" s="11"/>
      <c r="AF149" t="s">
        <v>218</v>
      </c>
      <c r="AG149" s="17" t="s">
        <v>43</v>
      </c>
      <c r="AH149" s="12">
        <v>1930.0</v>
      </c>
      <c r="AI149" s="12" t="s">
        <v>391</v>
      </c>
      <c r="AJ149" s="19" t="s">
        <v>392</v>
      </c>
      <c r="AK149" s="20" t="str">
        <f>HYPERLINK("https://docs.google.com/document/d/1cwuPEokQaH8ROzsr7i8PtwhzKFzoCSG6aC6VvMPnr4c/edit?usp=drivesdk","Ben Mowbray - 9/9/2018 2:00 PM")</f>
        <v>Ben Mowbray - 9/9/2018 2:00 PM</v>
      </c>
      <c r="AL149" s="12" t="s">
        <v>393</v>
      </c>
    </row>
    <row r="150">
      <c r="A150" s="10">
        <f>IFERROR(__xludf.DUMMYFUNCTION("""COMPUTED_VALUE"""),43353.46825475695)</f>
        <v>43353.46825</v>
      </c>
      <c r="B150" s="11" t="str">
        <f>IFERROR(__xludf.DUMMYFUNCTION("""COMPUTED_VALUE"""),"Ben Mowbray")</f>
        <v>Ben Mowbray</v>
      </c>
      <c r="C150" t="str">
        <f>IFERROR(__xludf.DUMMYFUNCTION("""COMPUTED_VALUE"""),"ben.mowbray@dep.state.fl.us")</f>
        <v>ben.mowbray@dep.state.fl.us</v>
      </c>
      <c r="D150" t="str">
        <f>IFERROR(__xludf.DUMMYFUNCTION("""COMPUTED_VALUE"""),"Research/Nikki")</f>
        <v>Research/Nikki</v>
      </c>
      <c r="E150" t="str">
        <f>IFERROR(__xludf.DUMMYFUNCTION("""COMPUTED_VALUE"""),"Green Rd.")</f>
        <v>Green Rd.</v>
      </c>
      <c r="F150" s="13">
        <f>IFERROR(__xludf.DUMMYFUNCTION("""COMPUTED_VALUE"""),0.5555555555547471)</f>
        <v>0.5555555556</v>
      </c>
      <c r="G150" s="14">
        <f>IFERROR(__xludf.DUMMYFUNCTION("""COMPUTED_VALUE"""),43353.0)</f>
        <v>43353</v>
      </c>
      <c r="H150" t="str">
        <f>IFERROR(__xludf.DUMMYFUNCTION("""COMPUTED_VALUE"""),"Durham Reef")</f>
        <v>Durham Reef</v>
      </c>
      <c r="I150" s="15">
        <f>IFERROR(__xludf.DUMMYFUNCTION("""COMPUTED_VALUE"""),0.7916666666678793)</f>
        <v>0.7916666667</v>
      </c>
      <c r="J150" s="16">
        <f>IFERROR(__xludf.DUMMYFUNCTION("""COMPUTED_VALUE"""),43353.83333333333)</f>
        <v>43353.83333</v>
      </c>
      <c r="K150" t="str">
        <f>IFERROR(__xludf.DUMMYFUNCTION("""COMPUTED_VALUE"""),"23ft Skiff (Bertha) FL7972LJ DEP07613")</f>
        <v>23ft Skiff (Bertha) FL7972LJ DEP07613</v>
      </c>
      <c r="M150" t="str">
        <f>IFERROR(__xludf.DUMMYFUNCTION("""COMPUTED_VALUE"""),"Ford F250 2017 (Moby Dix) - DEP0021578")</f>
        <v>Ford F250 2017 (Moby Dix) - DEP0021578</v>
      </c>
      <c r="N150" t="str">
        <f>IFERROR(__xludf.DUMMYFUNCTION("""COMPUTED_VALUE"""),"Pam Marcum, (480) 332-5414, Ben Mowbray, (407) 962-8782")</f>
        <v>Pam Marcum, (480) 332-5414, Ben Mowbray, (407) 962-8782</v>
      </c>
      <c r="O150" t="str">
        <f>IFERROR(__xludf.DUMMYFUNCTION("""COMPUTED_VALUE"""),"Steve Durham, Cheryl, Alicia")</f>
        <v>Steve Durham, Cheryl, Alicia</v>
      </c>
      <c r="P150" t="str">
        <f>IFERROR(__xludf.DUMMYFUNCTION("""COMPUTED_VALUE"""),"Pam")</f>
        <v>Pam</v>
      </c>
      <c r="Q150" t="str">
        <f>IFERROR(__xludf.DUMMYFUNCTION("""COMPUTED_VALUE"""),"Good")</f>
        <v>Good</v>
      </c>
      <c r="R150" t="str">
        <f>IFERROR(__xludf.DUMMYFUNCTION("""COMPUTED_VALUE"""),"Good")</f>
        <v>Good</v>
      </c>
      <c r="S150" t="str">
        <f>IFERROR(__xludf.DUMMYFUNCTION("""COMPUTED_VALUE"""),"Good")</f>
        <v>Good</v>
      </c>
      <c r="T150" t="str">
        <f>IFERROR(__xludf.DUMMYFUNCTION("""COMPUTED_VALUE"""),"Good")</f>
        <v>Good</v>
      </c>
      <c r="U150" t="str">
        <f>IFERROR(__xludf.DUMMYFUNCTION("""COMPUTED_VALUE"""),"Good")</f>
        <v>Good</v>
      </c>
      <c r="V150" t="str">
        <f>IFERROR(__xludf.DUMMYFUNCTION("""COMPUTED_VALUE"""),"Good")</f>
        <v>Good</v>
      </c>
      <c r="W150" t="str">
        <f>IFERROR(__xludf.DUMMYFUNCTION("""COMPUTED_VALUE"""),"Good")</f>
        <v>Good</v>
      </c>
      <c r="X150" t="str">
        <f>IFERROR(__xludf.DUMMYFUNCTION("""COMPUTED_VALUE"""),"Good")</f>
        <v>Good</v>
      </c>
      <c r="Y150" t="str">
        <f>IFERROR(__xludf.DUMMYFUNCTION("""COMPUTED_VALUE"""),"Good")</f>
        <v>Good</v>
      </c>
      <c r="Z150" t="str">
        <f>IFERROR(__xludf.DUMMYFUNCTION("""COMPUTED_VALUE"""),"Good")</f>
        <v>Good</v>
      </c>
      <c r="AA150" t="str">
        <f>IFERROR(__xludf.DUMMYFUNCTION("""COMPUTED_VALUE"""),"Good")</f>
        <v>Good</v>
      </c>
      <c r="AB150" t="str">
        <f>IFERROR(__xludf.DUMMYFUNCTION("""COMPUTED_VALUE"""),"Good")</f>
        <v>Good</v>
      </c>
      <c r="AC150" t="str">
        <f>IFERROR(__xludf.DUMMYFUNCTION("""COMPUTED_VALUE"""),"Good")</f>
        <v>Good</v>
      </c>
      <c r="AE150" s="11"/>
      <c r="AF150" t="s">
        <v>218</v>
      </c>
      <c r="AG150" s="17" t="s">
        <v>43</v>
      </c>
      <c r="AH150" s="12">
        <v>2006.0</v>
      </c>
      <c r="AI150" s="12" t="s">
        <v>394</v>
      </c>
      <c r="AJ150" s="19" t="s">
        <v>395</v>
      </c>
      <c r="AK150" s="20" t="str">
        <f>HYPERLINK("https://docs.google.com/document/d/18a8HUQtBa0oDSzts9fdeoJSPbEzLp3lUXgyOK0PBc3I/edit?usp=drivesdk","Ben Mowbray - 9/10/2018 1:20 PM")</f>
        <v>Ben Mowbray - 9/10/2018 1:20 PM</v>
      </c>
      <c r="AL150" s="12" t="s">
        <v>396</v>
      </c>
    </row>
    <row r="151">
      <c r="A151" s="10">
        <f>IFERROR(__xludf.DUMMYFUNCTION("""COMPUTED_VALUE"""),43353.549159016206)</f>
        <v>43353.54916</v>
      </c>
      <c r="B151" s="11" t="str">
        <f>IFERROR(__xludf.DUMMYFUNCTION("""COMPUTED_VALUE"""),"Pamela Marcum")</f>
        <v>Pamela Marcum</v>
      </c>
      <c r="C151" t="str">
        <f>IFERROR(__xludf.DUMMYFUNCTION("""COMPUTED_VALUE"""),"Pamela.Marcum@dep.state.fl.us")</f>
        <v>Pamela.Marcum@dep.state.fl.us</v>
      </c>
      <c r="D151" t="str">
        <f>IFERROR(__xludf.DUMMYFUNCTION("""COMPUTED_VALUE"""),"Research/Nikki")</f>
        <v>Research/Nikki</v>
      </c>
      <c r="E151" t="str">
        <f>IFERROR(__xludf.DUMMYFUNCTION("""COMPUTED_VALUE"""),"Green Rd")</f>
        <v>Green Rd</v>
      </c>
      <c r="F151" s="13">
        <f>IFERROR(__xludf.DUMMYFUNCTION("""COMPUTED_VALUE"""),0.5833333333321207)</f>
        <v>0.5833333333</v>
      </c>
      <c r="G151" s="14">
        <f>IFERROR(__xludf.DUMMYFUNCTION("""COMPUTED_VALUE"""),43353.0)</f>
        <v>43353</v>
      </c>
      <c r="H151" t="str">
        <f>IFERROR(__xludf.DUMMYFUNCTION("""COMPUTED_VALUE"""),"Devil's Elbow")</f>
        <v>Devil's Elbow</v>
      </c>
      <c r="I151" s="15">
        <f>IFERROR(__xludf.DUMMYFUNCTION("""COMPUTED_VALUE"""),0.75)</f>
        <v>0.75</v>
      </c>
      <c r="J151" s="16">
        <f>IFERROR(__xludf.DUMMYFUNCTION("""COMPUTED_VALUE"""),43353.79166666667)</f>
        <v>43353.79167</v>
      </c>
      <c r="K151" t="str">
        <f>IFERROR(__xludf.DUMMYFUNCTION("""COMPUTED_VALUE"""),"23ft Skiff (Bertha) FL7972LJ DEP07613")</f>
        <v>23ft Skiff (Bertha) FL7972LJ DEP07613</v>
      </c>
      <c r="M151" t="str">
        <f>IFERROR(__xludf.DUMMYFUNCTION("""COMPUTED_VALUE"""),"Ford F250 2017 (Moby Dix) - DEP0021578")</f>
        <v>Ford F250 2017 (Moby Dix) - DEP0021578</v>
      </c>
      <c r="N151" t="str">
        <f>IFERROR(__xludf.DUMMYFUNCTION("""COMPUTED_VALUE"""),"Pam Marcum, (480) 332-5414, Ben Mowbray, (407) 962-8782")</f>
        <v>Pam Marcum, (480) 332-5414, Ben Mowbray, (407) 962-8782</v>
      </c>
      <c r="O151" t="str">
        <f>IFERROR(__xludf.DUMMYFUNCTION("""COMPUTED_VALUE"""),"Alicia Bishop, Stephen Durham, Cheryl Clark")</f>
        <v>Alicia Bishop, Stephen Durham, Cheryl Clark</v>
      </c>
      <c r="P151" t="str">
        <f>IFERROR(__xludf.DUMMYFUNCTION("""COMPUTED_VALUE"""),"Pam Marcum")</f>
        <v>Pam Marcum</v>
      </c>
      <c r="Q151" t="str">
        <f>IFERROR(__xludf.DUMMYFUNCTION("""COMPUTED_VALUE"""),"Good")</f>
        <v>Good</v>
      </c>
      <c r="R151" t="str">
        <f>IFERROR(__xludf.DUMMYFUNCTION("""COMPUTED_VALUE"""),"Good")</f>
        <v>Good</v>
      </c>
      <c r="S151" t="str">
        <f>IFERROR(__xludf.DUMMYFUNCTION("""COMPUTED_VALUE"""),"Good")</f>
        <v>Good</v>
      </c>
      <c r="T151" t="str">
        <f>IFERROR(__xludf.DUMMYFUNCTION("""COMPUTED_VALUE"""),"Good")</f>
        <v>Good</v>
      </c>
      <c r="U151" t="str">
        <f>IFERROR(__xludf.DUMMYFUNCTION("""COMPUTED_VALUE"""),"Good")</f>
        <v>Good</v>
      </c>
      <c r="V151" t="str">
        <f>IFERROR(__xludf.DUMMYFUNCTION("""COMPUTED_VALUE"""),"Good")</f>
        <v>Good</v>
      </c>
      <c r="W151" t="str">
        <f>IFERROR(__xludf.DUMMYFUNCTION("""COMPUTED_VALUE"""),"Good")</f>
        <v>Good</v>
      </c>
      <c r="X151" t="str">
        <f>IFERROR(__xludf.DUMMYFUNCTION("""COMPUTED_VALUE"""),"Good")</f>
        <v>Good</v>
      </c>
      <c r="Y151" t="str">
        <f>IFERROR(__xludf.DUMMYFUNCTION("""COMPUTED_VALUE"""),"Good")</f>
        <v>Good</v>
      </c>
      <c r="Z151" t="str">
        <f>IFERROR(__xludf.DUMMYFUNCTION("""COMPUTED_VALUE"""),"Good")</f>
        <v>Good</v>
      </c>
      <c r="AA151" t="str">
        <f>IFERROR(__xludf.DUMMYFUNCTION("""COMPUTED_VALUE"""),"Good")</f>
        <v>Good</v>
      </c>
      <c r="AB151" t="str">
        <f>IFERROR(__xludf.DUMMYFUNCTION("""COMPUTED_VALUE"""),"Good")</f>
        <v>Good</v>
      </c>
      <c r="AC151" t="str">
        <f>IFERROR(__xludf.DUMMYFUNCTION("""COMPUTED_VALUE"""),"Good")</f>
        <v>Good</v>
      </c>
      <c r="AE151" s="11"/>
      <c r="AF151" t="s">
        <v>218</v>
      </c>
      <c r="AG151" s="17" t="s">
        <v>43</v>
      </c>
      <c r="AH151" s="12">
        <v>1930.0</v>
      </c>
      <c r="AI151" s="12" t="s">
        <v>397</v>
      </c>
      <c r="AJ151" s="19" t="s">
        <v>398</v>
      </c>
      <c r="AK151" s="20" t="str">
        <f>HYPERLINK("https://docs.google.com/document/d/1o5u6URG4eEL0bZO7Pcc_tA0H2uas6Y_qmD-HJgPbqg4/edit?usp=drivesdk","Pamela Marcum - 9/10/2018 2:00 PM")</f>
        <v>Pamela Marcum - 9/10/2018 2:00 PM</v>
      </c>
      <c r="AL151" s="12" t="s">
        <v>399</v>
      </c>
    </row>
    <row r="152">
      <c r="A152" s="10">
        <f>IFERROR(__xludf.DUMMYFUNCTION("""COMPUTED_VALUE"""),43354.26965054398)</f>
        <v>43354.26965</v>
      </c>
      <c r="B152" s="11" t="str">
        <f>IFERROR(__xludf.DUMMYFUNCTION("""COMPUTED_VALUE"""),"Pam Marcum")</f>
        <v>Pam Marcum</v>
      </c>
      <c r="C152" t="str">
        <f>IFERROR(__xludf.DUMMYFUNCTION("""COMPUTED_VALUE"""),"Pamela.Marcum@de.state.fl.us")</f>
        <v>Pamela.Marcum@de.state.fl.us</v>
      </c>
      <c r="D152" t="str">
        <f>IFERROR(__xludf.DUMMYFUNCTION("""COMPUTED_VALUE"""),"Research/Nikki")</f>
        <v>Research/Nikki</v>
      </c>
      <c r="E152" t="str">
        <f>IFERROR(__xludf.DUMMYFUNCTION("""COMPUTED_VALUE"""),"Faver-Dykes")</f>
        <v>Faver-Dykes</v>
      </c>
      <c r="F152" s="13">
        <f>IFERROR(__xludf.DUMMYFUNCTION("""COMPUTED_VALUE"""),0.28125)</f>
        <v>0.28125</v>
      </c>
      <c r="G152" s="14">
        <f>IFERROR(__xludf.DUMMYFUNCTION("""COMPUTED_VALUE"""),43354.0)</f>
        <v>43354</v>
      </c>
      <c r="H152" t="str">
        <f>IFERROR(__xludf.DUMMYFUNCTION("""COMPUTED_VALUE"""),"Pellicer Flats")</f>
        <v>Pellicer Flats</v>
      </c>
      <c r="I152" s="15">
        <f>IFERROR(__xludf.DUMMYFUNCTION("""COMPUTED_VALUE"""),0.3541666666678793)</f>
        <v>0.3541666667</v>
      </c>
      <c r="J152" s="16">
        <f>IFERROR(__xludf.DUMMYFUNCTION("""COMPUTED_VALUE"""),43354.41666666667)</f>
        <v>43354.41667</v>
      </c>
      <c r="K152" t="str">
        <f>IFERROR(__xludf.DUMMYFUNCTION("""COMPUTED_VALUE"""),"23ft Skiff (Bertha) FL7972LJ DEP07613")</f>
        <v>23ft Skiff (Bertha) FL7972LJ DEP07613</v>
      </c>
      <c r="M152" t="str">
        <f>IFERROR(__xludf.DUMMYFUNCTION("""COMPUTED_VALUE"""),"Ford F250 2017 (Moby Dix) - DEP0021578")</f>
        <v>Ford F250 2017 (Moby Dix) - DEP0021578</v>
      </c>
      <c r="N152" t="str">
        <f>IFERROR(__xludf.DUMMYFUNCTION("""COMPUTED_VALUE"""),"Pam Marcum, (480) 332-5414")</f>
        <v>Pam Marcum, (480) 332-5414</v>
      </c>
      <c r="O152" t="str">
        <f>IFERROR(__xludf.DUMMYFUNCTION("""COMPUTED_VALUE"""),"Cheryl Clark, Steve Durham")</f>
        <v>Cheryl Clark, Steve Durham</v>
      </c>
      <c r="P152" t="str">
        <f>IFERROR(__xludf.DUMMYFUNCTION("""COMPUTED_VALUE"""),"Pam")</f>
        <v>Pam</v>
      </c>
      <c r="Q152" t="str">
        <f>IFERROR(__xludf.DUMMYFUNCTION("""COMPUTED_VALUE"""),"Good")</f>
        <v>Good</v>
      </c>
      <c r="R152" t="str">
        <f>IFERROR(__xludf.DUMMYFUNCTION("""COMPUTED_VALUE"""),"Good")</f>
        <v>Good</v>
      </c>
      <c r="S152" t="str">
        <f>IFERROR(__xludf.DUMMYFUNCTION("""COMPUTED_VALUE"""),"Good")</f>
        <v>Good</v>
      </c>
      <c r="T152" t="str">
        <f>IFERROR(__xludf.DUMMYFUNCTION("""COMPUTED_VALUE"""),"Good")</f>
        <v>Good</v>
      </c>
      <c r="U152" t="str">
        <f>IFERROR(__xludf.DUMMYFUNCTION("""COMPUTED_VALUE"""),"Good")</f>
        <v>Good</v>
      </c>
      <c r="V152" t="str">
        <f>IFERROR(__xludf.DUMMYFUNCTION("""COMPUTED_VALUE"""),"Good")</f>
        <v>Good</v>
      </c>
      <c r="W152" t="str">
        <f>IFERROR(__xludf.DUMMYFUNCTION("""COMPUTED_VALUE"""),"Good")</f>
        <v>Good</v>
      </c>
      <c r="X152" t="str">
        <f>IFERROR(__xludf.DUMMYFUNCTION("""COMPUTED_VALUE"""),"Good")</f>
        <v>Good</v>
      </c>
      <c r="Y152" t="str">
        <f>IFERROR(__xludf.DUMMYFUNCTION("""COMPUTED_VALUE"""),"Good")</f>
        <v>Good</v>
      </c>
      <c r="Z152" t="str">
        <f>IFERROR(__xludf.DUMMYFUNCTION("""COMPUTED_VALUE"""),"Good")</f>
        <v>Good</v>
      </c>
      <c r="AA152" t="str">
        <f>IFERROR(__xludf.DUMMYFUNCTION("""COMPUTED_VALUE"""),"Good")</f>
        <v>Good</v>
      </c>
      <c r="AB152" t="str">
        <f>IFERROR(__xludf.DUMMYFUNCTION("""COMPUTED_VALUE"""),"Good")</f>
        <v>Good</v>
      </c>
      <c r="AC152" t="str">
        <f>IFERROR(__xludf.DUMMYFUNCTION("""COMPUTED_VALUE"""),"Good")</f>
        <v>Good</v>
      </c>
      <c r="AE152" s="11"/>
      <c r="AF152" t="s">
        <v>218</v>
      </c>
      <c r="AG152" s="17" t="s">
        <v>18</v>
      </c>
      <c r="AH152" s="12">
        <v>850.0</v>
      </c>
      <c r="AI152" s="12" t="s">
        <v>400</v>
      </c>
      <c r="AJ152" s="19" t="s">
        <v>401</v>
      </c>
      <c r="AK152" s="20" t="str">
        <f>HYPERLINK("https://docs.google.com/document/d/13cBA5zcD8QJszQ_sgnLYt3r_hQFmNxCM9ctlDrF2yaI/edit?usp=drivesdk","Pam Marcum - 9/11/2018 6:45 AM")</f>
        <v>Pam Marcum - 9/11/2018 6:45 AM</v>
      </c>
      <c r="AL152" s="12" t="s">
        <v>402</v>
      </c>
    </row>
    <row r="153">
      <c r="A153" s="10">
        <f>IFERROR(__xludf.DUMMYFUNCTION("""COMPUTED_VALUE"""),43354.45976626158)</f>
        <v>43354.45977</v>
      </c>
      <c r="B153" s="11" t="str">
        <f>IFERROR(__xludf.DUMMYFUNCTION("""COMPUTED_VALUE"""),"Shannon Dunnigan")</f>
        <v>Shannon Dunnigan</v>
      </c>
      <c r="C153" t="str">
        <f>IFERROR(__xludf.DUMMYFUNCTION("""COMPUTED_VALUE"""),"shannon.dunnigan@floridadep.gov")</f>
        <v>shannon.dunnigan@floridadep.gov</v>
      </c>
      <c r="D153" t="str">
        <f>IFERROR(__xludf.DUMMYFUNCTION("""COMPUTED_VALUE"""),"Research/Nikki")</f>
        <v>Research/Nikki</v>
      </c>
      <c r="E153" t="str">
        <f>IFERROR(__xludf.DUMMYFUNCTION("""COMPUTED_VALUE"""),"Bings")</f>
        <v>Bings</v>
      </c>
      <c r="F153" s="13">
        <f>IFERROR(__xludf.DUMMYFUNCTION("""COMPUTED_VALUE"""),0.4895833333321207)</f>
        <v>0.4895833333</v>
      </c>
      <c r="G153" s="14">
        <f>IFERROR(__xludf.DUMMYFUNCTION("""COMPUTED_VALUE"""),43355.0)</f>
        <v>43355</v>
      </c>
      <c r="H153" t="str">
        <f>IFERROR(__xludf.DUMMYFUNCTION("""COMPUTED_VALUE"""),"ICW FM")</f>
        <v>ICW FM</v>
      </c>
      <c r="I153" s="15">
        <f>IFERROR(__xludf.DUMMYFUNCTION("""COMPUTED_VALUE"""),0.625)</f>
        <v>0.625</v>
      </c>
      <c r="J153" s="16">
        <f>IFERROR(__xludf.DUMMYFUNCTION("""COMPUTED_VALUE"""),43355.6875)</f>
        <v>43355.6875</v>
      </c>
      <c r="K153" t="str">
        <f>IFERROR(__xludf.DUMMYFUNCTION("""COMPUTED_VALUE"""),"20ft Sea Ark FL5351SJ UNF 2015")</f>
        <v>20ft Sea Ark FL5351SJ UNF 2015</v>
      </c>
      <c r="M153" t="str">
        <f>IFERROR(__xludf.DUMMYFUNCTION("""COMPUTED_VALUE"""),"Ford F150 2015 (White) - DEP21448")</f>
        <v>Ford F150 2015 (White) - DEP21448</v>
      </c>
      <c r="N153" t="str">
        <f>IFERROR(__xludf.DUMMYFUNCTION("""COMPUTED_VALUE"""),"Shannon Dunnigan, (803) 727-5734")</f>
        <v>Shannon Dunnigan, (803) 727-5734</v>
      </c>
      <c r="O153" t="str">
        <f>IFERROR(__xludf.DUMMYFUNCTION("""COMPUTED_VALUE"""),"Jessica Lee, Hunter Mathews, Westly Woodward")</f>
        <v>Jessica Lee, Hunter Mathews, Westly Woodward</v>
      </c>
      <c r="P153" t="str">
        <f>IFERROR(__xludf.DUMMYFUNCTION("""COMPUTED_VALUE"""),"shannon")</f>
        <v>shannon</v>
      </c>
      <c r="Q153" t="str">
        <f>IFERROR(__xludf.DUMMYFUNCTION("""COMPUTED_VALUE"""),"Good")</f>
        <v>Good</v>
      </c>
      <c r="R153" t="str">
        <f>IFERROR(__xludf.DUMMYFUNCTION("""COMPUTED_VALUE"""),"Good")</f>
        <v>Good</v>
      </c>
      <c r="S153" t="str">
        <f>IFERROR(__xludf.DUMMYFUNCTION("""COMPUTED_VALUE"""),"Good")</f>
        <v>Good</v>
      </c>
      <c r="T153" t="str">
        <f>IFERROR(__xludf.DUMMYFUNCTION("""COMPUTED_VALUE"""),"Good")</f>
        <v>Good</v>
      </c>
      <c r="U153" t="str">
        <f>IFERROR(__xludf.DUMMYFUNCTION("""COMPUTED_VALUE"""),"Good")</f>
        <v>Good</v>
      </c>
      <c r="V153" t="str">
        <f>IFERROR(__xludf.DUMMYFUNCTION("""COMPUTED_VALUE"""),"Good")</f>
        <v>Good</v>
      </c>
      <c r="W153" t="str">
        <f>IFERROR(__xludf.DUMMYFUNCTION("""COMPUTED_VALUE"""),"Good")</f>
        <v>Good</v>
      </c>
      <c r="X153" t="str">
        <f>IFERROR(__xludf.DUMMYFUNCTION("""COMPUTED_VALUE"""),"Good")</f>
        <v>Good</v>
      </c>
      <c r="Y153" t="str">
        <f>IFERROR(__xludf.DUMMYFUNCTION("""COMPUTED_VALUE"""),"Good")</f>
        <v>Good</v>
      </c>
      <c r="Z153" t="str">
        <f>IFERROR(__xludf.DUMMYFUNCTION("""COMPUTED_VALUE"""),"Good")</f>
        <v>Good</v>
      </c>
      <c r="AA153" t="str">
        <f>IFERROR(__xludf.DUMMYFUNCTION("""COMPUTED_VALUE"""),"Good")</f>
        <v>Good</v>
      </c>
      <c r="AB153" t="str">
        <f>IFERROR(__xludf.DUMMYFUNCTION("""COMPUTED_VALUE"""),"Good")</f>
        <v>Good</v>
      </c>
      <c r="AC153" t="str">
        <f>IFERROR(__xludf.DUMMYFUNCTION("""COMPUTED_VALUE"""),"Good")</f>
        <v>Good</v>
      </c>
      <c r="AE153" s="11"/>
      <c r="AF153" t="s">
        <v>218</v>
      </c>
      <c r="AG153" s="17" t="s">
        <v>18</v>
      </c>
      <c r="AH153" s="12">
        <v>1504.0</v>
      </c>
      <c r="AI153" s="12" t="s">
        <v>403</v>
      </c>
      <c r="AJ153" s="19" t="s">
        <v>404</v>
      </c>
      <c r="AK153" s="20" t="str">
        <f>HYPERLINK("https://docs.google.com/document/d/1LQqlIwHGCF52aRRtJim0ILCgeeS8U4NH2xgD9iHPfTc/edit?usp=drivesdk","Shannon Dunnigan - 9/12/2018 11:45 AM")</f>
        <v>Shannon Dunnigan - 9/12/2018 11:45 AM</v>
      </c>
      <c r="AL153" s="12" t="s">
        <v>405</v>
      </c>
    </row>
    <row r="154">
      <c r="A154" s="10">
        <f>IFERROR(__xludf.DUMMYFUNCTION("""COMPUTED_VALUE"""),43354.49469997685)</f>
        <v>43354.4947</v>
      </c>
      <c r="B154" s="11" t="str">
        <f>IFERROR(__xludf.DUMMYFUNCTION("""COMPUTED_VALUE"""),"Ben Mowbray")</f>
        <v>Ben Mowbray</v>
      </c>
      <c r="C154" t="str">
        <f>IFERROR(__xludf.DUMMYFUNCTION("""COMPUTED_VALUE"""),"ben.mowbray@dep.state.fl.us")</f>
        <v>ben.mowbray@dep.state.fl.us</v>
      </c>
      <c r="D154" t="str">
        <f>IFERROR(__xludf.DUMMYFUNCTION("""COMPUTED_VALUE"""),"Research/Pam")</f>
        <v>Research/Pam</v>
      </c>
      <c r="E154" t="str">
        <f>IFERROR(__xludf.DUMMYFUNCTION("""COMPUTED_VALUE"""),"Shore Dr.")</f>
        <v>Shore Dr.</v>
      </c>
      <c r="F154" s="13">
        <f>IFERROR(__xludf.DUMMYFUNCTION("""COMPUTED_VALUE"""),0.3958333333321207)</f>
        <v>0.3958333333</v>
      </c>
      <c r="G154" s="14">
        <f>IFERROR(__xludf.DUMMYFUNCTION("""COMPUTED_VALUE"""),43354.0)</f>
        <v>43354</v>
      </c>
      <c r="H154" t="str">
        <f>IFERROR(__xludf.DUMMYFUNCTION("""COMPUTED_VALUE"""),"Gabby's Creek")</f>
        <v>Gabby's Creek</v>
      </c>
      <c r="I154" s="15">
        <f>IFERROR(__xludf.DUMMYFUNCTION("""COMPUTED_VALUE"""),0.6041666666678793)</f>
        <v>0.6041666667</v>
      </c>
      <c r="J154" s="16">
        <f>IFERROR(__xludf.DUMMYFUNCTION("""COMPUTED_VALUE"""),43354.64583333333)</f>
        <v>43354.64583</v>
      </c>
      <c r="K154" t="str">
        <f>IFERROR(__xludf.DUMMYFUNCTION("""COMPUTED_VALUE"""),"20ft Sea Ark FL5351SJ UNF 2015")</f>
        <v>20ft Sea Ark FL5351SJ UNF 2015</v>
      </c>
      <c r="M154" t="str">
        <f>IFERROR(__xludf.DUMMYFUNCTION("""COMPUTED_VALUE"""),"Ford F150 2015 (White) - DEP21448")</f>
        <v>Ford F150 2015 (White) - DEP21448</v>
      </c>
      <c r="N154" t="str">
        <f>IFERROR(__xludf.DUMMYFUNCTION("""COMPUTED_VALUE"""),"Ben Mowbray, (407) 962-8782")</f>
        <v>Ben Mowbray, (407) 962-8782</v>
      </c>
      <c r="O154" t="str">
        <f>IFERROR(__xludf.DUMMYFUNCTION("""COMPUTED_VALUE"""),"Gabriela Canas, (904) 891-9743, Mike Dickson")</f>
        <v>Gabriela Canas, (904) 891-9743, Mike Dickson</v>
      </c>
      <c r="P154" t="str">
        <f>IFERROR(__xludf.DUMMYFUNCTION("""COMPUTED_VALUE"""),"Ben")</f>
        <v>Ben</v>
      </c>
      <c r="Q154" t="str">
        <f>IFERROR(__xludf.DUMMYFUNCTION("""COMPUTED_VALUE"""),"Good")</f>
        <v>Good</v>
      </c>
      <c r="R154" t="str">
        <f>IFERROR(__xludf.DUMMYFUNCTION("""COMPUTED_VALUE"""),"Good")</f>
        <v>Good</v>
      </c>
      <c r="S154" t="str">
        <f>IFERROR(__xludf.DUMMYFUNCTION("""COMPUTED_VALUE"""),"Good")</f>
        <v>Good</v>
      </c>
      <c r="T154" t="str">
        <f>IFERROR(__xludf.DUMMYFUNCTION("""COMPUTED_VALUE"""),"Good")</f>
        <v>Good</v>
      </c>
      <c r="U154" t="str">
        <f>IFERROR(__xludf.DUMMYFUNCTION("""COMPUTED_VALUE"""),"Good")</f>
        <v>Good</v>
      </c>
      <c r="V154" t="str">
        <f>IFERROR(__xludf.DUMMYFUNCTION("""COMPUTED_VALUE"""),"Good")</f>
        <v>Good</v>
      </c>
      <c r="W154" t="str">
        <f>IFERROR(__xludf.DUMMYFUNCTION("""COMPUTED_VALUE"""),"Good")</f>
        <v>Good</v>
      </c>
      <c r="X154" t="str">
        <f>IFERROR(__xludf.DUMMYFUNCTION("""COMPUTED_VALUE"""),"Good")</f>
        <v>Good</v>
      </c>
      <c r="Y154" t="str">
        <f>IFERROR(__xludf.DUMMYFUNCTION("""COMPUTED_VALUE"""),"Good")</f>
        <v>Good</v>
      </c>
      <c r="Z154" t="str">
        <f>IFERROR(__xludf.DUMMYFUNCTION("""COMPUTED_VALUE"""),"Good")</f>
        <v>Good</v>
      </c>
      <c r="AA154" t="str">
        <f>IFERROR(__xludf.DUMMYFUNCTION("""COMPUTED_VALUE"""),"Good")</f>
        <v>Good</v>
      </c>
      <c r="AB154" t="str">
        <f>IFERROR(__xludf.DUMMYFUNCTION("""COMPUTED_VALUE"""),"Good")</f>
        <v>Good</v>
      </c>
      <c r="AC154" t="str">
        <f>IFERROR(__xludf.DUMMYFUNCTION("""COMPUTED_VALUE"""),"Good")</f>
        <v>Good</v>
      </c>
      <c r="AE154" s="11"/>
      <c r="AF154" t="s">
        <v>262</v>
      </c>
      <c r="AG154" s="17" t="s">
        <v>18</v>
      </c>
      <c r="AH154" s="12">
        <v>1400.0</v>
      </c>
      <c r="AI154" s="12" t="s">
        <v>406</v>
      </c>
      <c r="AJ154" s="19" t="s">
        <v>407</v>
      </c>
      <c r="AK154" s="20" t="str">
        <f>HYPERLINK("https://docs.google.com/document/d/19gtAry6vLFmaQvsDWVMoI53O_6Z53p6xfjK01wQTQ_Y/edit?usp=drivesdk","Ben Mowbray - 9/11/2018 9:30 AM")</f>
        <v>Ben Mowbray - 9/11/2018 9:30 AM</v>
      </c>
      <c r="AL154" s="12" t="s">
        <v>408</v>
      </c>
    </row>
    <row r="155">
      <c r="A155" s="10">
        <f>IFERROR(__xludf.DUMMYFUNCTION("""COMPUTED_VALUE"""),43354.50310383102)</f>
        <v>43354.5031</v>
      </c>
      <c r="B155" s="11" t="str">
        <f>IFERROR(__xludf.DUMMYFUNCTION("""COMPUTED_VALUE"""),"Pam Marcum")</f>
        <v>Pam Marcum</v>
      </c>
      <c r="C155" t="str">
        <f>IFERROR(__xludf.DUMMYFUNCTION("""COMPUTED_VALUE"""),"Pamela.Marcum@dep.state.fl.us")</f>
        <v>Pamela.Marcum@dep.state.fl.us</v>
      </c>
      <c r="D155" t="str">
        <f>IFERROR(__xludf.DUMMYFUNCTION("""COMPUTED_VALUE"""),"Research/Nikki")</f>
        <v>Research/Nikki</v>
      </c>
      <c r="E155" t="str">
        <f>IFERROR(__xludf.DUMMYFUNCTION("""COMPUTED_VALUE"""),"Aunt Kate's")</f>
        <v>Aunt Kate's</v>
      </c>
      <c r="F155" s="13">
        <f>IFERROR(__xludf.DUMMYFUNCTION("""COMPUTED_VALUE"""),0.5833333333321207)</f>
        <v>0.5833333333</v>
      </c>
      <c r="G155" s="14">
        <f>IFERROR(__xludf.DUMMYFUNCTION("""COMPUTED_VALUE"""),43354.0)</f>
        <v>43354</v>
      </c>
      <c r="H155" t="str">
        <f>IFERROR(__xludf.DUMMYFUNCTION("""COMPUTED_VALUE"""),"Guana River")</f>
        <v>Guana River</v>
      </c>
      <c r="I155" s="15">
        <f>IFERROR(__xludf.DUMMYFUNCTION("""COMPUTED_VALUE"""),0.8333333333321207)</f>
        <v>0.8333333333</v>
      </c>
      <c r="J155" s="16">
        <f>IFERROR(__xludf.DUMMYFUNCTION("""COMPUTED_VALUE"""),43354.85416666667)</f>
        <v>43354.85417</v>
      </c>
      <c r="K155" t="str">
        <f>IFERROR(__xludf.DUMMYFUNCTION("""COMPUTED_VALUE"""),"23ft Skiff (Bertha) FL7972LJ DEP07613")</f>
        <v>23ft Skiff (Bertha) FL7972LJ DEP07613</v>
      </c>
      <c r="M155" t="str">
        <f>IFERROR(__xludf.DUMMYFUNCTION("""COMPUTED_VALUE"""),"Ford F250 2017 (Moby Dix) - DEP0021578")</f>
        <v>Ford F250 2017 (Moby Dix) - DEP0021578</v>
      </c>
      <c r="N155" t="str">
        <f>IFERROR(__xludf.DUMMYFUNCTION("""COMPUTED_VALUE"""),"Nikki Dix, (352) 219-4079, Pam Marcum, (480) 332-5414, Cheryl Clark, Remo Mondazzi")</f>
        <v>Nikki Dix, (352) 219-4079, Pam Marcum, (480) 332-5414, Cheryl Clark, Remo Mondazzi</v>
      </c>
      <c r="O155" t="str">
        <f>IFERROR(__xludf.DUMMYFUNCTION("""COMPUTED_VALUE"""),"Steve Durham, Greg Dietl")</f>
        <v>Steve Durham, Greg Dietl</v>
      </c>
      <c r="P155" t="str">
        <f>IFERROR(__xludf.DUMMYFUNCTION("""COMPUTED_VALUE"""),"Pam")</f>
        <v>Pam</v>
      </c>
      <c r="Q155" t="str">
        <f>IFERROR(__xludf.DUMMYFUNCTION("""COMPUTED_VALUE"""),"Good")</f>
        <v>Good</v>
      </c>
      <c r="R155" t="str">
        <f>IFERROR(__xludf.DUMMYFUNCTION("""COMPUTED_VALUE"""),"Good")</f>
        <v>Good</v>
      </c>
      <c r="S155" t="str">
        <f>IFERROR(__xludf.DUMMYFUNCTION("""COMPUTED_VALUE"""),"Good")</f>
        <v>Good</v>
      </c>
      <c r="T155" t="str">
        <f>IFERROR(__xludf.DUMMYFUNCTION("""COMPUTED_VALUE"""),"Good")</f>
        <v>Good</v>
      </c>
      <c r="U155" t="str">
        <f>IFERROR(__xludf.DUMMYFUNCTION("""COMPUTED_VALUE"""),"Good")</f>
        <v>Good</v>
      </c>
      <c r="V155" t="str">
        <f>IFERROR(__xludf.DUMMYFUNCTION("""COMPUTED_VALUE"""),"Good")</f>
        <v>Good</v>
      </c>
      <c r="W155" t="str">
        <f>IFERROR(__xludf.DUMMYFUNCTION("""COMPUTED_VALUE"""),"Good")</f>
        <v>Good</v>
      </c>
      <c r="X155" t="str">
        <f>IFERROR(__xludf.DUMMYFUNCTION("""COMPUTED_VALUE"""),"Good")</f>
        <v>Good</v>
      </c>
      <c r="Y155" t="str">
        <f>IFERROR(__xludf.DUMMYFUNCTION("""COMPUTED_VALUE"""),"Good")</f>
        <v>Good</v>
      </c>
      <c r="Z155" t="str">
        <f>IFERROR(__xludf.DUMMYFUNCTION("""COMPUTED_VALUE"""),"Good")</f>
        <v>Good</v>
      </c>
      <c r="AA155" t="str">
        <f>IFERROR(__xludf.DUMMYFUNCTION("""COMPUTED_VALUE"""),"Good")</f>
        <v>Good</v>
      </c>
      <c r="AB155" t="str">
        <f>IFERROR(__xludf.DUMMYFUNCTION("""COMPUTED_VALUE"""),"Good")</f>
        <v>Good</v>
      </c>
      <c r="AC155" t="str">
        <f>IFERROR(__xludf.DUMMYFUNCTION("""COMPUTED_VALUE"""),"Good")</f>
        <v>Good</v>
      </c>
      <c r="AE155" s="11"/>
      <c r="AF155" t="s">
        <v>218</v>
      </c>
      <c r="AG155" s="17" t="s">
        <v>43</v>
      </c>
      <c r="AH155" s="12">
        <v>1940.0</v>
      </c>
      <c r="AI155" s="12" t="s">
        <v>409</v>
      </c>
      <c r="AJ155" s="19" t="s">
        <v>410</v>
      </c>
      <c r="AK155" s="20" t="str">
        <f>HYPERLINK("https://docs.google.com/document/d/1cwjqEBUaX4TZ2uiNweLlEFnrIqkIxDij-KCrl3jgdSs/edit?usp=drivesdk","Pam Marcum - 9/11/2018 2:00 PM")</f>
        <v>Pam Marcum - 9/11/2018 2:00 PM</v>
      </c>
      <c r="AL155" s="12" t="s">
        <v>411</v>
      </c>
    </row>
    <row r="156">
      <c r="A156" s="10">
        <f>IFERROR(__xludf.DUMMYFUNCTION("""COMPUTED_VALUE"""),43355.342063055556)</f>
        <v>43355.34206</v>
      </c>
      <c r="B156" s="11" t="str">
        <f>IFERROR(__xludf.DUMMYFUNCTION("""COMPUTED_VALUE"""),"Silas Tanner")</f>
        <v>Silas Tanner</v>
      </c>
      <c r="C156" t="str">
        <f>IFERROR(__xludf.DUMMYFUNCTION("""COMPUTED_VALUE"""),"silas.tanner@floridadep.gov")</f>
        <v>silas.tanner@floridadep.gov</v>
      </c>
      <c r="D156" t="str">
        <f>IFERROR(__xludf.DUMMYFUNCTION("""COMPUTED_VALUE"""),"Research/Nikki")</f>
        <v>Research/Nikki</v>
      </c>
      <c r="E156" t="str">
        <f>IFERROR(__xludf.DUMMYFUNCTION("""COMPUTED_VALUE"""),"Vilano County ramp")</f>
        <v>Vilano County ramp</v>
      </c>
      <c r="F156" s="13">
        <f>IFERROR(__xludf.DUMMYFUNCTION("""COMPUTED_VALUE"""),0.4270833333321207)</f>
        <v>0.4270833333</v>
      </c>
      <c r="G156" s="14">
        <f>IFERROR(__xludf.DUMMYFUNCTION("""COMPUTED_VALUE"""),43355.0)</f>
        <v>43355</v>
      </c>
      <c r="H156" t="str">
        <f>IFERROR(__xludf.DUMMYFUNCTION("""COMPUTED_VALUE"""),"ICW SWMP sites - Pine Island and San Sebastian")</f>
        <v>ICW SWMP sites - Pine Island and San Sebastian</v>
      </c>
      <c r="I156" s="15">
        <f>IFERROR(__xludf.DUMMYFUNCTION("""COMPUTED_VALUE"""),0.5729166666678793)</f>
        <v>0.5729166667</v>
      </c>
      <c r="J156" s="16">
        <f>IFERROR(__xludf.DUMMYFUNCTION("""COMPUTED_VALUE"""),43355.59375)</f>
        <v>43355.59375</v>
      </c>
      <c r="K156" t="str">
        <f>IFERROR(__xludf.DUMMYFUNCTION("""COMPUTED_VALUE"""),"23ft Skiff (Bertha) FL7972LJ DEP07613")</f>
        <v>23ft Skiff (Bertha) FL7972LJ DEP07613</v>
      </c>
      <c r="M156" t="str">
        <f>IFERROR(__xludf.DUMMYFUNCTION("""COMPUTED_VALUE"""),"Ford F250 2017 (Moby Dix) - DEP0021578")</f>
        <v>Ford F250 2017 (Moby Dix) - DEP0021578</v>
      </c>
      <c r="N156" t="str">
        <f>IFERROR(__xludf.DUMMYFUNCTION("""COMPUTED_VALUE"""),"Silas Tanner, (904) 483-8423")</f>
        <v>Silas Tanner, (904) 483-8423</v>
      </c>
      <c r="O156" t="str">
        <f>IFERROR(__xludf.DUMMYFUNCTION("""COMPUTED_VALUE"""),"Hunter Mathews")</f>
        <v>Hunter Mathews</v>
      </c>
      <c r="P156" t="str">
        <f>IFERROR(__xludf.DUMMYFUNCTION("""COMPUTED_VALUE"""),"Silas Tanner")</f>
        <v>Silas Tanner</v>
      </c>
      <c r="Q156" t="str">
        <f>IFERROR(__xludf.DUMMYFUNCTION("""COMPUTED_VALUE"""),"Good")</f>
        <v>Good</v>
      </c>
      <c r="R156" t="str">
        <f>IFERROR(__xludf.DUMMYFUNCTION("""COMPUTED_VALUE"""),"Good")</f>
        <v>Good</v>
      </c>
      <c r="S156" t="str">
        <f>IFERROR(__xludf.DUMMYFUNCTION("""COMPUTED_VALUE"""),"Good")</f>
        <v>Good</v>
      </c>
      <c r="T156" t="str">
        <f>IFERROR(__xludf.DUMMYFUNCTION("""COMPUTED_VALUE"""),"Good")</f>
        <v>Good</v>
      </c>
      <c r="U156" t="str">
        <f>IFERROR(__xludf.DUMMYFUNCTION("""COMPUTED_VALUE"""),"Good")</f>
        <v>Good</v>
      </c>
      <c r="V156" t="str">
        <f>IFERROR(__xludf.DUMMYFUNCTION("""COMPUTED_VALUE"""),"Good")</f>
        <v>Good</v>
      </c>
      <c r="W156" t="str">
        <f>IFERROR(__xludf.DUMMYFUNCTION("""COMPUTED_VALUE"""),"Good")</f>
        <v>Good</v>
      </c>
      <c r="X156" t="str">
        <f>IFERROR(__xludf.DUMMYFUNCTION("""COMPUTED_VALUE"""),"Good")</f>
        <v>Good</v>
      </c>
      <c r="Y156" t="str">
        <f>IFERROR(__xludf.DUMMYFUNCTION("""COMPUTED_VALUE"""),"Good")</f>
        <v>Good</v>
      </c>
      <c r="Z156" t="str">
        <f>IFERROR(__xludf.DUMMYFUNCTION("""COMPUTED_VALUE"""),"Good")</f>
        <v>Good</v>
      </c>
      <c r="AA156" t="str">
        <f>IFERROR(__xludf.DUMMYFUNCTION("""COMPUTED_VALUE"""),"Good")</f>
        <v>Good</v>
      </c>
      <c r="AB156" t="str">
        <f>IFERROR(__xludf.DUMMYFUNCTION("""COMPUTED_VALUE"""),"Good")</f>
        <v>Good</v>
      </c>
      <c r="AC156" t="str">
        <f>IFERROR(__xludf.DUMMYFUNCTION("""COMPUTED_VALUE"""),"Good")</f>
        <v>Good</v>
      </c>
      <c r="AE156" s="11"/>
      <c r="AF156" t="s">
        <v>218</v>
      </c>
      <c r="AG156" s="17" t="s">
        <v>18</v>
      </c>
      <c r="AH156" s="12">
        <v>1155.0</v>
      </c>
      <c r="AI156" s="12" t="s">
        <v>412</v>
      </c>
      <c r="AJ156" s="19" t="s">
        <v>413</v>
      </c>
      <c r="AK156" s="20" t="str">
        <f>HYPERLINK("https://docs.google.com/document/d/1dbUQc-0YRcUCWv4ZLuAiuh-szs2P71qMm4cR0NVclQw/edit?usp=drivesdk","Silas Tanner - 9/12/2018 10:15 AM")</f>
        <v>Silas Tanner - 9/12/2018 10:15 AM</v>
      </c>
      <c r="AL156" s="12" t="s">
        <v>414</v>
      </c>
    </row>
    <row r="157">
      <c r="A157" s="10">
        <f>IFERROR(__xludf.DUMMYFUNCTION("""COMPUTED_VALUE"""),43356.70110957176)</f>
        <v>43356.70111</v>
      </c>
      <c r="B157" s="11" t="str">
        <f>IFERROR(__xludf.DUMMYFUNCTION("""COMPUTED_VALUE"""),"James Tomazinis")</f>
        <v>James Tomazinis</v>
      </c>
      <c r="C157" t="str">
        <f>IFERROR(__xludf.DUMMYFUNCTION("""COMPUTED_VALUE"""),"james.tomazinis@dep.state.fl.us")</f>
        <v>james.tomazinis@dep.state.fl.us</v>
      </c>
      <c r="D157" t="str">
        <f>IFERROR(__xludf.DUMMYFUNCTION("""COMPUTED_VALUE"""),"Stewardship (Aquatic)")</f>
        <v>Stewardship (Aquatic)</v>
      </c>
      <c r="E157" t="str">
        <f>IFERROR(__xludf.DUMMYFUNCTION("""COMPUTED_VALUE"""),"Gamble Rogers")</f>
        <v>Gamble Rogers</v>
      </c>
      <c r="F157" s="13">
        <f>IFERROR(__xludf.DUMMYFUNCTION("""COMPUTED_VALUE"""),0.40277777777737356)</f>
        <v>0.4027777778</v>
      </c>
      <c r="G157" s="14">
        <f>IFERROR(__xludf.DUMMYFUNCTION("""COMPUTED_VALUE"""),43357.0)</f>
        <v>43357</v>
      </c>
      <c r="H157" t="str">
        <f>IFERROR(__xludf.DUMMYFUNCTION("""COMPUTED_VALUE"""),"Misquito Ditching in Tomoka")</f>
        <v>Misquito Ditching in Tomoka</v>
      </c>
      <c r="I157" s="15">
        <f>IFERROR(__xludf.DUMMYFUNCTION("""COMPUTED_VALUE"""),0.5416666666678793)</f>
        <v>0.5416666667</v>
      </c>
      <c r="J157" s="16"/>
      <c r="K157" t="str">
        <f>IFERROR(__xludf.DUMMYFUNCTION("""COMPUTED_VALUE"""),"F 20ft Sea Ark (Easy 200) FL8534PY DEP21451")</f>
        <v>F 20ft Sea Ark (Easy 200) FL8534PY DEP21451</v>
      </c>
      <c r="M157" t="str">
        <f>IFERROR(__xludf.DUMMYFUNCTION("""COMPUTED_VALUE"""),"Ford F150 2015 (White) - DEP21448")</f>
        <v>Ford F150 2015 (White) - DEP21448</v>
      </c>
      <c r="N157" t="str">
        <f>IFERROR(__xludf.DUMMYFUNCTION("""COMPUTED_VALUE"""),"Jimmy Tomazinis, (904) 547-0094")</f>
        <v>Jimmy Tomazinis, (904) 547-0094</v>
      </c>
      <c r="O157" t="str">
        <f>IFERROR(__xludf.DUMMYFUNCTION("""COMPUTED_VALUE"""),"Scott Eastman, (904) 501-9267, Kevin Claridge, Annie Otto, Mike Shirley")</f>
        <v>Scott Eastman, (904) 501-9267, Kevin Claridge, Annie Otto, Mike Shirley</v>
      </c>
      <c r="P157" t="str">
        <f>IFERROR(__xludf.DUMMYFUNCTION("""COMPUTED_VALUE"""),"Jimmy")</f>
        <v>Jimmy</v>
      </c>
      <c r="Q157" t="str">
        <f>IFERROR(__xludf.DUMMYFUNCTION("""COMPUTED_VALUE"""),"Good")</f>
        <v>Good</v>
      </c>
      <c r="R157" t="str">
        <f>IFERROR(__xludf.DUMMYFUNCTION("""COMPUTED_VALUE"""),"Good")</f>
        <v>Good</v>
      </c>
      <c r="S157" t="str">
        <f>IFERROR(__xludf.DUMMYFUNCTION("""COMPUTED_VALUE"""),"Good")</f>
        <v>Good</v>
      </c>
      <c r="T157" t="str">
        <f>IFERROR(__xludf.DUMMYFUNCTION("""COMPUTED_VALUE"""),"Good")</f>
        <v>Good</v>
      </c>
      <c r="U157" t="str">
        <f>IFERROR(__xludf.DUMMYFUNCTION("""COMPUTED_VALUE"""),"Good")</f>
        <v>Good</v>
      </c>
      <c r="V157" t="str">
        <f>IFERROR(__xludf.DUMMYFUNCTION("""COMPUTED_VALUE"""),"Good")</f>
        <v>Good</v>
      </c>
      <c r="W157" t="str">
        <f>IFERROR(__xludf.DUMMYFUNCTION("""COMPUTED_VALUE"""),"Good")</f>
        <v>Good</v>
      </c>
      <c r="X157" t="str">
        <f>IFERROR(__xludf.DUMMYFUNCTION("""COMPUTED_VALUE"""),"Good")</f>
        <v>Good</v>
      </c>
      <c r="Y157" t="str">
        <f>IFERROR(__xludf.DUMMYFUNCTION("""COMPUTED_VALUE"""),"Good")</f>
        <v>Good</v>
      </c>
      <c r="Z157" t="str">
        <f>IFERROR(__xludf.DUMMYFUNCTION("""COMPUTED_VALUE"""),"Good")</f>
        <v>Good</v>
      </c>
      <c r="AA157" t="str">
        <f>IFERROR(__xludf.DUMMYFUNCTION("""COMPUTED_VALUE"""),"Good")</f>
        <v>Good</v>
      </c>
      <c r="AB157" t="str">
        <f>IFERROR(__xludf.DUMMYFUNCTION("""COMPUTED_VALUE"""),"Good")</f>
        <v>Good</v>
      </c>
      <c r="AC157" t="str">
        <f>IFERROR(__xludf.DUMMYFUNCTION("""COMPUTED_VALUE"""),"Good")</f>
        <v>Good</v>
      </c>
      <c r="AE157" s="11"/>
      <c r="AF157" t="s">
        <v>32</v>
      </c>
      <c r="AG157" s="17" t="s">
        <v>22</v>
      </c>
      <c r="AH157" s="12">
        <v>1130.0</v>
      </c>
      <c r="AI157" s="12" t="s">
        <v>415</v>
      </c>
      <c r="AJ157" s="19" t="s">
        <v>416</v>
      </c>
      <c r="AK157" s="20" t="str">
        <f>HYPERLINK("https://docs.google.com/document/d/1vSRqTWP7CmpWxXBMw2pni-Z1VXWQUibiRPAhtbpU00M/edit?usp=drivesdk","James Tomazinis - 9/14/2018 9:40 AM")</f>
        <v>James Tomazinis - 9/14/2018 9:40 AM</v>
      </c>
      <c r="AL157" s="12" t="s">
        <v>417</v>
      </c>
    </row>
    <row r="158">
      <c r="A158" s="10">
        <f>IFERROR(__xludf.DUMMYFUNCTION("""COMPUTED_VALUE"""),43360.497623344905)</f>
        <v>43360.49762</v>
      </c>
      <c r="B158" s="11" t="str">
        <f>IFERROR(__xludf.DUMMYFUNCTION("""COMPUTED_VALUE"""),"Gabriela Canas")</f>
        <v>Gabriela Canas</v>
      </c>
      <c r="C158" t="str">
        <f>IFERROR(__xludf.DUMMYFUNCTION("""COMPUTED_VALUE"""),"gabriela.canas@dep.state.fl.us")</f>
        <v>gabriela.canas@dep.state.fl.us</v>
      </c>
      <c r="D158" t="str">
        <f>IFERROR(__xludf.DUMMYFUNCTION("""COMPUTED_VALUE"""),"Research/Nikki")</f>
        <v>Research/Nikki</v>
      </c>
      <c r="E158" t="str">
        <f>IFERROR(__xludf.DUMMYFUNCTION("""COMPUTED_VALUE"""),"Douglas crane")</f>
        <v>Douglas crane</v>
      </c>
      <c r="F158" s="13">
        <f>IFERROR(__xludf.DUMMYFUNCTION("""COMPUTED_VALUE"""),0.5208333333321207)</f>
        <v>0.5208333333</v>
      </c>
      <c r="G158" s="14">
        <f>IFERROR(__xludf.DUMMYFUNCTION("""COMPUTED_VALUE"""),43360.0)</f>
        <v>43360</v>
      </c>
      <c r="H158" t="str">
        <f>IFERROR(__xludf.DUMMYFUNCTION("""COMPUTED_VALUE"""),"Gabby’s creek")</f>
        <v>Gabby’s creek</v>
      </c>
      <c r="I158" s="15">
        <f>IFERROR(__xludf.DUMMYFUNCTION("""COMPUTED_VALUE"""),0.6041666666678793)</f>
        <v>0.6041666667</v>
      </c>
      <c r="J158" s="16">
        <f>IFERROR(__xludf.DUMMYFUNCTION("""COMPUTED_VALUE"""),43360.125)</f>
        <v>43360.125</v>
      </c>
      <c r="K158" t="str">
        <f>IFERROR(__xludf.DUMMYFUNCTION("""COMPUTED_VALUE"""),"20ft Sea Ark FL5351SJ UNF 2015")</f>
        <v>20ft Sea Ark FL5351SJ UNF 2015</v>
      </c>
      <c r="M158" t="str">
        <f>IFERROR(__xludf.DUMMYFUNCTION("""COMPUTED_VALUE"""),"Ford F250 2017 (Moby Dix) - DEP0021578")</f>
        <v>Ford F250 2017 (Moby Dix) - DEP0021578</v>
      </c>
      <c r="N158" t="str">
        <f>IFERROR(__xludf.DUMMYFUNCTION("""COMPUTED_VALUE"""),"Mike Dickson")</f>
        <v>Mike Dickson</v>
      </c>
      <c r="O158" t="str">
        <f>IFERROR(__xludf.DUMMYFUNCTION("""COMPUTED_VALUE"""),"Gabriela Canas, (904) 891-9743")</f>
        <v>Gabriela Canas, (904) 891-9743</v>
      </c>
      <c r="P158" t="str">
        <f>IFERROR(__xludf.DUMMYFUNCTION("""COMPUTED_VALUE"""),"Mike dickson")</f>
        <v>Mike dickson</v>
      </c>
      <c r="Q158" t="str">
        <f>IFERROR(__xludf.DUMMYFUNCTION("""COMPUTED_VALUE"""),"Good")</f>
        <v>Good</v>
      </c>
      <c r="R158" t="str">
        <f>IFERROR(__xludf.DUMMYFUNCTION("""COMPUTED_VALUE"""),"Good")</f>
        <v>Good</v>
      </c>
      <c r="S158" t="str">
        <f>IFERROR(__xludf.DUMMYFUNCTION("""COMPUTED_VALUE"""),"Good")</f>
        <v>Good</v>
      </c>
      <c r="T158" t="str">
        <f>IFERROR(__xludf.DUMMYFUNCTION("""COMPUTED_VALUE"""),"Good")</f>
        <v>Good</v>
      </c>
      <c r="U158" t="str">
        <f>IFERROR(__xludf.DUMMYFUNCTION("""COMPUTED_VALUE"""),"Good")</f>
        <v>Good</v>
      </c>
      <c r="V158" t="str">
        <f>IFERROR(__xludf.DUMMYFUNCTION("""COMPUTED_VALUE"""),"Good")</f>
        <v>Good</v>
      </c>
      <c r="W158" t="str">
        <f>IFERROR(__xludf.DUMMYFUNCTION("""COMPUTED_VALUE"""),"Good")</f>
        <v>Good</v>
      </c>
      <c r="X158" t="str">
        <f>IFERROR(__xludf.DUMMYFUNCTION("""COMPUTED_VALUE"""),"Good")</f>
        <v>Good</v>
      </c>
      <c r="Y158" t="str">
        <f>IFERROR(__xludf.DUMMYFUNCTION("""COMPUTED_VALUE"""),"Good")</f>
        <v>Good</v>
      </c>
      <c r="Z158" t="str">
        <f>IFERROR(__xludf.DUMMYFUNCTION("""COMPUTED_VALUE"""),"Good")</f>
        <v>Good</v>
      </c>
      <c r="AA158" t="str">
        <f>IFERROR(__xludf.DUMMYFUNCTION("""COMPUTED_VALUE"""),"Good")</f>
        <v>Good</v>
      </c>
      <c r="AB158" t="str">
        <f>IFERROR(__xludf.DUMMYFUNCTION("""COMPUTED_VALUE"""),"Good")</f>
        <v>Good</v>
      </c>
      <c r="AC158" t="str">
        <f>IFERROR(__xludf.DUMMYFUNCTION("""COMPUTED_VALUE"""),"Good")</f>
        <v>Good</v>
      </c>
      <c r="AE158" s="11"/>
      <c r="AF158" t="s">
        <v>218</v>
      </c>
      <c r="AG158" s="17" t="s">
        <v>18</v>
      </c>
      <c r="AH158" s="12">
        <v>1410.0</v>
      </c>
      <c r="AI158" s="12" t="s">
        <v>418</v>
      </c>
      <c r="AJ158" s="19" t="s">
        <v>419</v>
      </c>
      <c r="AK158" s="20" t="str">
        <f>HYPERLINK("https://docs.google.com/document/d/1L1Qa-gJZob4LNqDWn65q46mBvDTDwlLwU3zjXy1ncsw/edit?usp=drivesdk","Gabriela Canas - 9/17/2018 12:30 PM")</f>
        <v>Gabriela Canas - 9/17/2018 12:30 PM</v>
      </c>
      <c r="AL158" s="12" t="s">
        <v>420</v>
      </c>
    </row>
    <row r="159">
      <c r="A159" s="10">
        <f>IFERROR(__xludf.DUMMYFUNCTION("""COMPUTED_VALUE"""),43362.308713125)</f>
        <v>43362.30871</v>
      </c>
      <c r="B159" s="11" t="str">
        <f>IFERROR(__xludf.DUMMYFUNCTION("""COMPUTED_VALUE"""),"James Tomazinis")</f>
        <v>James Tomazinis</v>
      </c>
      <c r="C159" t="str">
        <f>IFERROR(__xludf.DUMMYFUNCTION("""COMPUTED_VALUE"""),"james.tomazinis@floridadep.gov")</f>
        <v>james.tomazinis@floridadep.gov</v>
      </c>
      <c r="D159" t="str">
        <f>IFERROR(__xludf.DUMMYFUNCTION("""COMPUTED_VALUE"""),"Stewardship (Aquatic)")</f>
        <v>Stewardship (Aquatic)</v>
      </c>
      <c r="E159" t="str">
        <f>IFERROR(__xludf.DUMMYFUNCTION("""COMPUTED_VALUE"""),"Faver Dykes")</f>
        <v>Faver Dykes</v>
      </c>
      <c r="F159" s="13">
        <f>IFERROR(__xludf.DUMMYFUNCTION("""COMPUTED_VALUE"""),0.375)</f>
        <v>0.375</v>
      </c>
      <c r="G159" s="14">
        <f>IFERROR(__xludf.DUMMYFUNCTION("""COMPUTED_VALUE"""),43362.0)</f>
        <v>43362</v>
      </c>
      <c r="H159" t="str">
        <f>IFERROR(__xludf.DUMMYFUNCTION("""COMPUTED_VALUE"""),"Pellicer Creek WQ sites")</f>
        <v>Pellicer Creek WQ sites</v>
      </c>
      <c r="I159" s="15">
        <f>IFERROR(__xludf.DUMMYFUNCTION("""COMPUTED_VALUE"""),0.5625)</f>
        <v>0.5625</v>
      </c>
      <c r="J159" s="16"/>
      <c r="K159" t="str">
        <f>IFERROR(__xludf.DUMMYFUNCTION("""COMPUTED_VALUE"""),"Jon Boat FL0484NP DEP06819")</f>
        <v>Jon Boat FL0484NP DEP06819</v>
      </c>
      <c r="M159" t="str">
        <f>IFERROR(__xludf.DUMMYFUNCTION("""COMPUTED_VALUE"""),"NEAP F150")</f>
        <v>NEAP F150</v>
      </c>
      <c r="N159" t="str">
        <f>IFERROR(__xludf.DUMMYFUNCTION("""COMPUTED_VALUE"""),"Jimmy Tomazinis, (904) 547-0094")</f>
        <v>Jimmy Tomazinis, (904) 547-0094</v>
      </c>
      <c r="O159" t="str">
        <f>IFERROR(__xludf.DUMMYFUNCTION("""COMPUTED_VALUE"""),"Scott Eastman, (904) 501-9267")</f>
        <v>Scott Eastman, (904) 501-9267</v>
      </c>
      <c r="P159" t="str">
        <f>IFERROR(__xludf.DUMMYFUNCTION("""COMPUTED_VALUE"""),"Jimmy")</f>
        <v>Jimmy</v>
      </c>
      <c r="Q159" t="str">
        <f>IFERROR(__xludf.DUMMYFUNCTION("""COMPUTED_VALUE"""),"Good")</f>
        <v>Good</v>
      </c>
      <c r="R159" t="str">
        <f>IFERROR(__xludf.DUMMYFUNCTION("""COMPUTED_VALUE"""),"Good")</f>
        <v>Good</v>
      </c>
      <c r="S159" t="str">
        <f>IFERROR(__xludf.DUMMYFUNCTION("""COMPUTED_VALUE"""),"Good")</f>
        <v>Good</v>
      </c>
      <c r="T159" t="str">
        <f>IFERROR(__xludf.DUMMYFUNCTION("""COMPUTED_VALUE"""),"Good")</f>
        <v>Good</v>
      </c>
      <c r="U159" t="str">
        <f>IFERROR(__xludf.DUMMYFUNCTION("""COMPUTED_VALUE"""),"Good")</f>
        <v>Good</v>
      </c>
      <c r="V159" t="str">
        <f>IFERROR(__xludf.DUMMYFUNCTION("""COMPUTED_VALUE"""),"Good")</f>
        <v>Good</v>
      </c>
      <c r="W159" t="str">
        <f>IFERROR(__xludf.DUMMYFUNCTION("""COMPUTED_VALUE"""),"Good")</f>
        <v>Good</v>
      </c>
      <c r="X159" t="str">
        <f>IFERROR(__xludf.DUMMYFUNCTION("""COMPUTED_VALUE"""),"Good")</f>
        <v>Good</v>
      </c>
      <c r="Y159" t="str">
        <f>IFERROR(__xludf.DUMMYFUNCTION("""COMPUTED_VALUE"""),"Good")</f>
        <v>Good</v>
      </c>
      <c r="Z159" t="str">
        <f>IFERROR(__xludf.DUMMYFUNCTION("""COMPUTED_VALUE"""),"Good")</f>
        <v>Good</v>
      </c>
      <c r="AA159" t="str">
        <f>IFERROR(__xludf.DUMMYFUNCTION("""COMPUTED_VALUE"""),"Good")</f>
        <v>Good</v>
      </c>
      <c r="AB159" t="str">
        <f>IFERROR(__xludf.DUMMYFUNCTION("""COMPUTED_VALUE"""),"Good")</f>
        <v>Good</v>
      </c>
      <c r="AC159" t="str">
        <f>IFERROR(__xludf.DUMMYFUNCTION("""COMPUTED_VALUE"""),"Good")</f>
        <v>Good</v>
      </c>
      <c r="AE159" s="11"/>
      <c r="AF159" t="s">
        <v>32</v>
      </c>
      <c r="AG159" s="17" t="s">
        <v>18</v>
      </c>
      <c r="AH159" s="12">
        <v>1400.0</v>
      </c>
      <c r="AI159" s="12" t="s">
        <v>421</v>
      </c>
      <c r="AJ159" s="19" t="s">
        <v>422</v>
      </c>
      <c r="AK159" s="20" t="str">
        <f>HYPERLINK("https://docs.google.com/document/d/1BEemg3yUgKS4kZmHueWdHy0Eq3TwI6BuvwXCR9oCHpE/edit?usp=drivesdk","James Tomazinis - 9/19/2018 9:00 AM")</f>
        <v>James Tomazinis - 9/19/2018 9:00 AM</v>
      </c>
      <c r="AL159" s="12" t="s">
        <v>423</v>
      </c>
    </row>
    <row r="160">
      <c r="A160" s="10">
        <f>IFERROR(__xludf.DUMMYFUNCTION("""COMPUTED_VALUE"""),43362.39120690973)</f>
        <v>43362.39121</v>
      </c>
      <c r="B160" s="11" t="str">
        <f>IFERROR(__xludf.DUMMYFUNCTION("""COMPUTED_VALUE"""),"Ben Mowbray")</f>
        <v>Ben Mowbray</v>
      </c>
      <c r="C160" t="str">
        <f>IFERROR(__xludf.DUMMYFUNCTION("""COMPUTED_VALUE"""),"ben.mowbray@dep.state.fl.us")</f>
        <v>ben.mowbray@dep.state.fl.us</v>
      </c>
      <c r="D160" t="str">
        <f>IFERROR(__xludf.DUMMYFUNCTION("""COMPUTED_VALUE"""),"Research/Pam")</f>
        <v>Research/Pam</v>
      </c>
      <c r="E160" t="str">
        <f>IFERROR(__xludf.DUMMYFUNCTION("""COMPUTED_VALUE"""),"Whitney")</f>
        <v>Whitney</v>
      </c>
      <c r="F160" s="13">
        <f>IFERROR(__xludf.DUMMYFUNCTION("""COMPUTED_VALUE"""),0.40972222222262644)</f>
        <v>0.4097222222</v>
      </c>
      <c r="G160" s="14">
        <f>IFERROR(__xludf.DUMMYFUNCTION("""COMPUTED_VALUE"""),43362.0)</f>
        <v>43362</v>
      </c>
      <c r="H160" t="str">
        <f>IFERROR(__xludf.DUMMYFUNCTION("""COMPUTED_VALUE"""),"Kimbro reefs in Pellicer Flats and near Whitney")</f>
        <v>Kimbro reefs in Pellicer Flats and near Whitney</v>
      </c>
      <c r="I160" s="15">
        <f>IFERROR(__xludf.DUMMYFUNCTION("""COMPUTED_VALUE"""),0.625)</f>
        <v>0.625</v>
      </c>
      <c r="J160" s="16">
        <f>IFERROR(__xludf.DUMMYFUNCTION("""COMPUTED_VALUE"""),43362.66666666667)</f>
        <v>43362.66667</v>
      </c>
      <c r="K160" t="str">
        <f>IFERROR(__xludf.DUMMYFUNCTION("""COMPUTED_VALUE"""),"20ft Sea Ark FL5351SJ UNF 2015")</f>
        <v>20ft Sea Ark FL5351SJ UNF 2015</v>
      </c>
      <c r="M160" t="str">
        <f>IFERROR(__xludf.DUMMYFUNCTION("""COMPUTED_VALUE"""),"Ford F150 2015 (White) - DEP21448")</f>
        <v>Ford F150 2015 (White) - DEP21448</v>
      </c>
      <c r="N160" t="str">
        <f>IFERROR(__xludf.DUMMYFUNCTION("""COMPUTED_VALUE"""),"Ben Mowbray, (407) 962-8782")</f>
        <v>Ben Mowbray, (407) 962-8782</v>
      </c>
      <c r="O160" t="str">
        <f>IFERROR(__xludf.DUMMYFUNCTION("""COMPUTED_VALUE"""),"Nicole, Rodrigo, Adrienne")</f>
        <v>Nicole, Rodrigo, Adrienne</v>
      </c>
      <c r="P160" t="str">
        <f>IFERROR(__xludf.DUMMYFUNCTION("""COMPUTED_VALUE"""),"Ben")</f>
        <v>Ben</v>
      </c>
      <c r="Q160" t="str">
        <f>IFERROR(__xludf.DUMMYFUNCTION("""COMPUTED_VALUE"""),"Good")</f>
        <v>Good</v>
      </c>
      <c r="R160" t="str">
        <f>IFERROR(__xludf.DUMMYFUNCTION("""COMPUTED_VALUE"""),"Good")</f>
        <v>Good</v>
      </c>
      <c r="S160" t="str">
        <f>IFERROR(__xludf.DUMMYFUNCTION("""COMPUTED_VALUE"""),"Good")</f>
        <v>Good</v>
      </c>
      <c r="T160" t="str">
        <f>IFERROR(__xludf.DUMMYFUNCTION("""COMPUTED_VALUE"""),"Good")</f>
        <v>Good</v>
      </c>
      <c r="U160" t="str">
        <f>IFERROR(__xludf.DUMMYFUNCTION("""COMPUTED_VALUE"""),"Good")</f>
        <v>Good</v>
      </c>
      <c r="V160" t="str">
        <f>IFERROR(__xludf.DUMMYFUNCTION("""COMPUTED_VALUE"""),"Good")</f>
        <v>Good</v>
      </c>
      <c r="W160" t="str">
        <f>IFERROR(__xludf.DUMMYFUNCTION("""COMPUTED_VALUE"""),"Good")</f>
        <v>Good</v>
      </c>
      <c r="X160" t="str">
        <f>IFERROR(__xludf.DUMMYFUNCTION("""COMPUTED_VALUE"""),"Good")</f>
        <v>Good</v>
      </c>
      <c r="Y160" t="str">
        <f>IFERROR(__xludf.DUMMYFUNCTION("""COMPUTED_VALUE"""),"Good")</f>
        <v>Good</v>
      </c>
      <c r="Z160" t="str">
        <f>IFERROR(__xludf.DUMMYFUNCTION("""COMPUTED_VALUE"""),"Good")</f>
        <v>Good</v>
      </c>
      <c r="AA160" t="str">
        <f>IFERROR(__xludf.DUMMYFUNCTION("""COMPUTED_VALUE"""),"Good")</f>
        <v>Good</v>
      </c>
      <c r="AB160" t="str">
        <f>IFERROR(__xludf.DUMMYFUNCTION("""COMPUTED_VALUE"""),"Good")</f>
        <v>Good</v>
      </c>
      <c r="AC160" t="str">
        <f>IFERROR(__xludf.DUMMYFUNCTION("""COMPUTED_VALUE"""),"Good")</f>
        <v>Good</v>
      </c>
      <c r="AE160" s="11"/>
      <c r="AF160" t="s">
        <v>262</v>
      </c>
      <c r="AG160" s="17" t="s">
        <v>18</v>
      </c>
      <c r="AH160" s="12">
        <v>1457.0</v>
      </c>
      <c r="AI160" s="12" t="s">
        <v>424</v>
      </c>
      <c r="AJ160" s="19" t="s">
        <v>425</v>
      </c>
      <c r="AK160" s="20" t="str">
        <f>HYPERLINK("https://docs.google.com/document/d/13L1BLRxELDJtkWSeTmCGPwxwpJo_bGihEn16D1Ndh94/edit?usp=drivesdk","Ben Mowbray - 9/19/2018 9:50 AM")</f>
        <v>Ben Mowbray - 9/19/2018 9:50 AM</v>
      </c>
      <c r="AL160" s="12" t="s">
        <v>426</v>
      </c>
    </row>
    <row r="161">
      <c r="A161" s="10">
        <f>IFERROR(__xludf.DUMMYFUNCTION("""COMPUTED_VALUE"""),43362.8456943287)</f>
        <v>43362.84569</v>
      </c>
      <c r="B161" s="11" t="str">
        <f>IFERROR(__xludf.DUMMYFUNCTION("""COMPUTED_VALUE"""),"Shannon Dunnigan")</f>
        <v>Shannon Dunnigan</v>
      </c>
      <c r="C161" t="str">
        <f>IFERROR(__xludf.DUMMYFUNCTION("""COMPUTED_VALUE"""),"shannon.dunnigan@floridadep.gov")</f>
        <v>shannon.dunnigan@floridadep.gov</v>
      </c>
      <c r="D161" t="str">
        <f>IFERROR(__xludf.DUMMYFUNCTION("""COMPUTED_VALUE"""),"Research/Nikki")</f>
        <v>Research/Nikki</v>
      </c>
      <c r="E161" t="str">
        <f>IFERROR(__xludf.DUMMYFUNCTION("""COMPUTED_VALUE"""),"Bings")</f>
        <v>Bings</v>
      </c>
      <c r="F161" s="13">
        <f>IFERROR(__xludf.DUMMYFUNCTION("""COMPUTED_VALUE"""),0.3541666666678793)</f>
        <v>0.3541666667</v>
      </c>
      <c r="G161" s="14">
        <f>IFERROR(__xludf.DUMMYFUNCTION("""COMPUTED_VALUE"""),43363.0)</f>
        <v>43363</v>
      </c>
      <c r="H161" t="str">
        <f>IFERROR(__xludf.DUMMYFUNCTION("""COMPUTED_VALUE"""),"Summerhaven River")</f>
        <v>Summerhaven River</v>
      </c>
      <c r="I161" s="15">
        <f>IFERROR(__xludf.DUMMYFUNCTION("""COMPUTED_VALUE"""),0.4583333333321207)</f>
        <v>0.4583333333</v>
      </c>
      <c r="J161" s="16">
        <f>IFERROR(__xludf.DUMMYFUNCTION("""COMPUTED_VALUE"""),43363.5625)</f>
        <v>43363.5625</v>
      </c>
      <c r="K161" t="str">
        <f>IFERROR(__xludf.DUMMYFUNCTION("""COMPUTED_VALUE"""),"20ft Sea Ark FL5351SJ UNF 2015")</f>
        <v>20ft Sea Ark FL5351SJ UNF 2015</v>
      </c>
      <c r="M161" t="str">
        <f>IFERROR(__xludf.DUMMYFUNCTION("""COMPUTED_VALUE"""),"Ford F150 2015 (White) - DEP21448")</f>
        <v>Ford F150 2015 (White) - DEP21448</v>
      </c>
      <c r="N161" t="str">
        <f>IFERROR(__xludf.DUMMYFUNCTION("""COMPUTED_VALUE"""),"Shannon Dunnigan, (803) 727-5734, Silas Tanner, (904) 483-8423")</f>
        <v>Shannon Dunnigan, (803) 727-5734, Silas Tanner, (904) 483-8423</v>
      </c>
      <c r="O161" t="str">
        <f>IFERROR(__xludf.DUMMYFUNCTION("""COMPUTED_VALUE"""),"Hunter Mathews and Westly Woodward")</f>
        <v>Hunter Mathews and Westly Woodward</v>
      </c>
      <c r="P161" t="str">
        <f>IFERROR(__xludf.DUMMYFUNCTION("""COMPUTED_VALUE"""),"Shannon Dunnigan")</f>
        <v>Shannon Dunnigan</v>
      </c>
      <c r="Q161" t="str">
        <f>IFERROR(__xludf.DUMMYFUNCTION("""COMPUTED_VALUE"""),"Good")</f>
        <v>Good</v>
      </c>
      <c r="R161" t="str">
        <f>IFERROR(__xludf.DUMMYFUNCTION("""COMPUTED_VALUE"""),"Good")</f>
        <v>Good</v>
      </c>
      <c r="S161" t="str">
        <f>IFERROR(__xludf.DUMMYFUNCTION("""COMPUTED_VALUE"""),"Good")</f>
        <v>Good</v>
      </c>
      <c r="T161" t="str">
        <f>IFERROR(__xludf.DUMMYFUNCTION("""COMPUTED_VALUE"""),"Good")</f>
        <v>Good</v>
      </c>
      <c r="U161" t="str">
        <f>IFERROR(__xludf.DUMMYFUNCTION("""COMPUTED_VALUE"""),"Good")</f>
        <v>Good</v>
      </c>
      <c r="V161" t="str">
        <f>IFERROR(__xludf.DUMMYFUNCTION("""COMPUTED_VALUE"""),"Good")</f>
        <v>Good</v>
      </c>
      <c r="W161" t="str">
        <f>IFERROR(__xludf.DUMMYFUNCTION("""COMPUTED_VALUE"""),"Good")</f>
        <v>Good</v>
      </c>
      <c r="X161" t="str">
        <f>IFERROR(__xludf.DUMMYFUNCTION("""COMPUTED_VALUE"""),"Good")</f>
        <v>Good</v>
      </c>
      <c r="Y161" t="str">
        <f>IFERROR(__xludf.DUMMYFUNCTION("""COMPUTED_VALUE"""),"Good")</f>
        <v>Good</v>
      </c>
      <c r="Z161" t="str">
        <f>IFERROR(__xludf.DUMMYFUNCTION("""COMPUTED_VALUE"""),"Good")</f>
        <v>Good</v>
      </c>
      <c r="AA161" t="str">
        <f>IFERROR(__xludf.DUMMYFUNCTION("""COMPUTED_VALUE"""),"Good")</f>
        <v>Good</v>
      </c>
      <c r="AB161" t="str">
        <f>IFERROR(__xludf.DUMMYFUNCTION("""COMPUTED_VALUE"""),"Good")</f>
        <v>Good</v>
      </c>
      <c r="AC161" t="str">
        <f>IFERROR(__xludf.DUMMYFUNCTION("""COMPUTED_VALUE"""),"Good")</f>
        <v>Good</v>
      </c>
      <c r="AE161" s="11"/>
      <c r="AF161" t="s">
        <v>218</v>
      </c>
      <c r="AG161" s="17" t="s">
        <v>18</v>
      </c>
      <c r="AH161" s="12">
        <v>1010.0</v>
      </c>
      <c r="AI161" s="12" t="s">
        <v>427</v>
      </c>
      <c r="AJ161" s="19" t="s">
        <v>428</v>
      </c>
      <c r="AK161" s="20" t="str">
        <f>HYPERLINK("https://docs.google.com/document/d/1XgPHyLVaetsiT9yAxWjsIn05pUXXzoUT6oXrjFlL0YY/edit?usp=drivesdk","Shannon Dunnigan - 9/20/2018 8:30 AM")</f>
        <v>Shannon Dunnigan - 9/20/2018 8:30 AM</v>
      </c>
      <c r="AL161" s="12" t="s">
        <v>429</v>
      </c>
    </row>
    <row r="162">
      <c r="A162" s="10">
        <f>IFERROR(__xludf.DUMMYFUNCTION("""COMPUTED_VALUE"""),43366.743190810186)</f>
        <v>43366.74319</v>
      </c>
      <c r="B162" s="11" t="str">
        <f>IFERROR(__xludf.DUMMYFUNCTION("""COMPUTED_VALUE"""),"Silas Tanner")</f>
        <v>Silas Tanner</v>
      </c>
      <c r="C162" t="str">
        <f>IFERROR(__xludf.DUMMYFUNCTION("""COMPUTED_VALUE"""),"silas.tanner@floridadep.gov")</f>
        <v>silas.tanner@floridadep.gov</v>
      </c>
      <c r="D162" t="str">
        <f>IFERROR(__xludf.DUMMYFUNCTION("""COMPUTED_VALUE"""),"Research/Nikki")</f>
        <v>Research/Nikki</v>
      </c>
      <c r="E162" t="str">
        <f>IFERROR(__xludf.DUMMYFUNCTION("""COMPUTED_VALUE"""),"Vilano county ramp")</f>
        <v>Vilano county ramp</v>
      </c>
      <c r="F162" s="13">
        <f>IFERROR(__xludf.DUMMYFUNCTION("""COMPUTED_VALUE"""),0.3645833333321207)</f>
        <v>0.3645833333</v>
      </c>
      <c r="G162" s="14">
        <f>IFERROR(__xludf.DUMMYFUNCTION("""COMPUTED_VALUE"""),43367.0)</f>
        <v>43367</v>
      </c>
      <c r="H162" t="str">
        <f>IFERROR(__xludf.DUMMYFUNCTION("""COMPUTED_VALUE"""),"ICW - SWMP sites")</f>
        <v>ICW - SWMP sites</v>
      </c>
      <c r="I162" s="15">
        <f>IFERROR(__xludf.DUMMYFUNCTION("""COMPUTED_VALUE"""),0.53125)</f>
        <v>0.53125</v>
      </c>
      <c r="J162" s="16">
        <f>IFERROR(__xludf.DUMMYFUNCTION("""COMPUTED_VALUE"""),43367.54166666667)</f>
        <v>43367.54167</v>
      </c>
      <c r="K162" t="str">
        <f>IFERROR(__xludf.DUMMYFUNCTION("""COMPUTED_VALUE"""),"23ft Skiff (Bertha) FL7972LJ DEP07613")</f>
        <v>23ft Skiff (Bertha) FL7972LJ DEP07613</v>
      </c>
      <c r="M162" t="str">
        <f>IFERROR(__xludf.DUMMYFUNCTION("""COMPUTED_VALUE"""),"Ford F250 2017 (Moby Dix) - DEP0021578")</f>
        <v>Ford F250 2017 (Moby Dix) - DEP0021578</v>
      </c>
      <c r="N162" t="str">
        <f>IFERROR(__xludf.DUMMYFUNCTION("""COMPUTED_VALUE"""),"Silas Tanner, (904) 483-8423")</f>
        <v>Silas Tanner, (904) 483-8423</v>
      </c>
      <c r="O162" t="str">
        <f>IFERROR(__xludf.DUMMYFUNCTION("""COMPUTED_VALUE"""),"Remo Mondazi, Terri Calleson")</f>
        <v>Remo Mondazi, Terri Calleson</v>
      </c>
      <c r="P162" t="str">
        <f>IFERROR(__xludf.DUMMYFUNCTION("""COMPUTED_VALUE"""),"Silas Tanner")</f>
        <v>Silas Tanner</v>
      </c>
      <c r="Q162" t="str">
        <f>IFERROR(__xludf.DUMMYFUNCTION("""COMPUTED_VALUE"""),"Good")</f>
        <v>Good</v>
      </c>
      <c r="R162" t="str">
        <f>IFERROR(__xludf.DUMMYFUNCTION("""COMPUTED_VALUE"""),"Good")</f>
        <v>Good</v>
      </c>
      <c r="S162" t="str">
        <f>IFERROR(__xludf.DUMMYFUNCTION("""COMPUTED_VALUE"""),"Good")</f>
        <v>Good</v>
      </c>
      <c r="T162" t="str">
        <f>IFERROR(__xludf.DUMMYFUNCTION("""COMPUTED_VALUE"""),"Good")</f>
        <v>Good</v>
      </c>
      <c r="U162" t="str">
        <f>IFERROR(__xludf.DUMMYFUNCTION("""COMPUTED_VALUE"""),"Good")</f>
        <v>Good</v>
      </c>
      <c r="V162" t="str">
        <f>IFERROR(__xludf.DUMMYFUNCTION("""COMPUTED_VALUE"""),"Good")</f>
        <v>Good</v>
      </c>
      <c r="W162" t="str">
        <f>IFERROR(__xludf.DUMMYFUNCTION("""COMPUTED_VALUE"""),"Good")</f>
        <v>Good</v>
      </c>
      <c r="X162" t="str">
        <f>IFERROR(__xludf.DUMMYFUNCTION("""COMPUTED_VALUE"""),"Good")</f>
        <v>Good</v>
      </c>
      <c r="Y162" t="str">
        <f>IFERROR(__xludf.DUMMYFUNCTION("""COMPUTED_VALUE"""),"Good")</f>
        <v>Good</v>
      </c>
      <c r="Z162" t="str">
        <f>IFERROR(__xludf.DUMMYFUNCTION("""COMPUTED_VALUE"""),"Good")</f>
        <v>Good</v>
      </c>
      <c r="AA162" t="str">
        <f>IFERROR(__xludf.DUMMYFUNCTION("""COMPUTED_VALUE"""),"Good")</f>
        <v>Good</v>
      </c>
      <c r="AB162" t="str">
        <f>IFERROR(__xludf.DUMMYFUNCTION("""COMPUTED_VALUE"""),"Good")</f>
        <v>Good</v>
      </c>
      <c r="AC162" t="str">
        <f>IFERROR(__xludf.DUMMYFUNCTION("""COMPUTED_VALUE"""),"Good")</f>
        <v>Good</v>
      </c>
      <c r="AE162" s="11"/>
      <c r="AF162" t="s">
        <v>218</v>
      </c>
      <c r="AG162" s="17" t="s">
        <v>56</v>
      </c>
      <c r="AH162" s="12" t="s">
        <v>282</v>
      </c>
      <c r="AI162" s="12" t="s">
        <v>430</v>
      </c>
      <c r="AJ162" s="19" t="s">
        <v>431</v>
      </c>
      <c r="AK162" s="20" t="str">
        <f>HYPERLINK("https://docs.google.com/document/d/19y2xBdaEYRCaUdOVOFVL8R13UVTXTgDmuMIsfnSUrpc/edit?usp=drivesdk","Silas Tanner - 9/24/2018 8:45 AM")</f>
        <v>Silas Tanner - 9/24/2018 8:45 AM</v>
      </c>
      <c r="AL162" s="12" t="s">
        <v>432</v>
      </c>
    </row>
    <row r="163">
      <c r="A163" s="10">
        <f>IFERROR(__xludf.DUMMYFUNCTION("""COMPUTED_VALUE"""),43367.63287653935)</f>
        <v>43367.63288</v>
      </c>
      <c r="B163" s="11" t="str">
        <f>IFERROR(__xludf.DUMMYFUNCTION("""COMPUTED_VALUE"""),"Ben Mowbray")</f>
        <v>Ben Mowbray</v>
      </c>
      <c r="C163" t="str">
        <f>IFERROR(__xludf.DUMMYFUNCTION("""COMPUTED_VALUE"""),"ben.mowbray@dep.state.fl.us")</f>
        <v>ben.mowbray@dep.state.fl.us</v>
      </c>
      <c r="D163" t="str">
        <f>IFERROR(__xludf.DUMMYFUNCTION("""COMPUTED_VALUE"""),"Research/Nikki")</f>
        <v>Research/Nikki</v>
      </c>
      <c r="E163" t="str">
        <f>IFERROR(__xludf.DUMMYFUNCTION("""COMPUTED_VALUE"""),"Bing's")</f>
        <v>Bing's</v>
      </c>
      <c r="F163" s="13">
        <f>IFERROR(__xludf.DUMMYFUNCTION("""COMPUTED_VALUE"""),0.3055555555547471)</f>
        <v>0.3055555556</v>
      </c>
      <c r="G163" s="14">
        <f>IFERROR(__xludf.DUMMYFUNCTION("""COMPUTED_VALUE"""),43370.0)</f>
        <v>43370</v>
      </c>
      <c r="H163" t="str">
        <f>IFERROR(__xludf.DUMMYFUNCTION("""COMPUTED_VALUE"""),"Washington Oaks marsh platforms")</f>
        <v>Washington Oaks marsh platforms</v>
      </c>
      <c r="I163" s="15">
        <f>IFERROR(__xludf.DUMMYFUNCTION("""COMPUTED_VALUE"""),0.5277777777773736)</f>
        <v>0.5277777778</v>
      </c>
      <c r="J163" s="16">
        <f>IFERROR(__xludf.DUMMYFUNCTION("""COMPUTED_VALUE"""),43370.58333333333)</f>
        <v>43370.58333</v>
      </c>
      <c r="K163" t="str">
        <f>IFERROR(__xludf.DUMMYFUNCTION("""COMPUTED_VALUE"""),"20ft Sea Ark FL5351SJ UNF 2015")</f>
        <v>20ft Sea Ark FL5351SJ UNF 2015</v>
      </c>
      <c r="M163" t="str">
        <f>IFERROR(__xludf.DUMMYFUNCTION("""COMPUTED_VALUE"""),"Ford F250 2017 (Moby Dix) - DEP0021578")</f>
        <v>Ford F250 2017 (Moby Dix) - DEP0021578</v>
      </c>
      <c r="N163" t="str">
        <f>IFERROR(__xludf.DUMMYFUNCTION("""COMPUTED_VALUE"""),"Silas Tanner, (904) 483-8423, Ben Mowbray, (407) 962-8782")</f>
        <v>Silas Tanner, (904) 483-8423, Ben Mowbray, (407) 962-8782</v>
      </c>
      <c r="O163" t="str">
        <f>IFERROR(__xludf.DUMMYFUNCTION("""COMPUTED_VALUE"""),"Remo, Jessica")</f>
        <v>Remo, Jessica</v>
      </c>
      <c r="P163" t="str">
        <f>IFERROR(__xludf.DUMMYFUNCTION("""COMPUTED_VALUE"""),"Silas")</f>
        <v>Silas</v>
      </c>
      <c r="Q163" t="str">
        <f>IFERROR(__xludf.DUMMYFUNCTION("""COMPUTED_VALUE"""),"Good")</f>
        <v>Good</v>
      </c>
      <c r="R163" t="str">
        <f>IFERROR(__xludf.DUMMYFUNCTION("""COMPUTED_VALUE"""),"Good")</f>
        <v>Good</v>
      </c>
      <c r="S163" t="str">
        <f>IFERROR(__xludf.DUMMYFUNCTION("""COMPUTED_VALUE"""),"Good")</f>
        <v>Good</v>
      </c>
      <c r="T163" t="str">
        <f>IFERROR(__xludf.DUMMYFUNCTION("""COMPUTED_VALUE"""),"Good")</f>
        <v>Good</v>
      </c>
      <c r="U163" t="str">
        <f>IFERROR(__xludf.DUMMYFUNCTION("""COMPUTED_VALUE"""),"Good")</f>
        <v>Good</v>
      </c>
      <c r="V163" t="str">
        <f>IFERROR(__xludf.DUMMYFUNCTION("""COMPUTED_VALUE"""),"Good")</f>
        <v>Good</v>
      </c>
      <c r="W163" t="str">
        <f>IFERROR(__xludf.DUMMYFUNCTION("""COMPUTED_VALUE"""),"Good")</f>
        <v>Good</v>
      </c>
      <c r="X163" t="str">
        <f>IFERROR(__xludf.DUMMYFUNCTION("""COMPUTED_VALUE"""),"Good")</f>
        <v>Good</v>
      </c>
      <c r="Y163" t="str">
        <f>IFERROR(__xludf.DUMMYFUNCTION("""COMPUTED_VALUE"""),"Good")</f>
        <v>Good</v>
      </c>
      <c r="Z163" t="str">
        <f>IFERROR(__xludf.DUMMYFUNCTION("""COMPUTED_VALUE"""),"Good")</f>
        <v>Good</v>
      </c>
      <c r="AA163" t="str">
        <f>IFERROR(__xludf.DUMMYFUNCTION("""COMPUTED_VALUE"""),"Good")</f>
        <v>Good</v>
      </c>
      <c r="AB163" t="str">
        <f>IFERROR(__xludf.DUMMYFUNCTION("""COMPUTED_VALUE"""),"Good")</f>
        <v>Good</v>
      </c>
      <c r="AC163" t="str">
        <f>IFERROR(__xludf.DUMMYFUNCTION("""COMPUTED_VALUE"""),"Good")</f>
        <v>Good</v>
      </c>
      <c r="AE163" s="11"/>
      <c r="AF163" t="s">
        <v>218</v>
      </c>
      <c r="AG163" s="17" t="s">
        <v>128</v>
      </c>
      <c r="AH163" s="23">
        <v>0.5277777777777778</v>
      </c>
      <c r="AI163" s="12" t="s">
        <v>433</v>
      </c>
      <c r="AJ163" s="19" t="s">
        <v>434</v>
      </c>
      <c r="AK163" s="20" t="str">
        <f>HYPERLINK("https://docs.google.com/document/d/1cZCSPnwhRfGhAyk0zgxcNQFgvBFuINflyXPMCG46zK4/edit?usp=drivesdk","Ben Mowbray - 9/27/2018 7:20 AM")</f>
        <v>Ben Mowbray - 9/27/2018 7:20 AM</v>
      </c>
      <c r="AL163" s="12" t="s">
        <v>435</v>
      </c>
    </row>
    <row r="164">
      <c r="A164" s="10">
        <f>IFERROR(__xludf.DUMMYFUNCTION("""COMPUTED_VALUE"""),43367.635299421294)</f>
        <v>43367.6353</v>
      </c>
      <c r="B164" s="11" t="str">
        <f>IFERROR(__xludf.DUMMYFUNCTION("""COMPUTED_VALUE"""),"Ben Mowbray")</f>
        <v>Ben Mowbray</v>
      </c>
      <c r="C164" t="str">
        <f>IFERROR(__xludf.DUMMYFUNCTION("""COMPUTED_VALUE"""),"ben.mowbray@dep.state.fl.us")</f>
        <v>ben.mowbray@dep.state.fl.us</v>
      </c>
      <c r="D164" t="str">
        <f>IFERROR(__xludf.DUMMYFUNCTION("""COMPUTED_VALUE"""),"Research/Nikki")</f>
        <v>Research/Nikki</v>
      </c>
      <c r="E164" t="str">
        <f>IFERROR(__xludf.DUMMYFUNCTION("""COMPUTED_VALUE"""),"Faver Dykes")</f>
        <v>Faver Dykes</v>
      </c>
      <c r="F164" s="13">
        <f>IFERROR(__xludf.DUMMYFUNCTION("""COMPUTED_VALUE"""),0.32638888889050577)</f>
        <v>0.3263888889</v>
      </c>
      <c r="G164" s="14">
        <f>IFERROR(__xludf.DUMMYFUNCTION("""COMPUTED_VALUE"""),43371.0)</f>
        <v>43371</v>
      </c>
      <c r="H164" t="str">
        <f>IFERROR(__xludf.DUMMYFUNCTION("""COMPUTED_VALUE"""),"Pellicer marsh platforms")</f>
        <v>Pellicer marsh platforms</v>
      </c>
      <c r="I164" s="15">
        <f>IFERROR(__xludf.DUMMYFUNCTION("""COMPUTED_VALUE"""),0.5277777777773736)</f>
        <v>0.5277777778</v>
      </c>
      <c r="J164" s="16">
        <f>IFERROR(__xludf.DUMMYFUNCTION("""COMPUTED_VALUE"""),43371.58333333333)</f>
        <v>43371.58333</v>
      </c>
      <c r="K164" t="str">
        <f>IFERROR(__xludf.DUMMYFUNCTION("""COMPUTED_VALUE"""),"20ft Sea Ark FL5351SJ UNF 2015")</f>
        <v>20ft Sea Ark FL5351SJ UNF 2015</v>
      </c>
      <c r="M164" t="str">
        <f>IFERROR(__xludf.DUMMYFUNCTION("""COMPUTED_VALUE"""),"Ford F250 2017 (Moby Dix) - DEP0021578")</f>
        <v>Ford F250 2017 (Moby Dix) - DEP0021578</v>
      </c>
      <c r="N164" t="str">
        <f>IFERROR(__xludf.DUMMYFUNCTION("""COMPUTED_VALUE"""),"Silas Tanner, (904) 483-8423, Ben Mowbray, (407) 962-8782")</f>
        <v>Silas Tanner, (904) 483-8423, Ben Mowbray, (407) 962-8782</v>
      </c>
      <c r="O164" t="str">
        <f>IFERROR(__xludf.DUMMYFUNCTION("""COMPUTED_VALUE"""),"Joan")</f>
        <v>Joan</v>
      </c>
      <c r="P164" t="str">
        <f>IFERROR(__xludf.DUMMYFUNCTION("""COMPUTED_VALUE"""),"Silas")</f>
        <v>Silas</v>
      </c>
      <c r="Q164" t="str">
        <f>IFERROR(__xludf.DUMMYFUNCTION("""COMPUTED_VALUE"""),"Good")</f>
        <v>Good</v>
      </c>
      <c r="R164" t="str">
        <f>IFERROR(__xludf.DUMMYFUNCTION("""COMPUTED_VALUE"""),"Good")</f>
        <v>Good</v>
      </c>
      <c r="S164" t="str">
        <f>IFERROR(__xludf.DUMMYFUNCTION("""COMPUTED_VALUE"""),"Good")</f>
        <v>Good</v>
      </c>
      <c r="T164" t="str">
        <f>IFERROR(__xludf.DUMMYFUNCTION("""COMPUTED_VALUE"""),"Good")</f>
        <v>Good</v>
      </c>
      <c r="U164" t="str">
        <f>IFERROR(__xludf.DUMMYFUNCTION("""COMPUTED_VALUE"""),"Good")</f>
        <v>Good</v>
      </c>
      <c r="V164" t="str">
        <f>IFERROR(__xludf.DUMMYFUNCTION("""COMPUTED_VALUE"""),"Good")</f>
        <v>Good</v>
      </c>
      <c r="W164" t="str">
        <f>IFERROR(__xludf.DUMMYFUNCTION("""COMPUTED_VALUE"""),"Good")</f>
        <v>Good</v>
      </c>
      <c r="X164" t="str">
        <f>IFERROR(__xludf.DUMMYFUNCTION("""COMPUTED_VALUE"""),"Good")</f>
        <v>Good</v>
      </c>
      <c r="Y164" t="str">
        <f>IFERROR(__xludf.DUMMYFUNCTION("""COMPUTED_VALUE"""),"Good")</f>
        <v>Good</v>
      </c>
      <c r="Z164" t="str">
        <f>IFERROR(__xludf.DUMMYFUNCTION("""COMPUTED_VALUE"""),"Good")</f>
        <v>Good</v>
      </c>
      <c r="AA164" t="str">
        <f>IFERROR(__xludf.DUMMYFUNCTION("""COMPUTED_VALUE"""),"Good")</f>
        <v>Good</v>
      </c>
      <c r="AB164" t="str">
        <f>IFERROR(__xludf.DUMMYFUNCTION("""COMPUTED_VALUE"""),"Good")</f>
        <v>Good</v>
      </c>
      <c r="AC164" t="str">
        <f>IFERROR(__xludf.DUMMYFUNCTION("""COMPUTED_VALUE"""),"Good")</f>
        <v>Good</v>
      </c>
      <c r="AE164" s="11"/>
      <c r="AF164" t="s">
        <v>218</v>
      </c>
      <c r="AG164" s="17" t="s">
        <v>18</v>
      </c>
      <c r="AH164" s="23">
        <v>0.5208333333333334</v>
      </c>
      <c r="AI164" s="12" t="s">
        <v>436</v>
      </c>
      <c r="AJ164" s="19" t="s">
        <v>437</v>
      </c>
      <c r="AK164" s="20" t="str">
        <f>HYPERLINK("https://docs.google.com/document/d/10rU4XDlqfzQWaY9r_oxgwKKaIF7s4-1zNcxL46nYc7c/edit?usp=drivesdk","Ben Mowbray - 9/28/2018 7:50 AM")</f>
        <v>Ben Mowbray - 9/28/2018 7:50 AM</v>
      </c>
      <c r="AL164" s="12" t="s">
        <v>438</v>
      </c>
    </row>
    <row r="165">
      <c r="A165" s="10">
        <f>IFERROR(__xludf.DUMMYFUNCTION("""COMPUTED_VALUE"""),43368.30057486111)</f>
        <v>43368.30057</v>
      </c>
      <c r="B165" s="11" t="str">
        <f>IFERROR(__xludf.DUMMYFUNCTION("""COMPUTED_VALUE"""),"Silas Tanner")</f>
        <v>Silas Tanner</v>
      </c>
      <c r="C165" t="str">
        <f>IFERROR(__xludf.DUMMYFUNCTION("""COMPUTED_VALUE"""),"Silas.Tanner@floridadep.gov")</f>
        <v>Silas.Tanner@floridadep.gov</v>
      </c>
      <c r="D165" t="str">
        <f>IFERROR(__xludf.DUMMYFUNCTION("""COMPUTED_VALUE"""),"Research/Nikki")</f>
        <v>Research/Nikki</v>
      </c>
      <c r="E165" t="str">
        <f>IFERROR(__xludf.DUMMYFUNCTION("""COMPUTED_VALUE"""),"Vilano county ramp")</f>
        <v>Vilano county ramp</v>
      </c>
      <c r="F165" s="13">
        <f>IFERROR(__xludf.DUMMYFUNCTION("""COMPUTED_VALUE"""),0.34375)</f>
        <v>0.34375</v>
      </c>
      <c r="G165" s="14">
        <f>IFERROR(__xludf.DUMMYFUNCTION("""COMPUTED_VALUE"""),43368.0)</f>
        <v>43368</v>
      </c>
      <c r="H165" t="str">
        <f>IFERROR(__xludf.DUMMYFUNCTION("""COMPUTED_VALUE"""),"ICW SWMP sites ")</f>
        <v>ICW SWMP sites </v>
      </c>
      <c r="I165" s="15">
        <f>IFERROR(__xludf.DUMMYFUNCTION("""COMPUTED_VALUE"""),0.5104166666678793)</f>
        <v>0.5104166667</v>
      </c>
      <c r="J165" s="16">
        <f>IFERROR(__xludf.DUMMYFUNCTION("""COMPUTED_VALUE"""),43368.52083333333)</f>
        <v>43368.52083</v>
      </c>
      <c r="K165" t="str">
        <f>IFERROR(__xludf.DUMMYFUNCTION("""COMPUTED_VALUE"""),"23ft Skiff (Bertha) FL7972LJ DEP07613")</f>
        <v>23ft Skiff (Bertha) FL7972LJ DEP07613</v>
      </c>
      <c r="M165" t="str">
        <f>IFERROR(__xludf.DUMMYFUNCTION("""COMPUTED_VALUE"""),"Ford F250 2017 (Moby Dix) - DEP0021578")</f>
        <v>Ford F250 2017 (Moby Dix) - DEP0021578</v>
      </c>
      <c r="N165" t="str">
        <f>IFERROR(__xludf.DUMMYFUNCTION("""COMPUTED_VALUE"""),"Silas Tanner, (904) 483-8423, Remo Mondazi")</f>
        <v>Silas Tanner, (904) 483-8423, Remo Mondazi</v>
      </c>
      <c r="P165" t="str">
        <f>IFERROR(__xludf.DUMMYFUNCTION("""COMPUTED_VALUE"""),"Silas Tanner")</f>
        <v>Silas Tanner</v>
      </c>
      <c r="Q165" t="str">
        <f>IFERROR(__xludf.DUMMYFUNCTION("""COMPUTED_VALUE"""),"Good")</f>
        <v>Good</v>
      </c>
      <c r="R165" t="str">
        <f>IFERROR(__xludf.DUMMYFUNCTION("""COMPUTED_VALUE"""),"Good")</f>
        <v>Good</v>
      </c>
      <c r="S165" t="str">
        <f>IFERROR(__xludf.DUMMYFUNCTION("""COMPUTED_VALUE"""),"Good")</f>
        <v>Good</v>
      </c>
      <c r="T165" t="str">
        <f>IFERROR(__xludf.DUMMYFUNCTION("""COMPUTED_VALUE"""),"Good")</f>
        <v>Good</v>
      </c>
      <c r="U165" t="str">
        <f>IFERROR(__xludf.DUMMYFUNCTION("""COMPUTED_VALUE"""),"Good")</f>
        <v>Good</v>
      </c>
      <c r="V165" t="str">
        <f>IFERROR(__xludf.DUMMYFUNCTION("""COMPUTED_VALUE"""),"Good")</f>
        <v>Good</v>
      </c>
      <c r="W165" t="str">
        <f>IFERROR(__xludf.DUMMYFUNCTION("""COMPUTED_VALUE"""),"Good")</f>
        <v>Good</v>
      </c>
      <c r="X165" t="str">
        <f>IFERROR(__xludf.DUMMYFUNCTION("""COMPUTED_VALUE"""),"Good")</f>
        <v>Good</v>
      </c>
      <c r="Y165" t="str">
        <f>IFERROR(__xludf.DUMMYFUNCTION("""COMPUTED_VALUE"""),"Good")</f>
        <v>Good</v>
      </c>
      <c r="Z165" t="str">
        <f>IFERROR(__xludf.DUMMYFUNCTION("""COMPUTED_VALUE"""),"Good")</f>
        <v>Good</v>
      </c>
      <c r="AA165" t="str">
        <f>IFERROR(__xludf.DUMMYFUNCTION("""COMPUTED_VALUE"""),"Good")</f>
        <v>Good</v>
      </c>
      <c r="AB165" t="str">
        <f>IFERROR(__xludf.DUMMYFUNCTION("""COMPUTED_VALUE"""),"Good")</f>
        <v>Good</v>
      </c>
      <c r="AC165" t="str">
        <f>IFERROR(__xludf.DUMMYFUNCTION("""COMPUTED_VALUE"""),"Good")</f>
        <v>Good</v>
      </c>
      <c r="AE165" s="11"/>
      <c r="AF165" t="s">
        <v>218</v>
      </c>
      <c r="AG165" s="17" t="s">
        <v>128</v>
      </c>
      <c r="AH165" s="12">
        <v>1125.0</v>
      </c>
      <c r="AI165" s="12" t="s">
        <v>439</v>
      </c>
      <c r="AJ165" s="19" t="s">
        <v>440</v>
      </c>
      <c r="AK165" s="20" t="str">
        <f>HYPERLINK("https://docs.google.com/document/d/1KDK2Lyv_0BANy_IEzxkUFIoBnnXj9uvp7TxHIpYvUyk/edit?usp=drivesdk","Silas Tanner - 9/25/2018 8:15 AM")</f>
        <v>Silas Tanner - 9/25/2018 8:15 AM</v>
      </c>
      <c r="AL165" s="12" t="s">
        <v>441</v>
      </c>
    </row>
    <row r="166">
      <c r="A166" s="10">
        <f>IFERROR(__xludf.DUMMYFUNCTION("""COMPUTED_VALUE"""),43369.3821318287)</f>
        <v>43369.38213</v>
      </c>
      <c r="B166" s="11" t="str">
        <f>IFERROR(__xludf.DUMMYFUNCTION("""COMPUTED_VALUE"""),"Pamela Marcum")</f>
        <v>Pamela Marcum</v>
      </c>
      <c r="C166" t="str">
        <f>IFERROR(__xludf.DUMMYFUNCTION("""COMPUTED_VALUE"""),"Pamela.Marcum@Dep.state.fl.us")</f>
        <v>Pamela.Marcum@Dep.state.fl.us</v>
      </c>
      <c r="D166" t="str">
        <f>IFERROR(__xludf.DUMMYFUNCTION("""COMPUTED_VALUE"""),"Research/Nikki")</f>
        <v>Research/Nikki</v>
      </c>
      <c r="E166" t="str">
        <f>IFERROR(__xludf.DUMMYFUNCTION("""COMPUTED_VALUE"""),"Faver-Dykes")</f>
        <v>Faver-Dykes</v>
      </c>
      <c r="F166" s="13">
        <f>IFERROR(__xludf.DUMMYFUNCTION("""COMPUTED_VALUE"""),0.4375)</f>
        <v>0.4375</v>
      </c>
      <c r="G166" s="14">
        <f>IFERROR(__xludf.DUMMYFUNCTION("""COMPUTED_VALUE"""),43369.0)</f>
        <v>43369</v>
      </c>
      <c r="H166" t="str">
        <f>IFERROR(__xludf.DUMMYFUNCTION("""COMPUTED_VALUE"""),"Pellicer Creek Middle Platform")</f>
        <v>Pellicer Creek Middle Platform</v>
      </c>
      <c r="I166" s="15">
        <f>IFERROR(__xludf.DUMMYFUNCTION("""COMPUTED_VALUE"""),0.625)</f>
        <v>0.625</v>
      </c>
      <c r="J166" s="16">
        <f>IFERROR(__xludf.DUMMYFUNCTION("""COMPUTED_VALUE"""),43369.66666666667)</f>
        <v>43369.66667</v>
      </c>
      <c r="K166" t="str">
        <f>IFERROR(__xludf.DUMMYFUNCTION("""COMPUTED_VALUE"""),"23ft Skiff (Bertha) FL7972LJ DEP07613")</f>
        <v>23ft Skiff (Bertha) FL7972LJ DEP07613</v>
      </c>
      <c r="M166" t="str">
        <f>IFERROR(__xludf.DUMMYFUNCTION("""COMPUTED_VALUE"""),"Ford F250 2017 (Moby Dix) - DEP0021578")</f>
        <v>Ford F250 2017 (Moby Dix) - DEP0021578</v>
      </c>
      <c r="N166" t="str">
        <f>IFERROR(__xludf.DUMMYFUNCTION("""COMPUTED_VALUE"""),"Pam Marcum, (480) 332-5414, Ben Mowbray, (407) 962-8782")</f>
        <v>Pam Marcum, (480) 332-5414, Ben Mowbray, (407) 962-8782</v>
      </c>
      <c r="O166" t="str">
        <f>IFERROR(__xludf.DUMMYFUNCTION("""COMPUTED_VALUE"""),"Stephen Cabanillas")</f>
        <v>Stephen Cabanillas</v>
      </c>
      <c r="P166" t="str">
        <f>IFERROR(__xludf.DUMMYFUNCTION("""COMPUTED_VALUE"""),"Pam Marcum")</f>
        <v>Pam Marcum</v>
      </c>
      <c r="Q166" t="str">
        <f>IFERROR(__xludf.DUMMYFUNCTION("""COMPUTED_VALUE"""),"Good")</f>
        <v>Good</v>
      </c>
      <c r="R166" t="str">
        <f>IFERROR(__xludf.DUMMYFUNCTION("""COMPUTED_VALUE"""),"Good")</f>
        <v>Good</v>
      </c>
      <c r="S166" t="str">
        <f>IFERROR(__xludf.DUMMYFUNCTION("""COMPUTED_VALUE"""),"Good")</f>
        <v>Good</v>
      </c>
      <c r="T166" t="str">
        <f>IFERROR(__xludf.DUMMYFUNCTION("""COMPUTED_VALUE"""),"Good")</f>
        <v>Good</v>
      </c>
      <c r="U166" t="str">
        <f>IFERROR(__xludf.DUMMYFUNCTION("""COMPUTED_VALUE"""),"Good")</f>
        <v>Good</v>
      </c>
      <c r="V166" t="str">
        <f>IFERROR(__xludf.DUMMYFUNCTION("""COMPUTED_VALUE"""),"Good")</f>
        <v>Good</v>
      </c>
      <c r="W166" t="str">
        <f>IFERROR(__xludf.DUMMYFUNCTION("""COMPUTED_VALUE"""),"Good")</f>
        <v>Good</v>
      </c>
      <c r="X166" t="str">
        <f>IFERROR(__xludf.DUMMYFUNCTION("""COMPUTED_VALUE"""),"Good")</f>
        <v>Good</v>
      </c>
      <c r="Y166" t="str">
        <f>IFERROR(__xludf.DUMMYFUNCTION("""COMPUTED_VALUE"""),"Good")</f>
        <v>Good</v>
      </c>
      <c r="Z166" t="str">
        <f>IFERROR(__xludf.DUMMYFUNCTION("""COMPUTED_VALUE"""),"Good")</f>
        <v>Good</v>
      </c>
      <c r="AA166" t="str">
        <f>IFERROR(__xludf.DUMMYFUNCTION("""COMPUTED_VALUE"""),"Good")</f>
        <v>Good</v>
      </c>
      <c r="AB166" t="str">
        <f>IFERROR(__xludf.DUMMYFUNCTION("""COMPUTED_VALUE"""),"Good")</f>
        <v>Good</v>
      </c>
      <c r="AC166" t="str">
        <f>IFERROR(__xludf.DUMMYFUNCTION("""COMPUTED_VALUE"""),"Good")</f>
        <v>Good</v>
      </c>
      <c r="AE166" s="11"/>
      <c r="AF166" t="s">
        <v>218</v>
      </c>
      <c r="AG166" s="17" t="s">
        <v>43</v>
      </c>
      <c r="AH166" s="12">
        <v>1330.0</v>
      </c>
      <c r="AI166" s="12" t="s">
        <v>442</v>
      </c>
      <c r="AJ166" s="19" t="s">
        <v>443</v>
      </c>
      <c r="AK166" s="20" t="str">
        <f>HYPERLINK("https://docs.google.com/document/d/1YbcgZerdP1LVsxnkBb1fZoOvlgu2Id6KK0LNMU632hw/edit?usp=drivesdk","Pamela Marcum - 9/26/2018 10:30 AM")</f>
        <v>Pamela Marcum - 9/26/2018 10:30 AM</v>
      </c>
      <c r="AL166" s="12" t="s">
        <v>444</v>
      </c>
    </row>
    <row r="167">
      <c r="A167" s="10">
        <f>IFERROR(__xludf.DUMMYFUNCTION("""COMPUTED_VALUE"""),43374.31260996528)</f>
        <v>43374.31261</v>
      </c>
      <c r="B167" s="11" t="str">
        <f>IFERROR(__xludf.DUMMYFUNCTION("""COMPUTED_VALUE"""),"Ben Mowbray")</f>
        <v>Ben Mowbray</v>
      </c>
      <c r="C167" t="str">
        <f>IFERROR(__xludf.DUMMYFUNCTION("""COMPUTED_VALUE"""),"ben.mowbray@dep.state.fl.us")</f>
        <v>ben.mowbray@dep.state.fl.us</v>
      </c>
      <c r="D167" t="str">
        <f>IFERROR(__xludf.DUMMYFUNCTION("""COMPUTED_VALUE"""),"Research/Pam")</f>
        <v>Research/Pam</v>
      </c>
      <c r="E167" t="str">
        <f>IFERROR(__xludf.DUMMYFUNCTION("""COMPUTED_VALUE"""),"Palm Valley")</f>
        <v>Palm Valley</v>
      </c>
      <c r="F167" s="13">
        <f>IFERROR(__xludf.DUMMYFUNCTION("""COMPUTED_VALUE"""),0.3541666666678793)</f>
        <v>0.3541666667</v>
      </c>
      <c r="G167" s="14">
        <f>IFERROR(__xludf.DUMMYFUNCTION("""COMPUTED_VALUE"""),43374.0)</f>
        <v>43374</v>
      </c>
      <c r="H167" t="str">
        <f>IFERROR(__xludf.DUMMYFUNCTION("""COMPUTED_VALUE"""),"Pine Island Marsh Platforms")</f>
        <v>Pine Island Marsh Platforms</v>
      </c>
      <c r="I167" s="15">
        <f>IFERROR(__xludf.DUMMYFUNCTION("""COMPUTED_VALUE"""),0.5625)</f>
        <v>0.5625</v>
      </c>
      <c r="J167" s="16">
        <f>IFERROR(__xludf.DUMMYFUNCTION("""COMPUTED_VALUE"""),43374.58333333333)</f>
        <v>43374.58333</v>
      </c>
      <c r="K167" t="str">
        <f>IFERROR(__xludf.DUMMYFUNCTION("""COMPUTED_VALUE"""),"20ft Sea Ark FL5351SJ UNF 2015")</f>
        <v>20ft Sea Ark FL5351SJ UNF 2015</v>
      </c>
      <c r="M167" t="str">
        <f>IFERROR(__xludf.DUMMYFUNCTION("""COMPUTED_VALUE"""),"Ford F250 2017 (Moby Dix) - DEP0021578")</f>
        <v>Ford F250 2017 (Moby Dix) - DEP0021578</v>
      </c>
      <c r="N167" t="str">
        <f>IFERROR(__xludf.DUMMYFUNCTION("""COMPUTED_VALUE"""),"Silas Tanner, (904) 483-8423, Ben Mowbray, (407) 962-8782")</f>
        <v>Silas Tanner, (904) 483-8423, Ben Mowbray, (407) 962-8782</v>
      </c>
      <c r="O167" t="str">
        <f>IFERROR(__xludf.DUMMYFUNCTION("""COMPUTED_VALUE"""),"Remo")</f>
        <v>Remo</v>
      </c>
      <c r="P167" t="str">
        <f>IFERROR(__xludf.DUMMYFUNCTION("""COMPUTED_VALUE"""),"Silas")</f>
        <v>Silas</v>
      </c>
      <c r="Q167" t="str">
        <f>IFERROR(__xludf.DUMMYFUNCTION("""COMPUTED_VALUE"""),"Good")</f>
        <v>Good</v>
      </c>
      <c r="R167" t="str">
        <f>IFERROR(__xludf.DUMMYFUNCTION("""COMPUTED_VALUE"""),"Good")</f>
        <v>Good</v>
      </c>
      <c r="S167" t="str">
        <f>IFERROR(__xludf.DUMMYFUNCTION("""COMPUTED_VALUE"""),"Good")</f>
        <v>Good</v>
      </c>
      <c r="T167" t="str">
        <f>IFERROR(__xludf.DUMMYFUNCTION("""COMPUTED_VALUE"""),"Good")</f>
        <v>Good</v>
      </c>
      <c r="U167" t="str">
        <f>IFERROR(__xludf.DUMMYFUNCTION("""COMPUTED_VALUE"""),"Good")</f>
        <v>Good</v>
      </c>
      <c r="V167" t="str">
        <f>IFERROR(__xludf.DUMMYFUNCTION("""COMPUTED_VALUE"""),"Good")</f>
        <v>Good</v>
      </c>
      <c r="W167" t="str">
        <f>IFERROR(__xludf.DUMMYFUNCTION("""COMPUTED_VALUE"""),"Good")</f>
        <v>Good</v>
      </c>
      <c r="X167" t="str">
        <f>IFERROR(__xludf.DUMMYFUNCTION("""COMPUTED_VALUE"""),"Good")</f>
        <v>Good</v>
      </c>
      <c r="Y167" t="str">
        <f>IFERROR(__xludf.DUMMYFUNCTION("""COMPUTED_VALUE"""),"Good")</f>
        <v>Good</v>
      </c>
      <c r="Z167" t="str">
        <f>IFERROR(__xludf.DUMMYFUNCTION("""COMPUTED_VALUE"""),"Good")</f>
        <v>Good</v>
      </c>
      <c r="AA167" t="str">
        <f>IFERROR(__xludf.DUMMYFUNCTION("""COMPUTED_VALUE"""),"Good")</f>
        <v>Good</v>
      </c>
      <c r="AB167" t="str">
        <f>IFERROR(__xludf.DUMMYFUNCTION("""COMPUTED_VALUE"""),"Good")</f>
        <v>Good</v>
      </c>
      <c r="AC167" t="str">
        <f>IFERROR(__xludf.DUMMYFUNCTION("""COMPUTED_VALUE"""),"Good")</f>
        <v>Good</v>
      </c>
      <c r="AE167" s="11"/>
      <c r="AF167" t="s">
        <v>262</v>
      </c>
      <c r="AG167" s="17" t="s">
        <v>18</v>
      </c>
      <c r="AH167" s="12">
        <v>1215.0</v>
      </c>
      <c r="AI167" s="12" t="s">
        <v>445</v>
      </c>
      <c r="AJ167" s="19" t="s">
        <v>446</v>
      </c>
      <c r="AK167" s="20" t="str">
        <f>HYPERLINK("https://docs.google.com/document/d/10B-Y9mtzPJLK-Vl1R2A-xzT2AB0jOcgS4S3pnj8j_Ks/edit?usp=drivesdk","Ben Mowbray - 10/1/2018 8:30 AM")</f>
        <v>Ben Mowbray - 10/1/2018 8:30 AM</v>
      </c>
      <c r="AL167" s="12" t="s">
        <v>447</v>
      </c>
    </row>
    <row r="168">
      <c r="A168" s="10">
        <f>IFERROR(__xludf.DUMMYFUNCTION("""COMPUTED_VALUE"""),43375.23217944444)</f>
        <v>43375.23218</v>
      </c>
      <c r="B168" s="11" t="str">
        <f>IFERROR(__xludf.DUMMYFUNCTION("""COMPUTED_VALUE"""),"Pamela Marcum")</f>
        <v>Pamela Marcum</v>
      </c>
      <c r="C168" t="str">
        <f>IFERROR(__xludf.DUMMYFUNCTION("""COMPUTED_VALUE"""),"Pamela.Marcum@dep.state.fl.us")</f>
        <v>Pamela.Marcum@dep.state.fl.us</v>
      </c>
      <c r="D168" t="str">
        <f>IFERROR(__xludf.DUMMYFUNCTION("""COMPUTED_VALUE"""),"Research/Nikki")</f>
        <v>Research/Nikki</v>
      </c>
      <c r="E168" t="str">
        <f>IFERROR(__xludf.DUMMYFUNCTION("""COMPUTED_VALUE"""),"Vilano")</f>
        <v>Vilano</v>
      </c>
      <c r="F168" s="13">
        <f>IFERROR(__xludf.DUMMYFUNCTION("""COMPUTED_VALUE"""),0.2708333333321207)</f>
        <v>0.2708333333</v>
      </c>
      <c r="G168" s="14">
        <f>IFERROR(__xludf.DUMMYFUNCTION("""COMPUTED_VALUE"""),43375.0)</f>
        <v>43375</v>
      </c>
      <c r="H168" t="str">
        <f>IFERROR(__xludf.DUMMYFUNCTION("""COMPUTED_VALUE"""),"Salt Run, St. Augustine spat sites")</f>
        <v>Salt Run, St. Augustine spat sites</v>
      </c>
      <c r="I168" s="15">
        <f>IFERROR(__xludf.DUMMYFUNCTION("""COMPUTED_VALUE"""),0.4583333333321207)</f>
        <v>0.4583333333</v>
      </c>
      <c r="J168" s="16">
        <f>IFERROR(__xludf.DUMMYFUNCTION("""COMPUTED_VALUE"""),43375.5)</f>
        <v>43375.5</v>
      </c>
      <c r="K168" t="str">
        <f>IFERROR(__xludf.DUMMYFUNCTION("""COMPUTED_VALUE"""),"23ft Skiff (Bertha) FL7972LJ DEP07613")</f>
        <v>23ft Skiff (Bertha) FL7972LJ DEP07613</v>
      </c>
      <c r="M168" t="str">
        <f>IFERROR(__xludf.DUMMYFUNCTION("""COMPUTED_VALUE"""),"Ford F150 2008 - DEP18041 (SWMP Thing)")</f>
        <v>Ford F150 2008 - DEP18041 (SWMP Thing)</v>
      </c>
      <c r="N168" t="str">
        <f>IFERROR(__xludf.DUMMYFUNCTION("""COMPUTED_VALUE"""),"Pam Marcum, (480) 332-5414")</f>
        <v>Pam Marcum, (480) 332-5414</v>
      </c>
      <c r="O168" t="str">
        <f>IFERROR(__xludf.DUMMYFUNCTION("""COMPUTED_VALUE"""),"Rodrigo Pavani, Nicole Peckham, Adrienne Breef-Pilz")</f>
        <v>Rodrigo Pavani, Nicole Peckham, Adrienne Breef-Pilz</v>
      </c>
      <c r="P168" t="str">
        <f>IFERROR(__xludf.DUMMYFUNCTION("""COMPUTED_VALUE"""),"Pam")</f>
        <v>Pam</v>
      </c>
      <c r="Q168" t="str">
        <f>IFERROR(__xludf.DUMMYFUNCTION("""COMPUTED_VALUE"""),"Good")</f>
        <v>Good</v>
      </c>
      <c r="R168" t="str">
        <f>IFERROR(__xludf.DUMMYFUNCTION("""COMPUTED_VALUE"""),"Good")</f>
        <v>Good</v>
      </c>
      <c r="S168" t="str">
        <f>IFERROR(__xludf.DUMMYFUNCTION("""COMPUTED_VALUE"""),"Good")</f>
        <v>Good</v>
      </c>
      <c r="T168" t="str">
        <f>IFERROR(__xludf.DUMMYFUNCTION("""COMPUTED_VALUE"""),"Good")</f>
        <v>Good</v>
      </c>
      <c r="U168" t="str">
        <f>IFERROR(__xludf.DUMMYFUNCTION("""COMPUTED_VALUE"""),"Good")</f>
        <v>Good</v>
      </c>
      <c r="V168" t="str">
        <f>IFERROR(__xludf.DUMMYFUNCTION("""COMPUTED_VALUE"""),"Good")</f>
        <v>Good</v>
      </c>
      <c r="W168" t="str">
        <f>IFERROR(__xludf.DUMMYFUNCTION("""COMPUTED_VALUE"""),"Good")</f>
        <v>Good</v>
      </c>
      <c r="X168" t="str">
        <f>IFERROR(__xludf.DUMMYFUNCTION("""COMPUTED_VALUE"""),"Good")</f>
        <v>Good</v>
      </c>
      <c r="Y168" t="str">
        <f>IFERROR(__xludf.DUMMYFUNCTION("""COMPUTED_VALUE"""),"Good")</f>
        <v>Good</v>
      </c>
      <c r="Z168" t="str">
        <f>IFERROR(__xludf.DUMMYFUNCTION("""COMPUTED_VALUE"""),"Good")</f>
        <v>Good</v>
      </c>
      <c r="AA168" t="str">
        <f>IFERROR(__xludf.DUMMYFUNCTION("""COMPUTED_VALUE"""),"Good")</f>
        <v>Good</v>
      </c>
      <c r="AB168" t="str">
        <f>IFERROR(__xludf.DUMMYFUNCTION("""COMPUTED_VALUE"""),"Good")</f>
        <v>Good</v>
      </c>
      <c r="AC168" t="str">
        <f>IFERROR(__xludf.DUMMYFUNCTION("""COMPUTED_VALUE"""),"Good")</f>
        <v>Good</v>
      </c>
      <c r="AE168" s="11"/>
      <c r="AF168" t="s">
        <v>218</v>
      </c>
      <c r="AG168" s="17" t="s">
        <v>448</v>
      </c>
      <c r="AH168" s="12">
        <v>1130.0</v>
      </c>
      <c r="AI168" s="12" t="s">
        <v>449</v>
      </c>
      <c r="AJ168" s="19" t="s">
        <v>450</v>
      </c>
      <c r="AK168" s="20" t="str">
        <f>HYPERLINK("https://docs.google.com/document/d/1JqTnJCbGjhbLNmpNm8MVKYBsWfwqFc2Spby_NHY6YBU/edit?usp=drivesdk","Pamela Marcum - 10/2/2018 6:30 AM")</f>
        <v>Pamela Marcum - 10/2/2018 6:30 AM</v>
      </c>
      <c r="AL168" s="12" t="s">
        <v>451</v>
      </c>
    </row>
    <row r="169">
      <c r="A169" s="10">
        <f>IFERROR(__xludf.DUMMYFUNCTION("""COMPUTED_VALUE"""),43375.328114606484)</f>
        <v>43375.32811</v>
      </c>
      <c r="B169" s="11" t="str">
        <f>IFERROR(__xludf.DUMMYFUNCTION("""COMPUTED_VALUE"""),"Ben")</f>
        <v>Ben</v>
      </c>
      <c r="C169" t="str">
        <f>IFERROR(__xludf.DUMMYFUNCTION("""COMPUTED_VALUE"""),"ben.mowbray@dep.state.fl.us")</f>
        <v>ben.mowbray@dep.state.fl.us</v>
      </c>
      <c r="D169" t="str">
        <f>IFERROR(__xludf.DUMMYFUNCTION("""COMPUTED_VALUE"""),"Research/Pam")</f>
        <v>Research/Pam</v>
      </c>
      <c r="E169" t="str">
        <f>IFERROR(__xludf.DUMMYFUNCTION("""COMPUTED_VALUE"""),"Douglas Crane")</f>
        <v>Douglas Crane</v>
      </c>
      <c r="F169" s="13">
        <f>IFERROR(__xludf.DUMMYFUNCTION("""COMPUTED_VALUE"""),0.3541666666678793)</f>
        <v>0.3541666667</v>
      </c>
      <c r="G169" s="14">
        <f>IFERROR(__xludf.DUMMYFUNCTION("""COMPUTED_VALUE"""),43375.0)</f>
        <v>43375</v>
      </c>
      <c r="H169" t="str">
        <f>IFERROR(__xludf.DUMMYFUNCTION("""COMPUTED_VALUE"""),"Jason's Creek Platforms")</f>
        <v>Jason's Creek Platforms</v>
      </c>
      <c r="I169" s="15">
        <f>IFERROR(__xludf.DUMMYFUNCTION("""COMPUTED_VALUE"""),0.5416666666678793)</f>
        <v>0.5416666667</v>
      </c>
      <c r="J169" s="16">
        <f>IFERROR(__xludf.DUMMYFUNCTION("""COMPUTED_VALUE"""),43375.569444444445)</f>
        <v>43375.56944</v>
      </c>
      <c r="K169" t="str">
        <f>IFERROR(__xludf.DUMMYFUNCTION("""COMPUTED_VALUE"""),"20ft Sea Ark FL5351SJ UNF 2015")</f>
        <v>20ft Sea Ark FL5351SJ UNF 2015</v>
      </c>
      <c r="M169" t="str">
        <f>IFERROR(__xludf.DUMMYFUNCTION("""COMPUTED_VALUE"""),"Ford F250 2017 (Moby Dix) - DEP0021578")</f>
        <v>Ford F250 2017 (Moby Dix) - DEP0021578</v>
      </c>
      <c r="N169" t="str">
        <f>IFERROR(__xludf.DUMMYFUNCTION("""COMPUTED_VALUE"""),"Silas Tanner, (904) 483-8423, Ben Mowbray, (407) 962-8782")</f>
        <v>Silas Tanner, (904) 483-8423, Ben Mowbray, (407) 962-8782</v>
      </c>
      <c r="O169" t="str">
        <f>IFERROR(__xludf.DUMMYFUNCTION("""COMPUTED_VALUE"""),"Jess, Remo")</f>
        <v>Jess, Remo</v>
      </c>
      <c r="P169" t="str">
        <f>IFERROR(__xludf.DUMMYFUNCTION("""COMPUTED_VALUE"""),"Ben")</f>
        <v>Ben</v>
      </c>
      <c r="Q169" t="str">
        <f>IFERROR(__xludf.DUMMYFUNCTION("""COMPUTED_VALUE"""),"Good")</f>
        <v>Good</v>
      </c>
      <c r="R169" t="str">
        <f>IFERROR(__xludf.DUMMYFUNCTION("""COMPUTED_VALUE"""),"Good")</f>
        <v>Good</v>
      </c>
      <c r="S169" t="str">
        <f>IFERROR(__xludf.DUMMYFUNCTION("""COMPUTED_VALUE"""),"Good")</f>
        <v>Good</v>
      </c>
      <c r="T169" t="str">
        <f>IFERROR(__xludf.DUMMYFUNCTION("""COMPUTED_VALUE"""),"Good")</f>
        <v>Good</v>
      </c>
      <c r="U169" t="str">
        <f>IFERROR(__xludf.DUMMYFUNCTION("""COMPUTED_VALUE"""),"Good")</f>
        <v>Good</v>
      </c>
      <c r="V169" t="str">
        <f>IFERROR(__xludf.DUMMYFUNCTION("""COMPUTED_VALUE"""),"Good")</f>
        <v>Good</v>
      </c>
      <c r="W169" t="str">
        <f>IFERROR(__xludf.DUMMYFUNCTION("""COMPUTED_VALUE"""),"Good")</f>
        <v>Good</v>
      </c>
      <c r="X169" t="str">
        <f>IFERROR(__xludf.DUMMYFUNCTION("""COMPUTED_VALUE"""),"Good")</f>
        <v>Good</v>
      </c>
      <c r="Y169" t="str">
        <f>IFERROR(__xludf.DUMMYFUNCTION("""COMPUTED_VALUE"""),"Good")</f>
        <v>Good</v>
      </c>
      <c r="Z169" t="str">
        <f>IFERROR(__xludf.DUMMYFUNCTION("""COMPUTED_VALUE"""),"Good")</f>
        <v>Good</v>
      </c>
      <c r="AA169" t="str">
        <f>IFERROR(__xludf.DUMMYFUNCTION("""COMPUTED_VALUE"""),"Good")</f>
        <v>Good</v>
      </c>
      <c r="AB169" t="str">
        <f>IFERROR(__xludf.DUMMYFUNCTION("""COMPUTED_VALUE"""),"Good")</f>
        <v>Good</v>
      </c>
      <c r="AC169" t="str">
        <f>IFERROR(__xludf.DUMMYFUNCTION("""COMPUTED_VALUE"""),"Good")</f>
        <v>Good</v>
      </c>
      <c r="AE169" s="11"/>
      <c r="AF169" t="s">
        <v>262</v>
      </c>
      <c r="AG169" s="17" t="s">
        <v>43</v>
      </c>
      <c r="AH169" s="12">
        <v>1215.0</v>
      </c>
      <c r="AI169" s="12" t="s">
        <v>452</v>
      </c>
      <c r="AJ169" s="19" t="s">
        <v>453</v>
      </c>
      <c r="AK169" s="20" t="str">
        <f>HYPERLINK("https://docs.google.com/document/d/1OeQTHLSFGSAT31agDkq7pmB0XfjKbGB3H-0rpdiqzEk/edit?usp=drivesdk","Ben - 10/2/2018 8:30 AM")</f>
        <v>Ben - 10/2/2018 8:30 AM</v>
      </c>
      <c r="AL169" s="12" t="s">
        <v>454</v>
      </c>
    </row>
    <row r="170">
      <c r="A170" s="10">
        <f>IFERROR(__xludf.DUMMYFUNCTION("""COMPUTED_VALUE"""),43376.259619097225)</f>
        <v>43376.25962</v>
      </c>
      <c r="B170" s="11" t="str">
        <f>IFERROR(__xludf.DUMMYFUNCTION("""COMPUTED_VALUE"""),"Pam Marcum")</f>
        <v>Pam Marcum</v>
      </c>
      <c r="C170" t="str">
        <f>IFERROR(__xludf.DUMMYFUNCTION("""COMPUTED_VALUE"""),"Pamela.Marcum@dep.state.fl.us")</f>
        <v>Pamela.Marcum@dep.state.fl.us</v>
      </c>
      <c r="D170" t="str">
        <f>IFERROR(__xludf.DUMMYFUNCTION("""COMPUTED_VALUE"""),"Research/Nikki")</f>
        <v>Research/Nikki</v>
      </c>
      <c r="E170" t="str">
        <f>IFERROR(__xludf.DUMMYFUNCTION("""COMPUTED_VALUE"""),"Aunt Kate's")</f>
        <v>Aunt Kate's</v>
      </c>
      <c r="F170" s="13">
        <f>IFERROR(__xludf.DUMMYFUNCTION("""COMPUTED_VALUE"""),0.2916666666678793)</f>
        <v>0.2916666667</v>
      </c>
      <c r="G170" s="14">
        <f>IFERROR(__xludf.DUMMYFUNCTION("""COMPUTED_VALUE"""),43376.0)</f>
        <v>43376</v>
      </c>
      <c r="H170" t="str">
        <f>IFERROR(__xludf.DUMMYFUNCTION("""COMPUTED_VALUE"""),"Robinson Creek, Guana River, Tolomato River")</f>
        <v>Robinson Creek, Guana River, Tolomato River</v>
      </c>
      <c r="I170" s="15">
        <f>IFERROR(__xludf.DUMMYFUNCTION("""COMPUTED_VALUE"""),0.5416666666678793)</f>
        <v>0.5416666667</v>
      </c>
      <c r="J170" s="16">
        <f>IFERROR(__xludf.DUMMYFUNCTION("""COMPUTED_VALUE"""),43376.5625)</f>
        <v>43376.5625</v>
      </c>
      <c r="K170" t="str">
        <f>IFERROR(__xludf.DUMMYFUNCTION("""COMPUTED_VALUE"""),"23ft Skiff (Bertha) FL7972LJ DEP07613")</f>
        <v>23ft Skiff (Bertha) FL7972LJ DEP07613</v>
      </c>
      <c r="M170" t="str">
        <f>IFERROR(__xludf.DUMMYFUNCTION("""COMPUTED_VALUE"""),"Ford F150 2008 - DEP18041 (SWMP Thing)")</f>
        <v>Ford F150 2008 - DEP18041 (SWMP Thing)</v>
      </c>
      <c r="N170" t="str">
        <f>IFERROR(__xludf.DUMMYFUNCTION("""COMPUTED_VALUE"""),"Pam Marcum, (480) 332-5414")</f>
        <v>Pam Marcum, (480) 332-5414</v>
      </c>
      <c r="O170" t="str">
        <f>IFERROR(__xludf.DUMMYFUNCTION("""COMPUTED_VALUE"""),"Rodrigo Pavani, Adrienne Breef-Pilz, Nicole Peckham, Craig Tinus")</f>
        <v>Rodrigo Pavani, Adrienne Breef-Pilz, Nicole Peckham, Craig Tinus</v>
      </c>
      <c r="P170" t="str">
        <f>IFERROR(__xludf.DUMMYFUNCTION("""COMPUTED_VALUE"""),"Pam")</f>
        <v>Pam</v>
      </c>
      <c r="Q170" t="str">
        <f>IFERROR(__xludf.DUMMYFUNCTION("""COMPUTED_VALUE"""),"Good")</f>
        <v>Good</v>
      </c>
      <c r="R170" t="str">
        <f>IFERROR(__xludf.DUMMYFUNCTION("""COMPUTED_VALUE"""),"Good")</f>
        <v>Good</v>
      </c>
      <c r="S170" t="str">
        <f>IFERROR(__xludf.DUMMYFUNCTION("""COMPUTED_VALUE"""),"Good")</f>
        <v>Good</v>
      </c>
      <c r="T170" t="str">
        <f>IFERROR(__xludf.DUMMYFUNCTION("""COMPUTED_VALUE"""),"Good")</f>
        <v>Good</v>
      </c>
      <c r="U170" t="str">
        <f>IFERROR(__xludf.DUMMYFUNCTION("""COMPUTED_VALUE"""),"Good")</f>
        <v>Good</v>
      </c>
      <c r="V170" t="str">
        <f>IFERROR(__xludf.DUMMYFUNCTION("""COMPUTED_VALUE"""),"Good")</f>
        <v>Good</v>
      </c>
      <c r="W170" t="str">
        <f>IFERROR(__xludf.DUMMYFUNCTION("""COMPUTED_VALUE"""),"Good")</f>
        <v>Good</v>
      </c>
      <c r="X170" t="str">
        <f>IFERROR(__xludf.DUMMYFUNCTION("""COMPUTED_VALUE"""),"Good")</f>
        <v>Good</v>
      </c>
      <c r="Y170" t="str">
        <f>IFERROR(__xludf.DUMMYFUNCTION("""COMPUTED_VALUE"""),"Good")</f>
        <v>Good</v>
      </c>
      <c r="Z170" t="str">
        <f>IFERROR(__xludf.DUMMYFUNCTION("""COMPUTED_VALUE"""),"Good")</f>
        <v>Good</v>
      </c>
      <c r="AA170" t="str">
        <f>IFERROR(__xludf.DUMMYFUNCTION("""COMPUTED_VALUE"""),"Good")</f>
        <v>Good</v>
      </c>
      <c r="AB170" t="str">
        <f>IFERROR(__xludf.DUMMYFUNCTION("""COMPUTED_VALUE"""),"Good")</f>
        <v>Good</v>
      </c>
      <c r="AC170" t="str">
        <f>IFERROR(__xludf.DUMMYFUNCTION("""COMPUTED_VALUE"""),"Good")</f>
        <v>Good</v>
      </c>
      <c r="AE170" s="11"/>
      <c r="AF170" t="s">
        <v>218</v>
      </c>
      <c r="AG170" s="17" t="s">
        <v>60</v>
      </c>
      <c r="AH170" s="12">
        <v>1350.0</v>
      </c>
      <c r="AI170" s="12" t="s">
        <v>455</v>
      </c>
      <c r="AJ170" s="19" t="s">
        <v>456</v>
      </c>
      <c r="AK170" s="20" t="str">
        <f>HYPERLINK("https://docs.google.com/document/d/1h91QH6PngBZUaCNZ-MO08urM96IecrjSB_niSTukIOo/edit?usp=drivesdk","Pam Marcum - 10/3/2018 7:00 AM")</f>
        <v>Pam Marcum - 10/3/2018 7:00 AM</v>
      </c>
      <c r="AL170" s="12" t="s">
        <v>457</v>
      </c>
    </row>
    <row r="171">
      <c r="A171" s="10">
        <f>IFERROR(__xludf.DUMMYFUNCTION("""COMPUTED_VALUE"""),43376.300010937506)</f>
        <v>43376.30001</v>
      </c>
      <c r="B171" s="11" t="str">
        <f>IFERROR(__xludf.DUMMYFUNCTION("""COMPUTED_VALUE"""),"Ben")</f>
        <v>Ben</v>
      </c>
      <c r="C171" t="str">
        <f>IFERROR(__xludf.DUMMYFUNCTION("""COMPUTED_VALUE"""),"ben.mowbray@dep.state.fl")</f>
        <v>ben.mowbray@dep.state.fl</v>
      </c>
      <c r="D171" t="str">
        <f>IFERROR(__xludf.DUMMYFUNCTION("""COMPUTED_VALUE"""),"Research/Pam")</f>
        <v>Research/Pam</v>
      </c>
      <c r="E171" t="str">
        <f>IFERROR(__xludf.DUMMYFUNCTION("""COMPUTED_VALUE"""),"Aunt Kate's")</f>
        <v>Aunt Kate's</v>
      </c>
      <c r="F171" s="13">
        <f>IFERROR(__xludf.DUMMYFUNCTION("""COMPUTED_VALUE"""),0.3194444444452529)</f>
        <v>0.3194444444</v>
      </c>
      <c r="G171" s="14">
        <f>IFERROR(__xludf.DUMMYFUNCTION("""COMPUTED_VALUE"""),43376.0)</f>
        <v>43376</v>
      </c>
      <c r="H171" t="str">
        <f>IFERROR(__xludf.DUMMYFUNCTION("""COMPUTED_VALUE"""),"Hat Island Platforms")</f>
        <v>Hat Island Platforms</v>
      </c>
      <c r="I171" s="15">
        <f>IFERROR(__xludf.DUMMYFUNCTION("""COMPUTED_VALUE"""),0.5208333333321207)</f>
        <v>0.5208333333</v>
      </c>
      <c r="J171" s="16">
        <f>IFERROR(__xludf.DUMMYFUNCTION("""COMPUTED_VALUE"""),43376.54166666667)</f>
        <v>43376.54167</v>
      </c>
      <c r="K171" t="str">
        <f>IFERROR(__xludf.DUMMYFUNCTION("""COMPUTED_VALUE"""),"20ft Sea Ark FL5351SJ UNF 2015")</f>
        <v>20ft Sea Ark FL5351SJ UNF 2015</v>
      </c>
      <c r="M171" t="str">
        <f>IFERROR(__xludf.DUMMYFUNCTION("""COMPUTED_VALUE"""),"Ford F250 2017 (Moby Dix) - DEP0021578")</f>
        <v>Ford F250 2017 (Moby Dix) - DEP0021578</v>
      </c>
      <c r="N171" t="str">
        <f>IFERROR(__xludf.DUMMYFUNCTION("""COMPUTED_VALUE"""),"Silas Tanner, (904) 483-8423, Ben Mowbray, (407) 962-8782")</f>
        <v>Silas Tanner, (904) 483-8423, Ben Mowbray, (407) 962-8782</v>
      </c>
      <c r="O171" t="str">
        <f>IFERROR(__xludf.DUMMYFUNCTION("""COMPUTED_VALUE"""),"Jessica Lee")</f>
        <v>Jessica Lee</v>
      </c>
      <c r="P171" t="str">
        <f>IFERROR(__xludf.DUMMYFUNCTION("""COMPUTED_VALUE"""),"Ben")</f>
        <v>Ben</v>
      </c>
      <c r="Q171" t="str">
        <f>IFERROR(__xludf.DUMMYFUNCTION("""COMPUTED_VALUE"""),"Good")</f>
        <v>Good</v>
      </c>
      <c r="R171" t="str">
        <f>IFERROR(__xludf.DUMMYFUNCTION("""COMPUTED_VALUE"""),"Good")</f>
        <v>Good</v>
      </c>
      <c r="S171" t="str">
        <f>IFERROR(__xludf.DUMMYFUNCTION("""COMPUTED_VALUE"""),"Good")</f>
        <v>Good</v>
      </c>
      <c r="T171" t="str">
        <f>IFERROR(__xludf.DUMMYFUNCTION("""COMPUTED_VALUE"""),"Good")</f>
        <v>Good</v>
      </c>
      <c r="U171" t="str">
        <f>IFERROR(__xludf.DUMMYFUNCTION("""COMPUTED_VALUE"""),"Good")</f>
        <v>Good</v>
      </c>
      <c r="V171" t="str">
        <f>IFERROR(__xludf.DUMMYFUNCTION("""COMPUTED_VALUE"""),"Good")</f>
        <v>Good</v>
      </c>
      <c r="W171" t="str">
        <f>IFERROR(__xludf.DUMMYFUNCTION("""COMPUTED_VALUE"""),"Good")</f>
        <v>Good</v>
      </c>
      <c r="X171" t="str">
        <f>IFERROR(__xludf.DUMMYFUNCTION("""COMPUTED_VALUE"""),"Good")</f>
        <v>Good</v>
      </c>
      <c r="Y171" t="str">
        <f>IFERROR(__xludf.DUMMYFUNCTION("""COMPUTED_VALUE"""),"Good")</f>
        <v>Good</v>
      </c>
      <c r="Z171" t="str">
        <f>IFERROR(__xludf.DUMMYFUNCTION("""COMPUTED_VALUE"""),"Good")</f>
        <v>Good</v>
      </c>
      <c r="AA171" t="str">
        <f>IFERROR(__xludf.DUMMYFUNCTION("""COMPUTED_VALUE"""),"Good")</f>
        <v>Good</v>
      </c>
      <c r="AB171" t="str">
        <f>IFERROR(__xludf.DUMMYFUNCTION("""COMPUTED_VALUE"""),"Good")</f>
        <v>Good</v>
      </c>
      <c r="AC171" t="str">
        <f>IFERROR(__xludf.DUMMYFUNCTION("""COMPUTED_VALUE"""),"Good")</f>
        <v>Good</v>
      </c>
      <c r="AE171" s="11"/>
      <c r="AF171" t="s">
        <v>262</v>
      </c>
      <c r="AG171" s="17" t="s">
        <v>18</v>
      </c>
      <c r="AH171" s="12">
        <v>1150.0</v>
      </c>
      <c r="AI171" s="12" t="s">
        <v>458</v>
      </c>
      <c r="AJ171" s="19" t="s">
        <v>459</v>
      </c>
      <c r="AK171" s="20" t="str">
        <f>HYPERLINK("https://docs.google.com/document/d/1JRlYA77vV_VIb-S6I2VOgzFmlAaoJSMri79y4krYTeg/edit?usp=drivesdk","Ben - 10/3/2018 7:40 AM")</f>
        <v>Ben - 10/3/2018 7:40 AM</v>
      </c>
      <c r="AL171" s="12" t="s">
        <v>460</v>
      </c>
    </row>
    <row r="172">
      <c r="A172" s="10">
        <f>IFERROR(__xludf.DUMMYFUNCTION("""COMPUTED_VALUE"""),43377.295364791666)</f>
        <v>43377.29536</v>
      </c>
      <c r="B172" s="11" t="str">
        <f>IFERROR(__xludf.DUMMYFUNCTION("""COMPUTED_VALUE"""),"Pamela Marcum")</f>
        <v>Pamela Marcum</v>
      </c>
      <c r="C172" t="str">
        <f>IFERROR(__xludf.DUMMYFUNCTION("""COMPUTED_VALUE"""),"Pamela.Marcum@dep.state.fl.us")</f>
        <v>Pamela.Marcum@dep.state.fl.us</v>
      </c>
      <c r="D172" t="str">
        <f>IFERROR(__xludf.DUMMYFUNCTION("""COMPUTED_VALUE"""),"Research/Nikki")</f>
        <v>Research/Nikki</v>
      </c>
      <c r="E172" t="str">
        <f>IFERROR(__xludf.DUMMYFUNCTION("""COMPUTED_VALUE"""),"Aunt Kate's 7:15, Green Rd 12:30, Bings 2:00")</f>
        <v>Aunt Kate's 7:15, Green Rd 12:30, Bings 2:00</v>
      </c>
      <c r="F172" s="13">
        <f>IFERROR(__xludf.DUMMYFUNCTION("""COMPUTED_VALUE"""),0.3020833333321207)</f>
        <v>0.3020833333</v>
      </c>
      <c r="G172" s="14">
        <f>IFERROR(__xludf.DUMMYFUNCTION("""COMPUTED_VALUE"""),43377.0)</f>
        <v>43377</v>
      </c>
      <c r="H172" t="str">
        <f>IFERROR(__xludf.DUMMYFUNCTION("""COMPUTED_VALUE"""),"Spat trees - north to south")</f>
        <v>Spat trees - north to south</v>
      </c>
      <c r="I172" s="15">
        <f>IFERROR(__xludf.DUMMYFUNCTION("""COMPUTED_VALUE"""),0.625)</f>
        <v>0.625</v>
      </c>
      <c r="J172" s="16">
        <f>IFERROR(__xludf.DUMMYFUNCTION("""COMPUTED_VALUE"""),43377.66666666667)</f>
        <v>43377.66667</v>
      </c>
      <c r="K172" t="str">
        <f>IFERROR(__xludf.DUMMYFUNCTION("""COMPUTED_VALUE"""),"20ft Sea Ark FL5351SJ UNF 2015")</f>
        <v>20ft Sea Ark FL5351SJ UNF 2015</v>
      </c>
      <c r="M172" t="str">
        <f>IFERROR(__xludf.DUMMYFUNCTION("""COMPUTED_VALUE"""),"Ford F150 2008 - DEP18041 (SWMP Thing)")</f>
        <v>Ford F150 2008 - DEP18041 (SWMP Thing)</v>
      </c>
      <c r="N172" t="str">
        <f>IFERROR(__xludf.DUMMYFUNCTION("""COMPUTED_VALUE"""),"Pam Marcum, (480) 332-5414")</f>
        <v>Pam Marcum, (480) 332-5414</v>
      </c>
      <c r="O172" t="str">
        <f>IFERROR(__xludf.DUMMYFUNCTION("""COMPUTED_VALUE"""),"Alicia Bishop, Diane Downing")</f>
        <v>Alicia Bishop, Diane Downing</v>
      </c>
      <c r="P172" t="str">
        <f>IFERROR(__xludf.DUMMYFUNCTION("""COMPUTED_VALUE"""),"Pam")</f>
        <v>Pam</v>
      </c>
      <c r="Q172" t="str">
        <f>IFERROR(__xludf.DUMMYFUNCTION("""COMPUTED_VALUE"""),"Good")</f>
        <v>Good</v>
      </c>
      <c r="R172" t="str">
        <f>IFERROR(__xludf.DUMMYFUNCTION("""COMPUTED_VALUE"""),"Good")</f>
        <v>Good</v>
      </c>
      <c r="S172" t="str">
        <f>IFERROR(__xludf.DUMMYFUNCTION("""COMPUTED_VALUE"""),"Good")</f>
        <v>Good</v>
      </c>
      <c r="T172" t="str">
        <f>IFERROR(__xludf.DUMMYFUNCTION("""COMPUTED_VALUE"""),"Good")</f>
        <v>Good</v>
      </c>
      <c r="U172" t="str">
        <f>IFERROR(__xludf.DUMMYFUNCTION("""COMPUTED_VALUE"""),"Good")</f>
        <v>Good</v>
      </c>
      <c r="V172" t="str">
        <f>IFERROR(__xludf.DUMMYFUNCTION("""COMPUTED_VALUE"""),"Good")</f>
        <v>Good</v>
      </c>
      <c r="W172" t="str">
        <f>IFERROR(__xludf.DUMMYFUNCTION("""COMPUTED_VALUE"""),"Good")</f>
        <v>Good</v>
      </c>
      <c r="X172" t="str">
        <f>IFERROR(__xludf.DUMMYFUNCTION("""COMPUTED_VALUE"""),"Good")</f>
        <v>Good</v>
      </c>
      <c r="Y172" t="str">
        <f>IFERROR(__xludf.DUMMYFUNCTION("""COMPUTED_VALUE"""),"Good")</f>
        <v>Good</v>
      </c>
      <c r="Z172" t="str">
        <f>IFERROR(__xludf.DUMMYFUNCTION("""COMPUTED_VALUE"""),"Good")</f>
        <v>Good</v>
      </c>
      <c r="AA172" t="str">
        <f>IFERROR(__xludf.DUMMYFUNCTION("""COMPUTED_VALUE"""),"Good")</f>
        <v>Good</v>
      </c>
      <c r="AB172" t="str">
        <f>IFERROR(__xludf.DUMMYFUNCTION("""COMPUTED_VALUE"""),"Good")</f>
        <v>Good</v>
      </c>
      <c r="AC172" t="str">
        <f>IFERROR(__xludf.DUMMYFUNCTION("""COMPUTED_VALUE"""),"Good")</f>
        <v>Good</v>
      </c>
      <c r="AE172" s="11"/>
      <c r="AF172" t="s">
        <v>218</v>
      </c>
      <c r="AG172" s="17" t="s">
        <v>43</v>
      </c>
      <c r="AH172" s="12">
        <v>1615.0</v>
      </c>
      <c r="AI172" s="12" t="s">
        <v>461</v>
      </c>
      <c r="AJ172" s="19" t="s">
        <v>462</v>
      </c>
      <c r="AK172" s="20" t="str">
        <f>HYPERLINK("https://docs.google.com/document/d/1jLef7WH1ZWvUDuCPO5cYBeyKUgeRQ04zAG93ZEtwINk/edit?usp=drivesdk","Pamela Marcum - 10/4/2018 7:15 AM")</f>
        <v>Pamela Marcum - 10/4/2018 7:15 AM</v>
      </c>
      <c r="AL172" s="12" t="s">
        <v>463</v>
      </c>
    </row>
    <row r="173">
      <c r="A173" s="10">
        <f>IFERROR(__xludf.DUMMYFUNCTION("""COMPUTED_VALUE"""),43377.31322123843)</f>
        <v>43377.31322</v>
      </c>
      <c r="B173" s="11" t="str">
        <f>IFERROR(__xludf.DUMMYFUNCTION("""COMPUTED_VALUE"""),"Silas Tanner")</f>
        <v>Silas Tanner</v>
      </c>
      <c r="C173" t="str">
        <f>IFERROR(__xludf.DUMMYFUNCTION("""COMPUTED_VALUE"""),"silas.tanner@floridadep.gov")</f>
        <v>silas.tanner@floridadep.gov</v>
      </c>
      <c r="D173" t="str">
        <f>IFERROR(__xludf.DUMMYFUNCTION("""COMPUTED_VALUE"""),"Research/Nikki")</f>
        <v>Research/Nikki</v>
      </c>
      <c r="E173" t="str">
        <f>IFERROR(__xludf.DUMMYFUNCTION("""COMPUTED_VALUE"""),"Moses Creek floating dock")</f>
        <v>Moses Creek floating dock</v>
      </c>
      <c r="F173" s="13">
        <f>IFERROR(__xludf.DUMMYFUNCTION("""COMPUTED_VALUE"""),0.3333333333321207)</f>
        <v>0.3333333333</v>
      </c>
      <c r="G173" s="14">
        <f>IFERROR(__xludf.DUMMYFUNCTION("""COMPUTED_VALUE"""),43377.0)</f>
        <v>43377</v>
      </c>
      <c r="H173" t="str">
        <f>IFERROR(__xludf.DUMMYFUNCTION("""COMPUTED_VALUE"""),"Moses Creek platforms")</f>
        <v>Moses Creek platforms</v>
      </c>
      <c r="I173" s="15">
        <f>IFERROR(__xludf.DUMMYFUNCTION("""COMPUTED_VALUE"""),0.5833333333321207)</f>
        <v>0.5833333333</v>
      </c>
      <c r="J173" s="16">
        <f>IFERROR(__xludf.DUMMYFUNCTION("""COMPUTED_VALUE"""),43377.625)</f>
        <v>43377.625</v>
      </c>
      <c r="K173" t="str">
        <f>IFERROR(__xludf.DUMMYFUNCTION("""COMPUTED_VALUE"""),"Canoe(s)")</f>
        <v>Canoe(s)</v>
      </c>
      <c r="L173">
        <f>IFERROR(__xludf.DUMMYFUNCTION("""COMPUTED_VALUE"""),2.0)</f>
        <v>2</v>
      </c>
      <c r="M173" t="str">
        <f>IFERROR(__xludf.DUMMYFUNCTION("""COMPUTED_VALUE"""),"Ford F250 2017 (Moby Dix) - DEP0021578")</f>
        <v>Ford F250 2017 (Moby Dix) - DEP0021578</v>
      </c>
      <c r="N173" t="str">
        <f>IFERROR(__xludf.DUMMYFUNCTION("""COMPUTED_VALUE"""),"Silas Tanner, (904) 483-8423, Ben Mowbray, (407) 962-8782")</f>
        <v>Silas Tanner, (904) 483-8423, Ben Mowbray, (407) 962-8782</v>
      </c>
      <c r="O173" t="str">
        <f>IFERROR(__xludf.DUMMYFUNCTION("""COMPUTED_VALUE"""),"Hunter Mathews")</f>
        <v>Hunter Mathews</v>
      </c>
      <c r="P173" t="str">
        <f>IFERROR(__xludf.DUMMYFUNCTION("""COMPUTED_VALUE"""),"Silas Tanner")</f>
        <v>Silas Tanner</v>
      </c>
      <c r="Q173" t="str">
        <f>IFERROR(__xludf.DUMMYFUNCTION("""COMPUTED_VALUE"""),"Good")</f>
        <v>Good</v>
      </c>
      <c r="R173" t="str">
        <f>IFERROR(__xludf.DUMMYFUNCTION("""COMPUTED_VALUE"""),"Good")</f>
        <v>Good</v>
      </c>
      <c r="S173" t="str">
        <f>IFERROR(__xludf.DUMMYFUNCTION("""COMPUTED_VALUE"""),"Good")</f>
        <v>Good</v>
      </c>
      <c r="T173" t="str">
        <f>IFERROR(__xludf.DUMMYFUNCTION("""COMPUTED_VALUE"""),"Good")</f>
        <v>Good</v>
      </c>
      <c r="U173" t="str">
        <f>IFERROR(__xludf.DUMMYFUNCTION("""COMPUTED_VALUE"""),"Good")</f>
        <v>Good</v>
      </c>
      <c r="V173" t="str">
        <f>IFERROR(__xludf.DUMMYFUNCTION("""COMPUTED_VALUE"""),"Good")</f>
        <v>Good</v>
      </c>
      <c r="W173" t="str">
        <f>IFERROR(__xludf.DUMMYFUNCTION("""COMPUTED_VALUE"""),"Good")</f>
        <v>Good</v>
      </c>
      <c r="X173" t="str">
        <f>IFERROR(__xludf.DUMMYFUNCTION("""COMPUTED_VALUE"""),"Good")</f>
        <v>Good</v>
      </c>
      <c r="Y173" t="str">
        <f>IFERROR(__xludf.DUMMYFUNCTION("""COMPUTED_VALUE"""),"Good")</f>
        <v>Good</v>
      </c>
      <c r="Z173" t="str">
        <f>IFERROR(__xludf.DUMMYFUNCTION("""COMPUTED_VALUE"""),"Good")</f>
        <v>Good</v>
      </c>
      <c r="AA173" t="str">
        <f>IFERROR(__xludf.DUMMYFUNCTION("""COMPUTED_VALUE"""),"Good")</f>
        <v>Good</v>
      </c>
      <c r="AB173" t="str">
        <f>IFERROR(__xludf.DUMMYFUNCTION("""COMPUTED_VALUE"""),"Good")</f>
        <v>Good</v>
      </c>
      <c r="AC173" t="str">
        <f>IFERROR(__xludf.DUMMYFUNCTION("""COMPUTED_VALUE"""),"Good")</f>
        <v>Good</v>
      </c>
      <c r="AE173" s="11"/>
      <c r="AF173" t="s">
        <v>218</v>
      </c>
      <c r="AG173" s="17" t="s">
        <v>60</v>
      </c>
      <c r="AH173" s="12">
        <v>1320.0</v>
      </c>
      <c r="AI173" s="12" t="s">
        <v>464</v>
      </c>
      <c r="AJ173" s="19" t="s">
        <v>465</v>
      </c>
      <c r="AK173" s="20" t="str">
        <f>HYPERLINK("https://docs.google.com/document/d/1LuCtXJrW5W_uDwtAy3HfcI7oOa4lD8iG7UzSamPCoDk/edit?usp=drivesdk","Silas Tanner - 10/4/2018 8:00 AM")</f>
        <v>Silas Tanner - 10/4/2018 8:00 AM</v>
      </c>
      <c r="AL173" s="12" t="s">
        <v>466</v>
      </c>
    </row>
    <row r="174">
      <c r="A174" s="10">
        <f>IFERROR(__xludf.DUMMYFUNCTION("""COMPUTED_VALUE"""),43377.33790651621)</f>
        <v>43377.33791</v>
      </c>
      <c r="B174" s="11" t="str">
        <f>IFERROR(__xludf.DUMMYFUNCTION("""COMPUTED_VALUE"""),"Shannon Dunnigan")</f>
        <v>Shannon Dunnigan</v>
      </c>
      <c r="C174" t="str">
        <f>IFERROR(__xludf.DUMMYFUNCTION("""COMPUTED_VALUE"""),"shannon.dunnigan@floridadep.gov")</f>
        <v>shannon.dunnigan@floridadep.gov</v>
      </c>
      <c r="D174" t="str">
        <f>IFERROR(__xludf.DUMMYFUNCTION("""COMPUTED_VALUE"""),"Research/Nikki")</f>
        <v>Research/Nikki</v>
      </c>
      <c r="E174" t="str">
        <f>IFERROR(__xludf.DUMMYFUNCTION("""COMPUTED_VALUE"""),"Bings")</f>
        <v>Bings</v>
      </c>
      <c r="F174" s="13">
        <f>IFERROR(__xludf.DUMMYFUNCTION("""COMPUTED_VALUE"""),0.3854166666678793)</f>
        <v>0.3854166667</v>
      </c>
      <c r="G174" s="14">
        <f>IFERROR(__xludf.DUMMYFUNCTION("""COMPUTED_VALUE"""),43377.0)</f>
        <v>43377</v>
      </c>
      <c r="H174" t="str">
        <f>IFERROR(__xludf.DUMMYFUNCTION("""COMPUTED_VALUE"""),"Summerhaven")</f>
        <v>Summerhaven</v>
      </c>
      <c r="I174" s="15">
        <f>IFERROR(__xludf.DUMMYFUNCTION("""COMPUTED_VALUE"""),0.0)</f>
        <v>0</v>
      </c>
      <c r="J174" s="16">
        <f>IFERROR(__xludf.DUMMYFUNCTION("""COMPUTED_VALUE"""),43377.5625)</f>
        <v>43377.5625</v>
      </c>
      <c r="K174" t="str">
        <f>IFERROR(__xludf.DUMMYFUNCTION("""COMPUTED_VALUE"""),"23ft Skiff (Bertha) FL7972LJ DEP07613")</f>
        <v>23ft Skiff (Bertha) FL7972LJ DEP07613</v>
      </c>
      <c r="M174" t="str">
        <f>IFERROR(__xludf.DUMMYFUNCTION("""COMPUTED_VALUE"""),"Ford F150 2015 (White) - DEP21448")</f>
        <v>Ford F150 2015 (White) - DEP21448</v>
      </c>
      <c r="N174" t="str">
        <f>IFERROR(__xludf.DUMMYFUNCTION("""COMPUTED_VALUE"""),"Shannon Dunnigan, (803) 727-5734")</f>
        <v>Shannon Dunnigan, (803) 727-5734</v>
      </c>
      <c r="O174" t="str">
        <f>IFERROR(__xludf.DUMMYFUNCTION("""COMPUTED_VALUE"""),"Westly Woodward")</f>
        <v>Westly Woodward</v>
      </c>
      <c r="P174" t="str">
        <f>IFERROR(__xludf.DUMMYFUNCTION("""COMPUTED_VALUE"""),"Shannon")</f>
        <v>Shannon</v>
      </c>
      <c r="Q174" t="str">
        <f>IFERROR(__xludf.DUMMYFUNCTION("""COMPUTED_VALUE"""),"Good")</f>
        <v>Good</v>
      </c>
      <c r="R174" t="str">
        <f>IFERROR(__xludf.DUMMYFUNCTION("""COMPUTED_VALUE"""),"Good")</f>
        <v>Good</v>
      </c>
      <c r="S174" t="str">
        <f>IFERROR(__xludf.DUMMYFUNCTION("""COMPUTED_VALUE"""),"Good")</f>
        <v>Good</v>
      </c>
      <c r="T174" t="str">
        <f>IFERROR(__xludf.DUMMYFUNCTION("""COMPUTED_VALUE"""),"Good")</f>
        <v>Good</v>
      </c>
      <c r="U174" t="str">
        <f>IFERROR(__xludf.DUMMYFUNCTION("""COMPUTED_VALUE"""),"Good")</f>
        <v>Good</v>
      </c>
      <c r="V174" t="str">
        <f>IFERROR(__xludf.DUMMYFUNCTION("""COMPUTED_VALUE"""),"Good")</f>
        <v>Good</v>
      </c>
      <c r="W174" t="str">
        <f>IFERROR(__xludf.DUMMYFUNCTION("""COMPUTED_VALUE"""),"Good")</f>
        <v>Good</v>
      </c>
      <c r="X174" t="str">
        <f>IFERROR(__xludf.DUMMYFUNCTION("""COMPUTED_VALUE"""),"Good")</f>
        <v>Good</v>
      </c>
      <c r="Y174" t="str">
        <f>IFERROR(__xludf.DUMMYFUNCTION("""COMPUTED_VALUE"""),"Good")</f>
        <v>Good</v>
      </c>
      <c r="Z174" t="str">
        <f>IFERROR(__xludf.DUMMYFUNCTION("""COMPUTED_VALUE"""),"Good")</f>
        <v>Good</v>
      </c>
      <c r="AA174" t="str">
        <f>IFERROR(__xludf.DUMMYFUNCTION("""COMPUTED_VALUE"""),"Good")</f>
        <v>Good</v>
      </c>
      <c r="AB174" t="str">
        <f>IFERROR(__xludf.DUMMYFUNCTION("""COMPUTED_VALUE"""),"Good")</f>
        <v>Good</v>
      </c>
      <c r="AC174" t="str">
        <f>IFERROR(__xludf.DUMMYFUNCTION("""COMPUTED_VALUE"""),"Good")</f>
        <v>Good</v>
      </c>
      <c r="AE174" s="11"/>
      <c r="AF174" t="s">
        <v>218</v>
      </c>
      <c r="AG174" s="17" t="s">
        <v>43</v>
      </c>
      <c r="AH174" s="12">
        <v>1112.0</v>
      </c>
      <c r="AI174" s="12" t="s">
        <v>467</v>
      </c>
      <c r="AJ174" s="19" t="s">
        <v>468</v>
      </c>
      <c r="AK174" s="20" t="str">
        <f>HYPERLINK("https://docs.google.com/document/d/165OlHMSD7QQspuLihMnA4iOz0DUxDdUqPxfmQ1cBeNs/edit?usp=drivesdk","Shannon Dunnigan - 10/4/2018 9:15 AM")</f>
        <v>Shannon Dunnigan - 10/4/2018 9:15 AM</v>
      </c>
      <c r="AL174" s="12" t="s">
        <v>469</v>
      </c>
    </row>
    <row r="175">
      <c r="A175" s="10">
        <f>IFERROR(__xludf.DUMMYFUNCTION("""COMPUTED_VALUE"""),43382.60240420139)</f>
        <v>43382.6024</v>
      </c>
      <c r="B175" s="11" t="str">
        <f>IFERROR(__xludf.DUMMYFUNCTION("""COMPUTED_VALUE"""),"Silas Tanner")</f>
        <v>Silas Tanner</v>
      </c>
      <c r="C175" t="str">
        <f>IFERROR(__xludf.DUMMYFUNCTION("""COMPUTED_VALUE"""),"silas.tanner@floridadep.gov")</f>
        <v>silas.tanner@floridadep.gov</v>
      </c>
      <c r="D175" t="str">
        <f>IFERROR(__xludf.DUMMYFUNCTION("""COMPUTED_VALUE"""),"Research/Nikki")</f>
        <v>Research/Nikki</v>
      </c>
      <c r="E175" t="str">
        <f>IFERROR(__xludf.DUMMYFUNCTION("""COMPUTED_VALUE"""),"Green Rd., Vilano County Ramp")</f>
        <v>Green Rd., Vilano County Ramp</v>
      </c>
      <c r="F175" s="13">
        <f>IFERROR(__xludf.DUMMYFUNCTION("""COMPUTED_VALUE"""),0.3125)</f>
        <v>0.3125</v>
      </c>
      <c r="G175" s="14">
        <f>IFERROR(__xludf.DUMMYFUNCTION("""COMPUTED_VALUE"""),43383.0)</f>
        <v>43383</v>
      </c>
      <c r="H175" t="str">
        <f>IFERROR(__xludf.DUMMYFUNCTION("""COMPUTED_VALUE"""),"ICW - SWMP sites")</f>
        <v>ICW - SWMP sites</v>
      </c>
      <c r="I175" s="15">
        <f>IFERROR(__xludf.DUMMYFUNCTION("""COMPUTED_VALUE"""),0.5006944444430701)</f>
        <v>0.5006944444</v>
      </c>
      <c r="J175" s="16">
        <f>IFERROR(__xludf.DUMMYFUNCTION("""COMPUTED_VALUE"""),43383.51041666667)</f>
        <v>43383.51042</v>
      </c>
      <c r="K175" t="str">
        <f>IFERROR(__xludf.DUMMYFUNCTION("""COMPUTED_VALUE"""),"20ft Sea Ark FL5351SJ UNF 2015")</f>
        <v>20ft Sea Ark FL5351SJ UNF 2015</v>
      </c>
      <c r="M175" t="str">
        <f>IFERROR(__xludf.DUMMYFUNCTION("""COMPUTED_VALUE"""),"Ford F250 2017 (Moby Dix) - DEP0021578")</f>
        <v>Ford F250 2017 (Moby Dix) - DEP0021578</v>
      </c>
      <c r="N175" t="str">
        <f>IFERROR(__xludf.DUMMYFUNCTION("""COMPUTED_VALUE"""),"Silas Tanner, (904) 483-8423")</f>
        <v>Silas Tanner, (904) 483-8423</v>
      </c>
      <c r="O175" t="str">
        <f>IFERROR(__xludf.DUMMYFUNCTION("""COMPUTED_VALUE"""),"Hunter Mathews")</f>
        <v>Hunter Mathews</v>
      </c>
      <c r="P175" t="str">
        <f>IFERROR(__xludf.DUMMYFUNCTION("""COMPUTED_VALUE"""),"S. Tanner")</f>
        <v>S. Tanner</v>
      </c>
      <c r="Q175" t="str">
        <f>IFERROR(__xludf.DUMMYFUNCTION("""COMPUTED_VALUE"""),"Good")</f>
        <v>Good</v>
      </c>
      <c r="R175" t="str">
        <f>IFERROR(__xludf.DUMMYFUNCTION("""COMPUTED_VALUE"""),"Good")</f>
        <v>Good</v>
      </c>
      <c r="S175" t="str">
        <f>IFERROR(__xludf.DUMMYFUNCTION("""COMPUTED_VALUE"""),"Good")</f>
        <v>Good</v>
      </c>
      <c r="T175" t="str">
        <f>IFERROR(__xludf.DUMMYFUNCTION("""COMPUTED_VALUE"""),"Good")</f>
        <v>Good</v>
      </c>
      <c r="U175" t="str">
        <f>IFERROR(__xludf.DUMMYFUNCTION("""COMPUTED_VALUE"""),"Good")</f>
        <v>Good</v>
      </c>
      <c r="V175" t="str">
        <f>IFERROR(__xludf.DUMMYFUNCTION("""COMPUTED_VALUE"""),"Good")</f>
        <v>Good</v>
      </c>
      <c r="W175" t="str">
        <f>IFERROR(__xludf.DUMMYFUNCTION("""COMPUTED_VALUE"""),"Good")</f>
        <v>Good</v>
      </c>
      <c r="X175" t="str">
        <f>IFERROR(__xludf.DUMMYFUNCTION("""COMPUTED_VALUE"""),"Good")</f>
        <v>Good</v>
      </c>
      <c r="Y175" t="str">
        <f>IFERROR(__xludf.DUMMYFUNCTION("""COMPUTED_VALUE"""),"Good")</f>
        <v>Good</v>
      </c>
      <c r="Z175" t="str">
        <f>IFERROR(__xludf.DUMMYFUNCTION("""COMPUTED_VALUE"""),"Good")</f>
        <v>Good</v>
      </c>
      <c r="AA175" t="str">
        <f>IFERROR(__xludf.DUMMYFUNCTION("""COMPUTED_VALUE"""),"Good")</f>
        <v>Good</v>
      </c>
      <c r="AB175" t="str">
        <f>IFERROR(__xludf.DUMMYFUNCTION("""COMPUTED_VALUE"""),"Good")</f>
        <v>Good</v>
      </c>
      <c r="AC175" t="str">
        <f>IFERROR(__xludf.DUMMYFUNCTION("""COMPUTED_VALUE"""),"Good")</f>
        <v>Good</v>
      </c>
      <c r="AE175" s="11"/>
      <c r="AF175" t="s">
        <v>218</v>
      </c>
      <c r="AG175" s="17" t="s">
        <v>141</v>
      </c>
      <c r="AH175" s="12">
        <v>1113.0</v>
      </c>
      <c r="AI175" s="12" t="s">
        <v>470</v>
      </c>
      <c r="AJ175" s="19" t="s">
        <v>471</v>
      </c>
      <c r="AK175" s="20" t="str">
        <f>HYPERLINK("https://docs.google.com/document/d/1L1XIyzHuHRQHoWUjLZVh96I0pkX6GW-koS18WeV4S5A/edit?usp=drivesdk","Silas Tanner - 10/10/2018 7:30 AM")</f>
        <v>Silas Tanner - 10/10/2018 7:30 AM</v>
      </c>
      <c r="AL175" s="12" t="s">
        <v>472</v>
      </c>
    </row>
    <row r="176">
      <c r="A176" s="10">
        <f>IFERROR(__xludf.DUMMYFUNCTION("""COMPUTED_VALUE"""),43385.4172265625)</f>
        <v>43385.41723</v>
      </c>
      <c r="B176" s="11" t="str">
        <f>IFERROR(__xludf.DUMMYFUNCTION("""COMPUTED_VALUE"""),"Ben Mowbray")</f>
        <v>Ben Mowbray</v>
      </c>
      <c r="C176" t="str">
        <f>IFERROR(__xludf.DUMMYFUNCTION("""COMPUTED_VALUE"""),"ben.mowbray@dep.state.fl.us")</f>
        <v>ben.mowbray@dep.state.fl.us</v>
      </c>
      <c r="D176" t="str">
        <f>IFERROR(__xludf.DUMMYFUNCTION("""COMPUTED_VALUE"""),"Research/Nikki")</f>
        <v>Research/Nikki</v>
      </c>
      <c r="E176" t="str">
        <f>IFERROR(__xludf.DUMMYFUNCTION("""COMPUTED_VALUE"""),"Faver-Dykes")</f>
        <v>Faver-Dykes</v>
      </c>
      <c r="F176" s="13">
        <f>IFERROR(__xludf.DUMMYFUNCTION("""COMPUTED_VALUE"""),0.46875)</f>
        <v>0.46875</v>
      </c>
      <c r="G176" s="14">
        <f>IFERROR(__xludf.DUMMYFUNCTION("""COMPUTED_VALUE"""),43385.0)</f>
        <v>43385</v>
      </c>
      <c r="H176" t="str">
        <f>IFERROR(__xludf.DUMMYFUNCTION("""COMPUTED_VALUE"""),"Westernmost Pellicer Sentinel Site")</f>
        <v>Westernmost Pellicer Sentinel Site</v>
      </c>
      <c r="I176" s="15">
        <f>IFERROR(__xludf.DUMMYFUNCTION("""COMPUTED_VALUE"""),0.6666666666678793)</f>
        <v>0.6666666667</v>
      </c>
      <c r="J176" s="16">
        <f>IFERROR(__xludf.DUMMYFUNCTION("""COMPUTED_VALUE"""),43385.71875)</f>
        <v>43385.71875</v>
      </c>
      <c r="K176" t="str">
        <f>IFERROR(__xludf.DUMMYFUNCTION("""COMPUTED_VALUE"""),"23ft Skiff (Bertha) FL7972LJ DEP07613")</f>
        <v>23ft Skiff (Bertha) FL7972LJ DEP07613</v>
      </c>
      <c r="M176" t="str">
        <f>IFERROR(__xludf.DUMMYFUNCTION("""COMPUTED_VALUE"""),"Ford F250 2017 (Moby Dix) - DEP0021578")</f>
        <v>Ford F250 2017 (Moby Dix) - DEP0021578</v>
      </c>
      <c r="N176" t="str">
        <f>IFERROR(__xludf.DUMMYFUNCTION("""COMPUTED_VALUE"""),"Pam Marcum, (480) 332-5414, Ben Mowbray, (407) 962-8782")</f>
        <v>Pam Marcum, (480) 332-5414, Ben Mowbray, (407) 962-8782</v>
      </c>
      <c r="P176" t="str">
        <f>IFERROR(__xludf.DUMMYFUNCTION("""COMPUTED_VALUE"""),"Pam")</f>
        <v>Pam</v>
      </c>
      <c r="Q176" t="str">
        <f>IFERROR(__xludf.DUMMYFUNCTION("""COMPUTED_VALUE"""),"Good")</f>
        <v>Good</v>
      </c>
      <c r="R176" t="str">
        <f>IFERROR(__xludf.DUMMYFUNCTION("""COMPUTED_VALUE"""),"Good")</f>
        <v>Good</v>
      </c>
      <c r="S176" t="str">
        <f>IFERROR(__xludf.DUMMYFUNCTION("""COMPUTED_VALUE"""),"Good")</f>
        <v>Good</v>
      </c>
      <c r="T176" t="str">
        <f>IFERROR(__xludf.DUMMYFUNCTION("""COMPUTED_VALUE"""),"Good")</f>
        <v>Good</v>
      </c>
      <c r="U176" t="str">
        <f>IFERROR(__xludf.DUMMYFUNCTION("""COMPUTED_VALUE"""),"Good")</f>
        <v>Good</v>
      </c>
      <c r="V176" t="str">
        <f>IFERROR(__xludf.DUMMYFUNCTION("""COMPUTED_VALUE"""),"Good")</f>
        <v>Good</v>
      </c>
      <c r="W176" t="str">
        <f>IFERROR(__xludf.DUMMYFUNCTION("""COMPUTED_VALUE"""),"Good")</f>
        <v>Good</v>
      </c>
      <c r="X176" t="str">
        <f>IFERROR(__xludf.DUMMYFUNCTION("""COMPUTED_VALUE"""),"Good")</f>
        <v>Good</v>
      </c>
      <c r="Y176" t="str">
        <f>IFERROR(__xludf.DUMMYFUNCTION("""COMPUTED_VALUE"""),"Good")</f>
        <v>Good</v>
      </c>
      <c r="Z176" t="str">
        <f>IFERROR(__xludf.DUMMYFUNCTION("""COMPUTED_VALUE"""),"Good")</f>
        <v>Good</v>
      </c>
      <c r="AA176" t="str">
        <f>IFERROR(__xludf.DUMMYFUNCTION("""COMPUTED_VALUE"""),"Good")</f>
        <v>Good</v>
      </c>
      <c r="AB176" t="str">
        <f>IFERROR(__xludf.DUMMYFUNCTION("""COMPUTED_VALUE"""),"Good")</f>
        <v>Good</v>
      </c>
      <c r="AC176" t="str">
        <f>IFERROR(__xludf.DUMMYFUNCTION("""COMPUTED_VALUE"""),"Good")</f>
        <v>Good</v>
      </c>
      <c r="AE176" s="11"/>
      <c r="AF176" t="s">
        <v>218</v>
      </c>
      <c r="AG176" s="17" t="s">
        <v>18</v>
      </c>
      <c r="AH176" s="12">
        <v>1440.0</v>
      </c>
      <c r="AI176" s="12" t="s">
        <v>473</v>
      </c>
      <c r="AJ176" s="19" t="s">
        <v>474</v>
      </c>
      <c r="AK176" s="20" t="str">
        <f>HYPERLINK("https://docs.google.com/document/d/1FPp7Ct0JiV_kWgKtlmLlCmGzPELIhER6zZ_PuQTEZXQ/edit?usp=drivesdk","Ben Mowbray - 10/12/2018 11:15 AM")</f>
        <v>Ben Mowbray - 10/12/2018 11:15 AM</v>
      </c>
      <c r="AL176" s="12" t="s">
        <v>475</v>
      </c>
    </row>
    <row r="177">
      <c r="A177" s="10">
        <f>IFERROR(__xludf.DUMMYFUNCTION("""COMPUTED_VALUE"""),43389.283237442134)</f>
        <v>43389.28324</v>
      </c>
      <c r="B177" s="11" t="str">
        <f>IFERROR(__xludf.DUMMYFUNCTION("""COMPUTED_VALUE"""),"Pamela Marcum")</f>
        <v>Pamela Marcum</v>
      </c>
      <c r="C177" t="str">
        <f>IFERROR(__xludf.DUMMYFUNCTION("""COMPUTED_VALUE"""),"Pamela.Marcum@hotmail.com")</f>
        <v>Pamela.Marcum@hotmail.com</v>
      </c>
      <c r="D177" t="str">
        <f>IFERROR(__xludf.DUMMYFUNCTION("""COMPUTED_VALUE"""),"Research/Nikki")</f>
        <v>Research/Nikki</v>
      </c>
      <c r="E177" t="str">
        <f>IFERROR(__xludf.DUMMYFUNCTION("""COMPUTED_VALUE"""),"Aunt Kate's")</f>
        <v>Aunt Kate's</v>
      </c>
      <c r="F177" s="13">
        <f>IFERROR(__xludf.DUMMYFUNCTION("""COMPUTED_VALUE"""),0.3020833333321207)</f>
        <v>0.3020833333</v>
      </c>
      <c r="G177" s="14">
        <f>IFERROR(__xludf.DUMMYFUNCTION("""COMPUTED_VALUE"""),43389.0)</f>
        <v>43389</v>
      </c>
      <c r="H177" t="str">
        <f>IFERROR(__xludf.DUMMYFUNCTION("""COMPUTED_VALUE"""),"Guana River")</f>
        <v>Guana River</v>
      </c>
      <c r="I177" s="15">
        <f>IFERROR(__xludf.DUMMYFUNCTION("""COMPUTED_VALUE"""),0.4791666666678793)</f>
        <v>0.4791666667</v>
      </c>
      <c r="J177" s="16">
        <f>IFERROR(__xludf.DUMMYFUNCTION("""COMPUTED_VALUE"""),43389.5)</f>
        <v>43389.5</v>
      </c>
      <c r="K177" t="str">
        <f>IFERROR(__xludf.DUMMYFUNCTION("""COMPUTED_VALUE"""),"20ft Sea Ark FL5351SJ UNF 2015")</f>
        <v>20ft Sea Ark FL5351SJ UNF 2015</v>
      </c>
      <c r="M177" t="str">
        <f>IFERROR(__xludf.DUMMYFUNCTION("""COMPUTED_VALUE"""),"Ford F250 2017 (Moby Dix) - DEP0021578")</f>
        <v>Ford F250 2017 (Moby Dix) - DEP0021578</v>
      </c>
      <c r="N177" t="str">
        <f>IFERROR(__xludf.DUMMYFUNCTION("""COMPUTED_VALUE"""),"Pam Marcum, (480) 332-5414, Ben Mowbray, (407) 962-8782")</f>
        <v>Pam Marcum, (480) 332-5414, Ben Mowbray, (407) 962-8782</v>
      </c>
      <c r="O177" t="str">
        <f>IFERROR(__xludf.DUMMYFUNCTION("""COMPUTED_VALUE"""),"Jessica Lee, Allee Knoell")</f>
        <v>Jessica Lee, Allee Knoell</v>
      </c>
      <c r="P177" t="str">
        <f>IFERROR(__xludf.DUMMYFUNCTION("""COMPUTED_VALUE"""),"Pam")</f>
        <v>Pam</v>
      </c>
      <c r="Q177" t="str">
        <f>IFERROR(__xludf.DUMMYFUNCTION("""COMPUTED_VALUE"""),"Good")</f>
        <v>Good</v>
      </c>
      <c r="R177" t="str">
        <f>IFERROR(__xludf.DUMMYFUNCTION("""COMPUTED_VALUE"""),"Good")</f>
        <v>Good</v>
      </c>
      <c r="S177" t="str">
        <f>IFERROR(__xludf.DUMMYFUNCTION("""COMPUTED_VALUE"""),"Good")</f>
        <v>Good</v>
      </c>
      <c r="T177" t="str">
        <f>IFERROR(__xludf.DUMMYFUNCTION("""COMPUTED_VALUE"""),"Good")</f>
        <v>Good</v>
      </c>
      <c r="U177" t="str">
        <f>IFERROR(__xludf.DUMMYFUNCTION("""COMPUTED_VALUE"""),"Good")</f>
        <v>Good</v>
      </c>
      <c r="V177" t="str">
        <f>IFERROR(__xludf.DUMMYFUNCTION("""COMPUTED_VALUE"""),"Good")</f>
        <v>Good</v>
      </c>
      <c r="W177" t="str">
        <f>IFERROR(__xludf.DUMMYFUNCTION("""COMPUTED_VALUE"""),"Good")</f>
        <v>Good</v>
      </c>
      <c r="X177" t="str">
        <f>IFERROR(__xludf.DUMMYFUNCTION("""COMPUTED_VALUE"""),"Good")</f>
        <v>Good</v>
      </c>
      <c r="Y177" t="str">
        <f>IFERROR(__xludf.DUMMYFUNCTION("""COMPUTED_VALUE"""),"Good")</f>
        <v>Good</v>
      </c>
      <c r="Z177" t="str">
        <f>IFERROR(__xludf.DUMMYFUNCTION("""COMPUTED_VALUE"""),"Good")</f>
        <v>Good</v>
      </c>
      <c r="AA177" t="str">
        <f>IFERROR(__xludf.DUMMYFUNCTION("""COMPUTED_VALUE"""),"Good")</f>
        <v>Good</v>
      </c>
      <c r="AB177" t="str">
        <f>IFERROR(__xludf.DUMMYFUNCTION("""COMPUTED_VALUE"""),"Good")</f>
        <v>Good</v>
      </c>
      <c r="AC177" t="str">
        <f>IFERROR(__xludf.DUMMYFUNCTION("""COMPUTED_VALUE"""),"Good")</f>
        <v>Good</v>
      </c>
      <c r="AE177" s="11"/>
      <c r="AF177" t="s">
        <v>218</v>
      </c>
      <c r="AG177" s="17" t="s">
        <v>43</v>
      </c>
      <c r="AH177" s="12">
        <v>1055.0</v>
      </c>
      <c r="AI177" s="12" t="s">
        <v>476</v>
      </c>
      <c r="AJ177" s="19" t="s">
        <v>477</v>
      </c>
      <c r="AK177" s="20" t="str">
        <f>HYPERLINK("https://docs.google.com/document/d/1JGMIP5SQ2ZMKd8eDucsvIls3aSK9Tt3z-nF29BgavLw/edit?usp=drivesdk","Pamela Marcum - 10/16/2018 7:15 AM")</f>
        <v>Pamela Marcum - 10/16/2018 7:15 AM</v>
      </c>
      <c r="AL177" s="12" t="s">
        <v>478</v>
      </c>
    </row>
    <row r="178">
      <c r="A178" s="10">
        <f>IFERROR(__xludf.DUMMYFUNCTION("""COMPUTED_VALUE"""),43391.587539490734)</f>
        <v>43391.58754</v>
      </c>
      <c r="B178" s="11" t="str">
        <f>IFERROR(__xludf.DUMMYFUNCTION("""COMPUTED_VALUE"""),"Silas Tanner")</f>
        <v>Silas Tanner</v>
      </c>
      <c r="C178" t="str">
        <f>IFERROR(__xludf.DUMMYFUNCTION("""COMPUTED_VALUE"""),"silas.tanner@floridadep.gov")</f>
        <v>silas.tanner@floridadep.gov</v>
      </c>
      <c r="D178" t="str">
        <f>IFERROR(__xludf.DUMMYFUNCTION("""COMPUTED_VALUE"""),"Research/Nikki")</f>
        <v>Research/Nikki</v>
      </c>
      <c r="E178" t="str">
        <f>IFERROR(__xludf.DUMMYFUNCTION("""COMPUTED_VALUE"""),"Bing's")</f>
        <v>Bing's</v>
      </c>
      <c r="F178" s="13">
        <f>IFERROR(__xludf.DUMMYFUNCTION("""COMPUTED_VALUE"""),0.3541666666678793)</f>
        <v>0.3541666667</v>
      </c>
      <c r="G178" s="14">
        <f>IFERROR(__xludf.DUMMYFUNCTION("""COMPUTED_VALUE"""),43392.0)</f>
        <v>43392</v>
      </c>
      <c r="H178" t="str">
        <f>IFERROR(__xludf.DUMMYFUNCTION("""COMPUTED_VALUE"""),"ICW - Rattlesnake Island to Bing's")</f>
        <v>ICW - Rattlesnake Island to Bing's</v>
      </c>
      <c r="I178" s="15">
        <f>IFERROR(__xludf.DUMMYFUNCTION("""COMPUTED_VALUE"""),0.4791666666678793)</f>
        <v>0.4791666667</v>
      </c>
      <c r="J178" s="16">
        <f>IFERROR(__xludf.DUMMYFUNCTION("""COMPUTED_VALUE"""),43392.52083333333)</f>
        <v>43392.52083</v>
      </c>
      <c r="K178" t="str">
        <f>IFERROR(__xludf.DUMMYFUNCTION("""COMPUTED_VALUE"""),"20ft Sea Ark FL5351SJ UNF 2015")</f>
        <v>20ft Sea Ark FL5351SJ UNF 2015</v>
      </c>
      <c r="M178" t="str">
        <f>IFERROR(__xludf.DUMMYFUNCTION("""COMPUTED_VALUE"""),"Ford F150 2015 (White) - DEP21448")</f>
        <v>Ford F150 2015 (White) - DEP21448</v>
      </c>
      <c r="N178" t="str">
        <f>IFERROR(__xludf.DUMMYFUNCTION("""COMPUTED_VALUE"""),"Shannon Dunnigan, (803) 727-5734, Silas Tanner, (904) 483-8423")</f>
        <v>Shannon Dunnigan, (803) 727-5734, Silas Tanner, (904) 483-8423</v>
      </c>
      <c r="O178" t="str">
        <f>IFERROR(__xludf.DUMMYFUNCTION("""COMPUTED_VALUE"""),"Matt Brown")</f>
        <v>Matt Brown</v>
      </c>
      <c r="P178" t="str">
        <f>IFERROR(__xludf.DUMMYFUNCTION("""COMPUTED_VALUE"""),"Shannon Dunnigan")</f>
        <v>Shannon Dunnigan</v>
      </c>
      <c r="Q178" t="str">
        <f>IFERROR(__xludf.DUMMYFUNCTION("""COMPUTED_VALUE"""),"Good")</f>
        <v>Good</v>
      </c>
      <c r="R178" t="str">
        <f>IFERROR(__xludf.DUMMYFUNCTION("""COMPUTED_VALUE"""),"Good")</f>
        <v>Good</v>
      </c>
      <c r="S178" t="str">
        <f>IFERROR(__xludf.DUMMYFUNCTION("""COMPUTED_VALUE"""),"Good")</f>
        <v>Good</v>
      </c>
      <c r="T178" t="str">
        <f>IFERROR(__xludf.DUMMYFUNCTION("""COMPUTED_VALUE"""),"Good")</f>
        <v>Good</v>
      </c>
      <c r="U178" t="str">
        <f>IFERROR(__xludf.DUMMYFUNCTION("""COMPUTED_VALUE"""),"Good")</f>
        <v>Good</v>
      </c>
      <c r="V178" t="str">
        <f>IFERROR(__xludf.DUMMYFUNCTION("""COMPUTED_VALUE"""),"Good")</f>
        <v>Good</v>
      </c>
      <c r="W178" t="str">
        <f>IFERROR(__xludf.DUMMYFUNCTION("""COMPUTED_VALUE"""),"Good")</f>
        <v>Good</v>
      </c>
      <c r="X178" t="str">
        <f>IFERROR(__xludf.DUMMYFUNCTION("""COMPUTED_VALUE"""),"Good")</f>
        <v>Good</v>
      </c>
      <c r="Y178" t="str">
        <f>IFERROR(__xludf.DUMMYFUNCTION("""COMPUTED_VALUE"""),"Good")</f>
        <v>Good</v>
      </c>
      <c r="Z178" t="str">
        <f>IFERROR(__xludf.DUMMYFUNCTION("""COMPUTED_VALUE"""),"Good")</f>
        <v>Good</v>
      </c>
      <c r="AA178" t="str">
        <f>IFERROR(__xludf.DUMMYFUNCTION("""COMPUTED_VALUE"""),"Good")</f>
        <v>Good</v>
      </c>
      <c r="AB178" t="str">
        <f>IFERROR(__xludf.DUMMYFUNCTION("""COMPUTED_VALUE"""),"Good")</f>
        <v>Good</v>
      </c>
      <c r="AC178" t="str">
        <f>IFERROR(__xludf.DUMMYFUNCTION("""COMPUTED_VALUE"""),"Good")</f>
        <v>Good</v>
      </c>
      <c r="AE178" s="11"/>
      <c r="AF178" t="s">
        <v>218</v>
      </c>
      <c r="AG178" s="17" t="s">
        <v>43</v>
      </c>
      <c r="AH178" s="12">
        <v>1100.0</v>
      </c>
      <c r="AI178" s="12" t="s">
        <v>479</v>
      </c>
      <c r="AJ178" s="19" t="s">
        <v>480</v>
      </c>
      <c r="AK178" s="20" t="str">
        <f>HYPERLINK("https://docs.google.com/document/d/1RDmcLZdwMIRHDuujQWjczrbdq11SFvJ7BvyZZWaLJ_M/edit?usp=drivesdk","Silas Tanner - 10/19/2018 8:30 AM")</f>
        <v>Silas Tanner - 10/19/2018 8:30 AM</v>
      </c>
      <c r="AL178" s="12" t="s">
        <v>481</v>
      </c>
    </row>
    <row r="179">
      <c r="A179" s="10">
        <f>IFERROR(__xludf.DUMMYFUNCTION("""COMPUTED_VALUE"""),43395.33295216435)</f>
        <v>43395.33295</v>
      </c>
      <c r="B179" s="11" t="str">
        <f>IFERROR(__xludf.DUMMYFUNCTION("""COMPUTED_VALUE"""),"James Tomazinis")</f>
        <v>James Tomazinis</v>
      </c>
      <c r="C179" t="str">
        <f>IFERROR(__xludf.DUMMYFUNCTION("""COMPUTED_VALUE"""),"james.tomazinis@floridadep.gov")</f>
        <v>james.tomazinis@floridadep.gov</v>
      </c>
      <c r="D179" t="str">
        <f>IFERROR(__xludf.DUMMYFUNCTION("""COMPUTED_VALUE"""),"Stewardship (Aquatic)")</f>
        <v>Stewardship (Aquatic)</v>
      </c>
      <c r="E179" t="str">
        <f>IFERROR(__xludf.DUMMYFUNCTION("""COMPUTED_VALUE"""),"Guana Dam")</f>
        <v>Guana Dam</v>
      </c>
      <c r="F179" s="13">
        <f>IFERROR(__xludf.DUMMYFUNCTION("""COMPUTED_VALUE"""),0.3541666666678793)</f>
        <v>0.3541666667</v>
      </c>
      <c r="G179" s="14">
        <f>IFERROR(__xludf.DUMMYFUNCTION("""COMPUTED_VALUE"""),43395.0)</f>
        <v>43395</v>
      </c>
      <c r="H179" t="str">
        <f>IFERROR(__xludf.DUMMYFUNCTION("""COMPUTED_VALUE"""),"Guana River sampling sites")</f>
        <v>Guana River sampling sites</v>
      </c>
      <c r="I179" s="15">
        <f>IFERROR(__xludf.DUMMYFUNCTION("""COMPUTED_VALUE"""),0.4166666666678793)</f>
        <v>0.4166666667</v>
      </c>
      <c r="J179" s="16"/>
      <c r="K179" t="str">
        <f>IFERROR(__xludf.DUMMYFUNCTION("""COMPUTED_VALUE"""),"Jon Boat FL0484NP DEP06819")</f>
        <v>Jon Boat FL0484NP DEP06819</v>
      </c>
      <c r="M179" t="str">
        <f>IFERROR(__xludf.DUMMYFUNCTION("""COMPUTED_VALUE"""),"Ford F150 2015 (White) - DEP21448")</f>
        <v>Ford F150 2015 (White) - DEP21448</v>
      </c>
      <c r="N179" t="str">
        <f>IFERROR(__xludf.DUMMYFUNCTION("""COMPUTED_VALUE"""),"Jimmy Tomazinis, (904) 547-0094")</f>
        <v>Jimmy Tomazinis, (904) 547-0094</v>
      </c>
      <c r="O179" t="str">
        <f>IFERROR(__xludf.DUMMYFUNCTION("""COMPUTED_VALUE"""),"Hunter Mathews")</f>
        <v>Hunter Mathews</v>
      </c>
      <c r="P179" t="str">
        <f>IFERROR(__xludf.DUMMYFUNCTION("""COMPUTED_VALUE"""),"Jimmy")</f>
        <v>Jimmy</v>
      </c>
      <c r="Q179" t="str">
        <f>IFERROR(__xludf.DUMMYFUNCTION("""COMPUTED_VALUE"""),"Good")</f>
        <v>Good</v>
      </c>
      <c r="R179" t="str">
        <f>IFERROR(__xludf.DUMMYFUNCTION("""COMPUTED_VALUE"""),"Good")</f>
        <v>Good</v>
      </c>
      <c r="S179" t="str">
        <f>IFERROR(__xludf.DUMMYFUNCTION("""COMPUTED_VALUE"""),"Good")</f>
        <v>Good</v>
      </c>
      <c r="T179" t="str">
        <f>IFERROR(__xludf.DUMMYFUNCTION("""COMPUTED_VALUE"""),"Good")</f>
        <v>Good</v>
      </c>
      <c r="U179" t="str">
        <f>IFERROR(__xludf.DUMMYFUNCTION("""COMPUTED_VALUE"""),"Good")</f>
        <v>Good</v>
      </c>
      <c r="V179" t="str">
        <f>IFERROR(__xludf.DUMMYFUNCTION("""COMPUTED_VALUE"""),"Good")</f>
        <v>Good</v>
      </c>
      <c r="W179" t="str">
        <f>IFERROR(__xludf.DUMMYFUNCTION("""COMPUTED_VALUE"""),"Good")</f>
        <v>Good</v>
      </c>
      <c r="X179" t="str">
        <f>IFERROR(__xludf.DUMMYFUNCTION("""COMPUTED_VALUE"""),"Good")</f>
        <v>Good</v>
      </c>
      <c r="Y179" t="str">
        <f>IFERROR(__xludf.DUMMYFUNCTION("""COMPUTED_VALUE"""),"Good")</f>
        <v>Good</v>
      </c>
      <c r="Z179" t="str">
        <f>IFERROR(__xludf.DUMMYFUNCTION("""COMPUTED_VALUE"""),"Good")</f>
        <v>Good</v>
      </c>
      <c r="AA179" t="str">
        <f>IFERROR(__xludf.DUMMYFUNCTION("""COMPUTED_VALUE"""),"Good")</f>
        <v>Good</v>
      </c>
      <c r="AB179" t="str">
        <f>IFERROR(__xludf.DUMMYFUNCTION("""COMPUTED_VALUE"""),"Good")</f>
        <v>Good</v>
      </c>
      <c r="AC179" t="str">
        <f>IFERROR(__xludf.DUMMYFUNCTION("""COMPUTED_VALUE"""),"Good")</f>
        <v>Good</v>
      </c>
      <c r="AE179" s="11"/>
      <c r="AF179" t="s">
        <v>32</v>
      </c>
      <c r="AG179" s="17" t="s">
        <v>128</v>
      </c>
      <c r="AH179" s="23">
        <v>0.5104166666666666</v>
      </c>
      <c r="AI179" s="12" t="s">
        <v>482</v>
      </c>
      <c r="AJ179" s="19" t="s">
        <v>483</v>
      </c>
      <c r="AK179" s="20" t="str">
        <f>HYPERLINK("https://docs.google.com/document/d/1vhbaWsznObDXbxBjYZJm-c5mH0w0JZvCBOp-BzfpDKI/edit?usp=drivesdk","James Tomazinis - 10/22/2018 8:30 AM")</f>
        <v>James Tomazinis - 10/22/2018 8:30 AM</v>
      </c>
      <c r="AL179" s="12" t="s">
        <v>484</v>
      </c>
    </row>
    <row r="180">
      <c r="A180" s="10">
        <f>IFERROR(__xludf.DUMMYFUNCTION("""COMPUTED_VALUE"""),43395.561414131946)</f>
        <v>43395.56141</v>
      </c>
      <c r="B180" s="11" t="str">
        <f>IFERROR(__xludf.DUMMYFUNCTION("""COMPUTED_VALUE"""),"Silas Tanner")</f>
        <v>Silas Tanner</v>
      </c>
      <c r="C180" t="str">
        <f>IFERROR(__xludf.DUMMYFUNCTION("""COMPUTED_VALUE"""),"silas.tanner@floridadep.gov")</f>
        <v>silas.tanner@floridadep.gov</v>
      </c>
      <c r="D180" t="str">
        <f>IFERROR(__xludf.DUMMYFUNCTION("""COMPUTED_VALUE"""),"Research/Nikki")</f>
        <v>Research/Nikki</v>
      </c>
      <c r="E180" t="str">
        <f>IFERROR(__xludf.DUMMYFUNCTION("""COMPUTED_VALUE"""),"Vilano county ramp")</f>
        <v>Vilano county ramp</v>
      </c>
      <c r="F180" s="13">
        <f>IFERROR(__xludf.DUMMYFUNCTION("""COMPUTED_VALUE"""),0.3333333333321207)</f>
        <v>0.3333333333</v>
      </c>
      <c r="G180" s="14">
        <f>IFERROR(__xludf.DUMMYFUNCTION("""COMPUTED_VALUE"""),43396.0)</f>
        <v>43396</v>
      </c>
      <c r="H180" t="str">
        <f>IFERROR(__xludf.DUMMYFUNCTION("""COMPUTED_VALUE"""),"ICW - SWMP sites")</f>
        <v>ICW - SWMP sites</v>
      </c>
      <c r="I180" s="15">
        <f>IFERROR(__xludf.DUMMYFUNCTION("""COMPUTED_VALUE"""),0.5416666666678793)</f>
        <v>0.5416666667</v>
      </c>
      <c r="J180" s="16">
        <f>IFERROR(__xludf.DUMMYFUNCTION("""COMPUTED_VALUE"""),43396.5625)</f>
        <v>43396.5625</v>
      </c>
      <c r="K180" t="str">
        <f>IFERROR(__xludf.DUMMYFUNCTION("""COMPUTED_VALUE"""),"20ft Sea Ark FL5351SJ UNF 2015")</f>
        <v>20ft Sea Ark FL5351SJ UNF 2015</v>
      </c>
      <c r="M180" t="str">
        <f>IFERROR(__xludf.DUMMYFUNCTION("""COMPUTED_VALUE"""),"Ford F150 2015 (White) - DEP21448")</f>
        <v>Ford F150 2015 (White) - DEP21448</v>
      </c>
      <c r="N180" t="str">
        <f>IFERROR(__xludf.DUMMYFUNCTION("""COMPUTED_VALUE"""),"Silas Tanner, (904) 483-8423, Jimmy Tomazinis, (904) 547-0094")</f>
        <v>Silas Tanner, (904) 483-8423, Jimmy Tomazinis, (904) 547-0094</v>
      </c>
      <c r="O180" t="str">
        <f>IFERROR(__xludf.DUMMYFUNCTION("""COMPUTED_VALUE"""),"Hunter Mathews, Tatum Theodore")</f>
        <v>Hunter Mathews, Tatum Theodore</v>
      </c>
      <c r="P180" t="str">
        <f>IFERROR(__xludf.DUMMYFUNCTION("""COMPUTED_VALUE"""),"Silas Tanner")</f>
        <v>Silas Tanner</v>
      </c>
      <c r="Q180" t="str">
        <f>IFERROR(__xludf.DUMMYFUNCTION("""COMPUTED_VALUE"""),"Good")</f>
        <v>Good</v>
      </c>
      <c r="R180" t="str">
        <f>IFERROR(__xludf.DUMMYFUNCTION("""COMPUTED_VALUE"""),"Good")</f>
        <v>Good</v>
      </c>
      <c r="S180" t="str">
        <f>IFERROR(__xludf.DUMMYFUNCTION("""COMPUTED_VALUE"""),"Good")</f>
        <v>Good</v>
      </c>
      <c r="T180" t="str">
        <f>IFERROR(__xludf.DUMMYFUNCTION("""COMPUTED_VALUE"""),"Good")</f>
        <v>Good</v>
      </c>
      <c r="U180" t="str">
        <f>IFERROR(__xludf.DUMMYFUNCTION("""COMPUTED_VALUE"""),"Good")</f>
        <v>Good</v>
      </c>
      <c r="V180" t="str">
        <f>IFERROR(__xludf.DUMMYFUNCTION("""COMPUTED_VALUE"""),"Good")</f>
        <v>Good</v>
      </c>
      <c r="W180" t="str">
        <f>IFERROR(__xludf.DUMMYFUNCTION("""COMPUTED_VALUE"""),"Good")</f>
        <v>Good</v>
      </c>
      <c r="X180" t="str">
        <f>IFERROR(__xludf.DUMMYFUNCTION("""COMPUTED_VALUE"""),"Good")</f>
        <v>Good</v>
      </c>
      <c r="Y180" t="str">
        <f>IFERROR(__xludf.DUMMYFUNCTION("""COMPUTED_VALUE"""),"Good")</f>
        <v>Good</v>
      </c>
      <c r="Z180" t="str">
        <f>IFERROR(__xludf.DUMMYFUNCTION("""COMPUTED_VALUE"""),"Good")</f>
        <v>Good</v>
      </c>
      <c r="AA180" t="str">
        <f>IFERROR(__xludf.DUMMYFUNCTION("""COMPUTED_VALUE"""),"Good")</f>
        <v>Good</v>
      </c>
      <c r="AB180" t="str">
        <f>IFERROR(__xludf.DUMMYFUNCTION("""COMPUTED_VALUE"""),"Good")</f>
        <v>Good</v>
      </c>
      <c r="AC180" t="str">
        <f>IFERROR(__xludf.DUMMYFUNCTION("""COMPUTED_VALUE"""),"Good")</f>
        <v>Good</v>
      </c>
      <c r="AE180" s="11"/>
      <c r="AF180" t="s">
        <v>218</v>
      </c>
      <c r="AG180" s="17" t="s">
        <v>18</v>
      </c>
      <c r="AH180" s="12">
        <v>1230.0</v>
      </c>
      <c r="AI180" s="12" t="s">
        <v>485</v>
      </c>
      <c r="AJ180" s="19" t="s">
        <v>486</v>
      </c>
      <c r="AK180" s="20" t="str">
        <f>HYPERLINK("https://docs.google.com/document/d/1ZNjLR5XjuWTsIS-2tFfq5tQYsgGh-MACWxn2ZoDEOuU/edit?usp=drivesdk","Silas Tanner - 10/23/2018 8:00 AM")</f>
        <v>Silas Tanner - 10/23/2018 8:00 AM</v>
      </c>
      <c r="AL180" s="12" t="s">
        <v>487</v>
      </c>
    </row>
    <row r="181">
      <c r="A181" s="10">
        <f>IFERROR(__xludf.DUMMYFUNCTION("""COMPUTED_VALUE"""),43402.268219039346)</f>
        <v>43402.26822</v>
      </c>
      <c r="B181" s="11" t="str">
        <f>IFERROR(__xludf.DUMMYFUNCTION("""COMPUTED_VALUE"""),"Pamela Marcum")</f>
        <v>Pamela Marcum</v>
      </c>
      <c r="C181" t="str">
        <f>IFERROR(__xludf.DUMMYFUNCTION("""COMPUTED_VALUE"""),"Pamela.Marcum@Dep.state.fl.us")</f>
        <v>Pamela.Marcum@Dep.state.fl.us</v>
      </c>
      <c r="D181" t="str">
        <f>IFERROR(__xludf.DUMMYFUNCTION("""COMPUTED_VALUE"""),"Research/Nikki")</f>
        <v>Research/Nikki</v>
      </c>
      <c r="E181" t="str">
        <f>IFERROR(__xludf.DUMMYFUNCTION("""COMPUTED_VALUE"""),"Palm Valley")</f>
        <v>Palm Valley</v>
      </c>
      <c r="F181" s="13">
        <f>IFERROR(__xludf.DUMMYFUNCTION("""COMPUTED_VALUE"""),0.2916666666678793)</f>
        <v>0.2916666667</v>
      </c>
      <c r="G181" s="14">
        <f>IFERROR(__xludf.DUMMYFUNCTION("""COMPUTED_VALUE"""),43402.0)</f>
        <v>43402</v>
      </c>
      <c r="H181" t="str">
        <f>IFERROR(__xludf.DUMMYFUNCTION("""COMPUTED_VALUE"""),"Angelini Sites")</f>
        <v>Angelini Sites</v>
      </c>
      <c r="I181" s="15">
        <f>IFERROR(__xludf.DUMMYFUNCTION("""COMPUTED_VALUE"""),0.5416666666678793)</f>
        <v>0.5416666667</v>
      </c>
      <c r="J181" s="16">
        <f>IFERROR(__xludf.DUMMYFUNCTION("""COMPUTED_VALUE"""),43402.5625)</f>
        <v>43402.5625</v>
      </c>
      <c r="K181" t="str">
        <f>IFERROR(__xludf.DUMMYFUNCTION("""COMPUTED_VALUE"""),"20ft Sea Ark FL5351SJ UNF 2015")</f>
        <v>20ft Sea Ark FL5351SJ UNF 2015</v>
      </c>
      <c r="M181" t="str">
        <f>IFERROR(__xludf.DUMMYFUNCTION("""COMPUTED_VALUE"""),"Ford F150 2015 (White) - DEP21448")</f>
        <v>Ford F150 2015 (White) - DEP21448</v>
      </c>
      <c r="N181" t="str">
        <f>IFERROR(__xludf.DUMMYFUNCTION("""COMPUTED_VALUE"""),"Pam Marcum, (480) 332-5414")</f>
        <v>Pam Marcum, (480) 332-5414</v>
      </c>
      <c r="O181" t="str">
        <f>IFERROR(__xludf.DUMMYFUNCTION("""COMPUTED_VALUE"""),"Hunter Matthews, Ray Grizzle, Melissa Southwell, Craig Tinus, Krystin")</f>
        <v>Hunter Matthews, Ray Grizzle, Melissa Southwell, Craig Tinus, Krystin</v>
      </c>
      <c r="P181" t="str">
        <f>IFERROR(__xludf.DUMMYFUNCTION("""COMPUTED_VALUE"""),"Pam Marcum")</f>
        <v>Pam Marcum</v>
      </c>
      <c r="Q181" t="str">
        <f>IFERROR(__xludf.DUMMYFUNCTION("""COMPUTED_VALUE"""),"Good")</f>
        <v>Good</v>
      </c>
      <c r="R181" t="str">
        <f>IFERROR(__xludf.DUMMYFUNCTION("""COMPUTED_VALUE"""),"Good")</f>
        <v>Good</v>
      </c>
      <c r="S181" t="str">
        <f>IFERROR(__xludf.DUMMYFUNCTION("""COMPUTED_VALUE"""),"Good")</f>
        <v>Good</v>
      </c>
      <c r="T181" t="str">
        <f>IFERROR(__xludf.DUMMYFUNCTION("""COMPUTED_VALUE"""),"Good")</f>
        <v>Good</v>
      </c>
      <c r="U181" t="str">
        <f>IFERROR(__xludf.DUMMYFUNCTION("""COMPUTED_VALUE"""),"Good")</f>
        <v>Good</v>
      </c>
      <c r="V181" t="str">
        <f>IFERROR(__xludf.DUMMYFUNCTION("""COMPUTED_VALUE"""),"Good")</f>
        <v>Good</v>
      </c>
      <c r="W181" t="str">
        <f>IFERROR(__xludf.DUMMYFUNCTION("""COMPUTED_VALUE"""),"Good")</f>
        <v>Good</v>
      </c>
      <c r="X181" t="str">
        <f>IFERROR(__xludf.DUMMYFUNCTION("""COMPUTED_VALUE"""),"Good")</f>
        <v>Good</v>
      </c>
      <c r="Y181" t="str">
        <f>IFERROR(__xludf.DUMMYFUNCTION("""COMPUTED_VALUE"""),"Good")</f>
        <v>Good</v>
      </c>
      <c r="Z181" t="str">
        <f>IFERROR(__xludf.DUMMYFUNCTION("""COMPUTED_VALUE"""),"Good")</f>
        <v>Good</v>
      </c>
      <c r="AA181" t="str">
        <f>IFERROR(__xludf.DUMMYFUNCTION("""COMPUTED_VALUE"""),"Good")</f>
        <v>Good</v>
      </c>
      <c r="AB181" t="str">
        <f>IFERROR(__xludf.DUMMYFUNCTION("""COMPUTED_VALUE"""),"Good")</f>
        <v>Good</v>
      </c>
      <c r="AC181" t="str">
        <f>IFERROR(__xludf.DUMMYFUNCTION("""COMPUTED_VALUE"""),"Good")</f>
        <v>Good</v>
      </c>
      <c r="AE181" s="11"/>
      <c r="AF181" t="s">
        <v>218</v>
      </c>
      <c r="AG181" s="17" t="s">
        <v>18</v>
      </c>
      <c r="AH181" s="12">
        <v>1205.0</v>
      </c>
      <c r="AI181" s="12" t="s">
        <v>488</v>
      </c>
      <c r="AJ181" s="19" t="s">
        <v>489</v>
      </c>
      <c r="AK181" s="20" t="str">
        <f>HYPERLINK("https://docs.google.com/document/d/1KDW4JIx-TDLtUs2oIxpu-004J3DLKclKRdUK1ysIZ4w/edit?usp=drivesdk","Pamela Marcum - 10/29/2018 7:00 AM")</f>
        <v>Pamela Marcum - 10/29/2018 7:00 AM</v>
      </c>
      <c r="AL181" s="12" t="s">
        <v>490</v>
      </c>
    </row>
    <row r="182">
      <c r="A182" s="10">
        <f>IFERROR(__xludf.DUMMYFUNCTION("""COMPUTED_VALUE"""),43403.26237045139)</f>
        <v>43403.26237</v>
      </c>
      <c r="B182" s="11" t="str">
        <f>IFERROR(__xludf.DUMMYFUNCTION("""COMPUTED_VALUE"""),"Pamela Marcum")</f>
        <v>Pamela Marcum</v>
      </c>
      <c r="C182" t="str">
        <f>IFERROR(__xludf.DUMMYFUNCTION("""COMPUTED_VALUE"""),"Pamela.Marcum@dep.state.fl.us")</f>
        <v>Pamela.Marcum@dep.state.fl.us</v>
      </c>
      <c r="D182" t="str">
        <f>IFERROR(__xludf.DUMMYFUNCTION("""COMPUTED_VALUE"""),"Research/Nikki")</f>
        <v>Research/Nikki</v>
      </c>
      <c r="E182" t="str">
        <f>IFERROR(__xludf.DUMMYFUNCTION("""COMPUTED_VALUE"""),"Palm Valley/210")</f>
        <v>Palm Valley/210</v>
      </c>
      <c r="F182" s="13">
        <f>IFERROR(__xludf.DUMMYFUNCTION("""COMPUTED_VALUE"""),0.2916666666678793)</f>
        <v>0.2916666667</v>
      </c>
      <c r="G182" s="14">
        <f>IFERROR(__xludf.DUMMYFUNCTION("""COMPUTED_VALUE"""),43403.0)</f>
        <v>43403</v>
      </c>
      <c r="H182" t="str">
        <f>IFERROR(__xludf.DUMMYFUNCTION("""COMPUTED_VALUE"""),"Angelini Sites")</f>
        <v>Angelini Sites</v>
      </c>
      <c r="I182" s="15">
        <f>IFERROR(__xludf.DUMMYFUNCTION("""COMPUTED_VALUE"""),0.5416666666678793)</f>
        <v>0.5416666667</v>
      </c>
      <c r="J182" s="16">
        <f>IFERROR(__xludf.DUMMYFUNCTION("""COMPUTED_VALUE"""),43403.5625)</f>
        <v>43403.5625</v>
      </c>
      <c r="K182" t="str">
        <f>IFERROR(__xludf.DUMMYFUNCTION("""COMPUTED_VALUE"""),"20ft Sea Ark FL5351SJ UNF 2015")</f>
        <v>20ft Sea Ark FL5351SJ UNF 2015</v>
      </c>
      <c r="M182" t="str">
        <f>IFERROR(__xludf.DUMMYFUNCTION("""COMPUTED_VALUE"""),"Ford F150 2015 (White) - DEP21448")</f>
        <v>Ford F150 2015 (White) - DEP21448</v>
      </c>
      <c r="N182" t="str">
        <f>IFERROR(__xludf.DUMMYFUNCTION("""COMPUTED_VALUE"""),"Pam Marcum, (480) 332-5414")</f>
        <v>Pam Marcum, (480) 332-5414</v>
      </c>
      <c r="O182" t="str">
        <f>IFERROR(__xludf.DUMMYFUNCTION("""COMPUTED_VALUE"""),"Krystin, Ray Grizzle, Craig Tinus")</f>
        <v>Krystin, Ray Grizzle, Craig Tinus</v>
      </c>
      <c r="P182" t="str">
        <f>IFERROR(__xludf.DUMMYFUNCTION("""COMPUTED_VALUE"""),"Pam")</f>
        <v>Pam</v>
      </c>
      <c r="Q182" t="str">
        <f>IFERROR(__xludf.DUMMYFUNCTION("""COMPUTED_VALUE"""),"Good")</f>
        <v>Good</v>
      </c>
      <c r="R182" t="str">
        <f>IFERROR(__xludf.DUMMYFUNCTION("""COMPUTED_VALUE"""),"Good")</f>
        <v>Good</v>
      </c>
      <c r="S182" t="str">
        <f>IFERROR(__xludf.DUMMYFUNCTION("""COMPUTED_VALUE"""),"Good")</f>
        <v>Good</v>
      </c>
      <c r="T182" t="str">
        <f>IFERROR(__xludf.DUMMYFUNCTION("""COMPUTED_VALUE"""),"Good")</f>
        <v>Good</v>
      </c>
      <c r="U182" t="str">
        <f>IFERROR(__xludf.DUMMYFUNCTION("""COMPUTED_VALUE"""),"Good")</f>
        <v>Good</v>
      </c>
      <c r="V182" t="str">
        <f>IFERROR(__xludf.DUMMYFUNCTION("""COMPUTED_VALUE"""),"Good")</f>
        <v>Good</v>
      </c>
      <c r="W182" t="str">
        <f>IFERROR(__xludf.DUMMYFUNCTION("""COMPUTED_VALUE"""),"Good")</f>
        <v>Good</v>
      </c>
      <c r="X182" t="str">
        <f>IFERROR(__xludf.DUMMYFUNCTION("""COMPUTED_VALUE"""),"Good")</f>
        <v>Good</v>
      </c>
      <c r="Y182" t="str">
        <f>IFERROR(__xludf.DUMMYFUNCTION("""COMPUTED_VALUE"""),"Good")</f>
        <v>Good</v>
      </c>
      <c r="Z182" t="str">
        <f>IFERROR(__xludf.DUMMYFUNCTION("""COMPUTED_VALUE"""),"Good")</f>
        <v>Good</v>
      </c>
      <c r="AA182" t="str">
        <f>IFERROR(__xludf.DUMMYFUNCTION("""COMPUTED_VALUE"""),"Good")</f>
        <v>Good</v>
      </c>
      <c r="AB182" t="str">
        <f>IFERROR(__xludf.DUMMYFUNCTION("""COMPUTED_VALUE"""),"Good")</f>
        <v>Good</v>
      </c>
      <c r="AC182" t="str">
        <f>IFERROR(__xludf.DUMMYFUNCTION("""COMPUTED_VALUE"""),"Good")</f>
        <v>Good</v>
      </c>
      <c r="AE182" s="11"/>
      <c r="AF182" t="s">
        <v>218</v>
      </c>
      <c r="AG182" s="17" t="s">
        <v>18</v>
      </c>
      <c r="AH182" s="12">
        <v>1115.0</v>
      </c>
      <c r="AI182" s="12" t="s">
        <v>491</v>
      </c>
      <c r="AJ182" s="19" t="s">
        <v>492</v>
      </c>
      <c r="AK182" s="20" t="str">
        <f>HYPERLINK("https://docs.google.com/document/d/1Qu9mmZmTv01KNWghm6u4OGUV88UmBjkTWh1ifHFSkZg/edit?usp=drivesdk","Pamela Marcum - 10/30/2018 7:00 AM")</f>
        <v>Pamela Marcum - 10/30/2018 7:00 AM</v>
      </c>
      <c r="AL182" s="12" t="s">
        <v>493</v>
      </c>
    </row>
    <row r="183">
      <c r="A183" s="10">
        <f>IFERROR(__xludf.DUMMYFUNCTION("""COMPUTED_VALUE"""),43404.28307384259)</f>
        <v>43404.28307</v>
      </c>
      <c r="B183" s="11" t="str">
        <f>IFERROR(__xludf.DUMMYFUNCTION("""COMPUTED_VALUE"""),"Pamela Marcum")</f>
        <v>Pamela Marcum</v>
      </c>
      <c r="C183" t="str">
        <f>IFERROR(__xludf.DUMMYFUNCTION("""COMPUTED_VALUE"""),"Pamela.Marcum@dep.state.fl.us")</f>
        <v>Pamela.Marcum@dep.state.fl.us</v>
      </c>
      <c r="D183" t="str">
        <f>IFERROR(__xludf.DUMMYFUNCTION("""COMPUTED_VALUE"""),"Research/Nikki")</f>
        <v>Research/Nikki</v>
      </c>
      <c r="E183" t="str">
        <f>IFERROR(__xludf.DUMMYFUNCTION("""COMPUTED_VALUE"""),"Palm Valley/210")</f>
        <v>Palm Valley/210</v>
      </c>
      <c r="F183" s="13">
        <f>IFERROR(__xludf.DUMMYFUNCTION("""COMPUTED_VALUE"""),0.3125)</f>
        <v>0.3125</v>
      </c>
      <c r="G183" s="14">
        <f>IFERROR(__xludf.DUMMYFUNCTION("""COMPUTED_VALUE"""),43404.0)</f>
        <v>43404</v>
      </c>
      <c r="H183" t="str">
        <f>IFERROR(__xludf.DUMMYFUNCTION("""COMPUTED_VALUE"""),"Pine Island")</f>
        <v>Pine Island</v>
      </c>
      <c r="I183" s="15">
        <f>IFERROR(__xludf.DUMMYFUNCTION("""COMPUTED_VALUE"""),0.5833333333321207)</f>
        <v>0.5833333333</v>
      </c>
      <c r="J183" s="16">
        <f>IFERROR(__xludf.DUMMYFUNCTION("""COMPUTED_VALUE"""),43404.60416666667)</f>
        <v>43404.60417</v>
      </c>
      <c r="K183" t="str">
        <f>IFERROR(__xludf.DUMMYFUNCTION("""COMPUTED_VALUE"""),"20ft Sea Ark FL5351SJ UNF 2015")</f>
        <v>20ft Sea Ark FL5351SJ UNF 2015</v>
      </c>
      <c r="M183" t="str">
        <f>IFERROR(__xludf.DUMMYFUNCTION("""COMPUTED_VALUE"""),"Ford F150 2015 (White) - DEP21448")</f>
        <v>Ford F150 2015 (White) - DEP21448</v>
      </c>
      <c r="N183" t="str">
        <f>IFERROR(__xludf.DUMMYFUNCTION("""COMPUTED_VALUE"""),"Pam Marcum, (480) 332-5414")</f>
        <v>Pam Marcum, (480) 332-5414</v>
      </c>
      <c r="O183" t="str">
        <f>IFERROR(__xludf.DUMMYFUNCTION("""COMPUTED_VALUE"""),"Emma Hanson")</f>
        <v>Emma Hanson</v>
      </c>
      <c r="P183" t="str">
        <f>IFERROR(__xludf.DUMMYFUNCTION("""COMPUTED_VALUE"""),"Pam")</f>
        <v>Pam</v>
      </c>
      <c r="Q183" t="str">
        <f>IFERROR(__xludf.DUMMYFUNCTION("""COMPUTED_VALUE"""),"Good")</f>
        <v>Good</v>
      </c>
      <c r="R183" t="str">
        <f>IFERROR(__xludf.DUMMYFUNCTION("""COMPUTED_VALUE"""),"Good")</f>
        <v>Good</v>
      </c>
      <c r="S183" t="str">
        <f>IFERROR(__xludf.DUMMYFUNCTION("""COMPUTED_VALUE"""),"Good")</f>
        <v>Good</v>
      </c>
      <c r="T183" t="str">
        <f>IFERROR(__xludf.DUMMYFUNCTION("""COMPUTED_VALUE"""),"Good")</f>
        <v>Good</v>
      </c>
      <c r="U183" t="str">
        <f>IFERROR(__xludf.DUMMYFUNCTION("""COMPUTED_VALUE"""),"Good")</f>
        <v>Good</v>
      </c>
      <c r="V183" t="str">
        <f>IFERROR(__xludf.DUMMYFUNCTION("""COMPUTED_VALUE"""),"Good")</f>
        <v>Good</v>
      </c>
      <c r="W183" t="str">
        <f>IFERROR(__xludf.DUMMYFUNCTION("""COMPUTED_VALUE"""),"Good")</f>
        <v>Good</v>
      </c>
      <c r="X183" t="str">
        <f>IFERROR(__xludf.DUMMYFUNCTION("""COMPUTED_VALUE"""),"Good")</f>
        <v>Good</v>
      </c>
      <c r="Y183" t="str">
        <f>IFERROR(__xludf.DUMMYFUNCTION("""COMPUTED_VALUE"""),"Good")</f>
        <v>Good</v>
      </c>
      <c r="Z183" t="str">
        <f>IFERROR(__xludf.DUMMYFUNCTION("""COMPUTED_VALUE"""),"Good")</f>
        <v>Good</v>
      </c>
      <c r="AA183" t="str">
        <f>IFERROR(__xludf.DUMMYFUNCTION("""COMPUTED_VALUE"""),"Good")</f>
        <v>Good</v>
      </c>
      <c r="AB183" t="str">
        <f>IFERROR(__xludf.DUMMYFUNCTION("""COMPUTED_VALUE"""),"Good")</f>
        <v>Good</v>
      </c>
      <c r="AC183" t="str">
        <f>IFERROR(__xludf.DUMMYFUNCTION("""COMPUTED_VALUE"""),"Good")</f>
        <v>Good</v>
      </c>
      <c r="AE183" s="11"/>
      <c r="AF183" t="s">
        <v>218</v>
      </c>
      <c r="AG183" s="17" t="s">
        <v>60</v>
      </c>
      <c r="AH183" s="23">
        <v>0.4791666666666667</v>
      </c>
      <c r="AI183" s="12" t="s">
        <v>494</v>
      </c>
      <c r="AJ183" s="19" t="s">
        <v>495</v>
      </c>
      <c r="AK183" s="20" t="str">
        <f>HYPERLINK("https://docs.google.com/document/d/1Piq9pUUSz179ys6kT1N1gc9p86TbMAxgV-Uv5HnwE5E/edit?usp=drivesdk","Pamela Marcum - 10/31/2018 7:30 AM")</f>
        <v>Pamela Marcum - 10/31/2018 7:30 AM</v>
      </c>
      <c r="AL183" s="12" t="s">
        <v>496</v>
      </c>
    </row>
    <row r="184">
      <c r="A184" s="10">
        <f>IFERROR(__xludf.DUMMYFUNCTION("""COMPUTED_VALUE"""),43404.284795844906)</f>
        <v>43404.2848</v>
      </c>
      <c r="B184" s="11" t="str">
        <f>IFERROR(__xludf.DUMMYFUNCTION("""COMPUTED_VALUE"""),"Ben Mowbray")</f>
        <v>Ben Mowbray</v>
      </c>
      <c r="C184" t="str">
        <f>IFERROR(__xludf.DUMMYFUNCTION("""COMPUTED_VALUE"""),"Ben.Mowbray@dep.state.fl.us")</f>
        <v>Ben.Mowbray@dep.state.fl.us</v>
      </c>
      <c r="D184" t="str">
        <f>IFERROR(__xludf.DUMMYFUNCTION("""COMPUTED_VALUE"""),"Research/Nikki")</f>
        <v>Research/Nikki</v>
      </c>
      <c r="E184" t="str">
        <f>IFERROR(__xludf.DUMMYFUNCTION("""COMPUTED_VALUE"""),"Palm Valley/210")</f>
        <v>Palm Valley/210</v>
      </c>
      <c r="F184" s="13">
        <f>IFERROR(__xludf.DUMMYFUNCTION("""COMPUTED_VALUE"""),0.3125)</f>
        <v>0.3125</v>
      </c>
      <c r="G184" s="14">
        <f>IFERROR(__xludf.DUMMYFUNCTION("""COMPUTED_VALUE"""),43404.0)</f>
        <v>43404</v>
      </c>
      <c r="H184" t="str">
        <f>IFERROR(__xludf.DUMMYFUNCTION("""COMPUTED_VALUE"""),"Pine Island")</f>
        <v>Pine Island</v>
      </c>
      <c r="I184" s="15">
        <f>IFERROR(__xludf.DUMMYFUNCTION("""COMPUTED_VALUE"""),0.5833333333321207)</f>
        <v>0.5833333333</v>
      </c>
      <c r="J184" s="16">
        <f>IFERROR(__xludf.DUMMYFUNCTION("""COMPUTED_VALUE"""),43404.60416666667)</f>
        <v>43404.60417</v>
      </c>
      <c r="K184" t="str">
        <f>IFERROR(__xludf.DUMMYFUNCTION("""COMPUTED_VALUE"""),"F 20ft Sea Ark (Easy 200) FL8534PY DEP21451")</f>
        <v>F 20ft Sea Ark (Easy 200) FL8534PY DEP21451</v>
      </c>
      <c r="M184" t="str">
        <f>IFERROR(__xludf.DUMMYFUNCTION("""COMPUTED_VALUE"""),"Ford F150 2008 - DEP18041 (SWMP Thing)")</f>
        <v>Ford F150 2008 - DEP18041 (SWMP Thing)</v>
      </c>
      <c r="N184" t="str">
        <f>IFERROR(__xludf.DUMMYFUNCTION("""COMPUTED_VALUE"""),"Ben Mowbray, (407) 962-8782")</f>
        <v>Ben Mowbray, (407) 962-8782</v>
      </c>
      <c r="O184" t="str">
        <f>IFERROR(__xludf.DUMMYFUNCTION("""COMPUTED_VALUE"""),"Craig Tinus, Melissa Southwell, Jessica Veenstra, Ray Grizzle, Krystin Ward")</f>
        <v>Craig Tinus, Melissa Southwell, Jessica Veenstra, Ray Grizzle, Krystin Ward</v>
      </c>
      <c r="P184" t="str">
        <f>IFERROR(__xludf.DUMMYFUNCTION("""COMPUTED_VALUE"""),"Ben")</f>
        <v>Ben</v>
      </c>
      <c r="Q184" t="str">
        <f>IFERROR(__xludf.DUMMYFUNCTION("""COMPUTED_VALUE"""),"Good")</f>
        <v>Good</v>
      </c>
      <c r="R184" t="str">
        <f>IFERROR(__xludf.DUMMYFUNCTION("""COMPUTED_VALUE"""),"Good")</f>
        <v>Good</v>
      </c>
      <c r="S184" t="str">
        <f>IFERROR(__xludf.DUMMYFUNCTION("""COMPUTED_VALUE"""),"Good")</f>
        <v>Good</v>
      </c>
      <c r="T184" t="str">
        <f>IFERROR(__xludf.DUMMYFUNCTION("""COMPUTED_VALUE"""),"Good")</f>
        <v>Good</v>
      </c>
      <c r="U184" t="str">
        <f>IFERROR(__xludf.DUMMYFUNCTION("""COMPUTED_VALUE"""),"Good")</f>
        <v>Good</v>
      </c>
      <c r="V184" t="str">
        <f>IFERROR(__xludf.DUMMYFUNCTION("""COMPUTED_VALUE"""),"Good")</f>
        <v>Good</v>
      </c>
      <c r="W184" t="str">
        <f>IFERROR(__xludf.DUMMYFUNCTION("""COMPUTED_VALUE"""),"Good")</f>
        <v>Good</v>
      </c>
      <c r="X184" t="str">
        <f>IFERROR(__xludf.DUMMYFUNCTION("""COMPUTED_VALUE"""),"Good")</f>
        <v>Good</v>
      </c>
      <c r="Y184" t="str">
        <f>IFERROR(__xludf.DUMMYFUNCTION("""COMPUTED_VALUE"""),"Good")</f>
        <v>Good</v>
      </c>
      <c r="Z184" t="str">
        <f>IFERROR(__xludf.DUMMYFUNCTION("""COMPUTED_VALUE"""),"Good")</f>
        <v>Good</v>
      </c>
      <c r="AA184" t="str">
        <f>IFERROR(__xludf.DUMMYFUNCTION("""COMPUTED_VALUE"""),"Good")</f>
        <v>Good</v>
      </c>
      <c r="AB184" t="str">
        <f>IFERROR(__xludf.DUMMYFUNCTION("""COMPUTED_VALUE"""),"Good")</f>
        <v>Good</v>
      </c>
      <c r="AC184" t="str">
        <f>IFERROR(__xludf.DUMMYFUNCTION("""COMPUTED_VALUE"""),"Good")</f>
        <v>Good</v>
      </c>
      <c r="AE184" s="11"/>
      <c r="AF184" t="s">
        <v>218</v>
      </c>
      <c r="AG184" s="17" t="s">
        <v>128</v>
      </c>
      <c r="AH184" s="23">
        <v>0.4791666666666667</v>
      </c>
      <c r="AI184" s="12" t="s">
        <v>497</v>
      </c>
      <c r="AJ184" s="19" t="s">
        <v>498</v>
      </c>
      <c r="AK184" s="20" t="str">
        <f>HYPERLINK("https://docs.google.com/document/d/1yRmCu21DibXxTmzuabRnKsTEkg4ImN6YDeiFUo9b1mQ/edit?usp=drivesdk","Ben Mowbray - 10/31/2018 7:30 AM")</f>
        <v>Ben Mowbray - 10/31/2018 7:30 AM</v>
      </c>
      <c r="AL184" s="12" t="s">
        <v>499</v>
      </c>
    </row>
    <row r="185">
      <c r="A185" s="10">
        <f>IFERROR(__xludf.DUMMYFUNCTION("""COMPUTED_VALUE"""),43404.48634444445)</f>
        <v>43404.48634</v>
      </c>
      <c r="B185" s="11" t="str">
        <f>IFERROR(__xludf.DUMMYFUNCTION("""COMPUTED_VALUE"""),"Silas Tanner")</f>
        <v>Silas Tanner</v>
      </c>
      <c r="C185" t="str">
        <f>IFERROR(__xludf.DUMMYFUNCTION("""COMPUTED_VALUE"""),"silas.tanner@floridadep.gov")</f>
        <v>silas.tanner@floridadep.gov</v>
      </c>
      <c r="D185" t="str">
        <f>IFERROR(__xludf.DUMMYFUNCTION("""COMPUTED_VALUE"""),"Research/Nikki")</f>
        <v>Research/Nikki</v>
      </c>
      <c r="E185" t="str">
        <f>IFERROR(__xludf.DUMMYFUNCTION("""COMPUTED_VALUE"""),"Crane Ramp")</f>
        <v>Crane Ramp</v>
      </c>
      <c r="F185" s="13">
        <f>IFERROR(__xludf.DUMMYFUNCTION("""COMPUTED_VALUE"""),0.5104166666678793)</f>
        <v>0.5104166667</v>
      </c>
      <c r="G185" s="14">
        <f>IFERROR(__xludf.DUMMYFUNCTION("""COMPUTED_VALUE"""),43404.0)</f>
        <v>43404</v>
      </c>
      <c r="H185" t="str">
        <f>IFERROR(__xludf.DUMMYFUNCTION("""COMPUTED_VALUE"""),"ICW - Marsh Creek aka ""Gabby's Creek""")</f>
        <v>ICW - Marsh Creek aka "Gabby's Creek"</v>
      </c>
      <c r="I185" s="15">
        <f>IFERROR(__xludf.DUMMYFUNCTION("""COMPUTED_VALUE"""),0.6875)</f>
        <v>0.6875</v>
      </c>
      <c r="J185" s="16">
        <f>IFERROR(__xludf.DUMMYFUNCTION("""COMPUTED_VALUE"""),43404.70833333333)</f>
        <v>43404.70833</v>
      </c>
      <c r="K185" t="str">
        <f>IFERROR(__xludf.DUMMYFUNCTION("""COMPUTED_VALUE"""),"17ft Skill FL0642GW DEP07239")</f>
        <v>17ft Skill FL0642GW DEP07239</v>
      </c>
      <c r="M185" t="str">
        <f>IFERROR(__xludf.DUMMYFUNCTION("""COMPUTED_VALUE"""),"Ford F250 2017 (Moby Dix) - DEP0021578")</f>
        <v>Ford F250 2017 (Moby Dix) - DEP0021578</v>
      </c>
      <c r="N185" t="str">
        <f>IFERROR(__xludf.DUMMYFUNCTION("""COMPUTED_VALUE"""),"Silas Tanner, (904) 483-8423")</f>
        <v>Silas Tanner, (904) 483-8423</v>
      </c>
      <c r="O185" t="str">
        <f>IFERROR(__xludf.DUMMYFUNCTION("""COMPUTED_VALUE"""),"Gabriela Canas, (904) 891-9743, Alee")</f>
        <v>Gabriela Canas, (904) 891-9743, Alee</v>
      </c>
      <c r="P185" t="str">
        <f>IFERROR(__xludf.DUMMYFUNCTION("""COMPUTED_VALUE"""),"Tanner")</f>
        <v>Tanner</v>
      </c>
      <c r="Q185" t="str">
        <f>IFERROR(__xludf.DUMMYFUNCTION("""COMPUTED_VALUE"""),"Good")</f>
        <v>Good</v>
      </c>
      <c r="R185" t="str">
        <f>IFERROR(__xludf.DUMMYFUNCTION("""COMPUTED_VALUE"""),"Good")</f>
        <v>Good</v>
      </c>
      <c r="S185" t="str">
        <f>IFERROR(__xludf.DUMMYFUNCTION("""COMPUTED_VALUE"""),"Good")</f>
        <v>Good</v>
      </c>
      <c r="T185" t="str">
        <f>IFERROR(__xludf.DUMMYFUNCTION("""COMPUTED_VALUE"""),"Good")</f>
        <v>Good</v>
      </c>
      <c r="U185" t="str">
        <f>IFERROR(__xludf.DUMMYFUNCTION("""COMPUTED_VALUE"""),"Good")</f>
        <v>Good</v>
      </c>
      <c r="V185" t="str">
        <f>IFERROR(__xludf.DUMMYFUNCTION("""COMPUTED_VALUE"""),"Good")</f>
        <v>Good</v>
      </c>
      <c r="W185" t="str">
        <f>IFERROR(__xludf.DUMMYFUNCTION("""COMPUTED_VALUE"""),"Good")</f>
        <v>Good</v>
      </c>
      <c r="X185" t="str">
        <f>IFERROR(__xludf.DUMMYFUNCTION("""COMPUTED_VALUE"""),"Good")</f>
        <v>Good</v>
      </c>
      <c r="Y185" t="str">
        <f>IFERROR(__xludf.DUMMYFUNCTION("""COMPUTED_VALUE"""),"Good")</f>
        <v>Good</v>
      </c>
      <c r="Z185" t="str">
        <f>IFERROR(__xludf.DUMMYFUNCTION("""COMPUTED_VALUE"""),"Good")</f>
        <v>Good</v>
      </c>
      <c r="AA185" t="str">
        <f>IFERROR(__xludf.DUMMYFUNCTION("""COMPUTED_VALUE"""),"Good")</f>
        <v>Good</v>
      </c>
      <c r="AB185" t="str">
        <f>IFERROR(__xludf.DUMMYFUNCTION("""COMPUTED_VALUE"""),"Good")</f>
        <v>Good</v>
      </c>
      <c r="AC185" t="str">
        <f>IFERROR(__xludf.DUMMYFUNCTION("""COMPUTED_VALUE"""),"Good")</f>
        <v>Good</v>
      </c>
      <c r="AE185" s="11"/>
      <c r="AF185" t="s">
        <v>218</v>
      </c>
      <c r="AG185" s="17" t="s">
        <v>43</v>
      </c>
      <c r="AH185" s="12">
        <v>1608.0</v>
      </c>
      <c r="AI185" s="12" t="s">
        <v>500</v>
      </c>
      <c r="AJ185" s="19" t="s">
        <v>501</v>
      </c>
      <c r="AK185" s="20" t="str">
        <f>HYPERLINK("https://docs.google.com/document/d/1RX_gUfr2Cwzo06Md2uxfQ1lOEGgjQtJf8J9lleJZCOQ/edit?usp=drivesdk","Silas Tanner - 10/31/2018 12:15 PM")</f>
        <v>Silas Tanner - 10/31/2018 12:15 PM</v>
      </c>
      <c r="AL185" s="12" t="s">
        <v>502</v>
      </c>
    </row>
    <row r="186">
      <c r="A186" s="10">
        <f>IFERROR(__xludf.DUMMYFUNCTION("""COMPUTED_VALUE"""),43405.27696858797)</f>
        <v>43405.27697</v>
      </c>
      <c r="B186" s="11" t="str">
        <f>IFERROR(__xludf.DUMMYFUNCTION("""COMPUTED_VALUE"""),"Ben Mowbray")</f>
        <v>Ben Mowbray</v>
      </c>
      <c r="C186" t="str">
        <f>IFERROR(__xludf.DUMMYFUNCTION("""COMPUTED_VALUE"""),"ben.mowbray@dep.state.fl.us")</f>
        <v>ben.mowbray@dep.state.fl.us</v>
      </c>
      <c r="D186" t="str">
        <f>IFERROR(__xludf.DUMMYFUNCTION("""COMPUTED_VALUE"""),"Research/Nikki")</f>
        <v>Research/Nikki</v>
      </c>
      <c r="E186" t="str">
        <f>IFERROR(__xludf.DUMMYFUNCTION("""COMPUTED_VALUE"""),"Anastasia, Shore Dr., Green Rd., Washington Oaks")</f>
        <v>Anastasia, Shore Dr., Green Rd., Washington Oaks</v>
      </c>
      <c r="F186" s="13">
        <f>IFERROR(__xludf.DUMMYFUNCTION("""COMPUTED_VALUE"""),0.3194444444452529)</f>
        <v>0.3194444444</v>
      </c>
      <c r="G186" s="14">
        <f>IFERROR(__xludf.DUMMYFUNCTION("""COMPUTED_VALUE"""),43405.0)</f>
        <v>43405</v>
      </c>
      <c r="H186" t="str">
        <f>IFERROR(__xludf.DUMMYFUNCTION("""COMPUTED_VALUE"""),"Spat Run")</f>
        <v>Spat Run</v>
      </c>
      <c r="I186" s="15">
        <f>IFERROR(__xludf.DUMMYFUNCTION("""COMPUTED_VALUE"""),0.6041666666678793)</f>
        <v>0.6041666667</v>
      </c>
      <c r="J186" s="16">
        <f>IFERROR(__xludf.DUMMYFUNCTION("""COMPUTED_VALUE"""),43405.65972222222)</f>
        <v>43405.65972</v>
      </c>
      <c r="K186" t="str">
        <f>IFERROR(__xludf.DUMMYFUNCTION("""COMPUTED_VALUE"""),"17ft Skill FL0642GW DEP07239")</f>
        <v>17ft Skill FL0642GW DEP07239</v>
      </c>
      <c r="M186" t="str">
        <f>IFERROR(__xludf.DUMMYFUNCTION("""COMPUTED_VALUE"""),"Ford F250 2017 (Moby Dix) - DEP0021578")</f>
        <v>Ford F250 2017 (Moby Dix) - DEP0021578</v>
      </c>
      <c r="N186" t="str">
        <f>IFERROR(__xludf.DUMMYFUNCTION("""COMPUTED_VALUE"""),"Ben Mowbray, (407) 962-8782")</f>
        <v>Ben Mowbray, (407) 962-8782</v>
      </c>
      <c r="O186" t="str">
        <f>IFERROR(__xludf.DUMMYFUNCTION("""COMPUTED_VALUE"""),"Marissa Raymond, Alicia Bishop")</f>
        <v>Marissa Raymond, Alicia Bishop</v>
      </c>
      <c r="P186" t="str">
        <f>IFERROR(__xludf.DUMMYFUNCTION("""COMPUTED_VALUE"""),"Ben")</f>
        <v>Ben</v>
      </c>
      <c r="Q186" t="str">
        <f>IFERROR(__xludf.DUMMYFUNCTION("""COMPUTED_VALUE"""),"Good")</f>
        <v>Good</v>
      </c>
      <c r="R186" t="str">
        <f>IFERROR(__xludf.DUMMYFUNCTION("""COMPUTED_VALUE"""),"Good")</f>
        <v>Good</v>
      </c>
      <c r="S186" t="str">
        <f>IFERROR(__xludf.DUMMYFUNCTION("""COMPUTED_VALUE"""),"Good")</f>
        <v>Good</v>
      </c>
      <c r="T186" t="str">
        <f>IFERROR(__xludf.DUMMYFUNCTION("""COMPUTED_VALUE"""),"Good")</f>
        <v>Good</v>
      </c>
      <c r="U186" t="str">
        <f>IFERROR(__xludf.DUMMYFUNCTION("""COMPUTED_VALUE"""),"Good")</f>
        <v>Good</v>
      </c>
      <c r="V186" t="str">
        <f>IFERROR(__xludf.DUMMYFUNCTION("""COMPUTED_VALUE"""),"Good")</f>
        <v>Good</v>
      </c>
      <c r="W186" t="str">
        <f>IFERROR(__xludf.DUMMYFUNCTION("""COMPUTED_VALUE"""),"Good")</f>
        <v>Good</v>
      </c>
      <c r="X186" t="str">
        <f>IFERROR(__xludf.DUMMYFUNCTION("""COMPUTED_VALUE"""),"Good")</f>
        <v>Good</v>
      </c>
      <c r="Y186" t="str">
        <f>IFERROR(__xludf.DUMMYFUNCTION("""COMPUTED_VALUE"""),"Good")</f>
        <v>Good</v>
      </c>
      <c r="Z186" t="str">
        <f>IFERROR(__xludf.DUMMYFUNCTION("""COMPUTED_VALUE"""),"Good")</f>
        <v>Good</v>
      </c>
      <c r="AA186" t="str">
        <f>IFERROR(__xludf.DUMMYFUNCTION("""COMPUTED_VALUE"""),"Good")</f>
        <v>Good</v>
      </c>
      <c r="AB186" t="str">
        <f>IFERROR(__xludf.DUMMYFUNCTION("""COMPUTED_VALUE"""),"Good")</f>
        <v>Good</v>
      </c>
      <c r="AC186" t="str">
        <f>IFERROR(__xludf.DUMMYFUNCTION("""COMPUTED_VALUE"""),"Good")</f>
        <v>Good</v>
      </c>
      <c r="AE186" s="11"/>
      <c r="AF186" t="s">
        <v>218</v>
      </c>
      <c r="AG186" s="17" t="s">
        <v>503</v>
      </c>
      <c r="AH186" s="23">
        <v>0.6145833333333334</v>
      </c>
      <c r="AI186" s="12" t="s">
        <v>504</v>
      </c>
      <c r="AJ186" s="19" t="s">
        <v>505</v>
      </c>
      <c r="AK186" s="20" t="str">
        <f>HYPERLINK("https://docs.google.com/document/d/1s3JiwQ-KWulWysULpBhqbwpxDkxCnkakIu_ciCP-aHE/edit?usp=drivesdk","Ben Mowbray - 11/1/2018 7:40 AM")</f>
        <v>Ben Mowbray - 11/1/2018 7:40 AM</v>
      </c>
      <c r="AL186" s="12" t="s">
        <v>506</v>
      </c>
    </row>
    <row r="187">
      <c r="A187" s="10">
        <f>IFERROR(__xludf.DUMMYFUNCTION("""COMPUTED_VALUE"""),43405.32542648148)</f>
        <v>43405.32543</v>
      </c>
      <c r="B187" s="11" t="str">
        <f>IFERROR(__xludf.DUMMYFUNCTION("""COMPUTED_VALUE"""),"Pamela Marcum")</f>
        <v>Pamela Marcum</v>
      </c>
      <c r="C187" t="str">
        <f>IFERROR(__xludf.DUMMYFUNCTION("""COMPUTED_VALUE"""),"Pamela.Marcum@Dep.state.fl.us")</f>
        <v>Pamela.Marcum@Dep.state.fl.us</v>
      </c>
      <c r="D187" t="str">
        <f>IFERROR(__xludf.DUMMYFUNCTION("""COMPUTED_VALUE"""),"Research/Nikki")</f>
        <v>Research/Nikki</v>
      </c>
      <c r="E187" t="str">
        <f>IFERROR(__xludf.DUMMYFUNCTION("""COMPUTED_VALUE"""),"Aunt Kate's")</f>
        <v>Aunt Kate's</v>
      </c>
      <c r="F187" s="13">
        <f>IFERROR(__xludf.DUMMYFUNCTION("""COMPUTED_VALUE"""),0.3333333333321207)</f>
        <v>0.3333333333</v>
      </c>
      <c r="G187" s="14">
        <f>IFERROR(__xludf.DUMMYFUNCTION("""COMPUTED_VALUE"""),43405.0)</f>
        <v>43405</v>
      </c>
      <c r="H187" t="str">
        <f>IFERROR(__xludf.DUMMYFUNCTION("""COMPUTED_VALUE"""),"Tolomato and Guana Kimbro Sites")</f>
        <v>Tolomato and Guana Kimbro Sites</v>
      </c>
      <c r="I187" s="15">
        <f>IFERROR(__xludf.DUMMYFUNCTION("""COMPUTED_VALUE"""),0.5416666666678793)</f>
        <v>0.5416666667</v>
      </c>
      <c r="J187" s="16">
        <f>IFERROR(__xludf.DUMMYFUNCTION("""COMPUTED_VALUE"""),43405.5625)</f>
        <v>43405.5625</v>
      </c>
      <c r="K187" t="str">
        <f>IFERROR(__xludf.DUMMYFUNCTION("""COMPUTED_VALUE"""),"F 20ft Sea Ark (Easy 200) FL8534PY DEP21451")</f>
        <v>F 20ft Sea Ark (Easy 200) FL8534PY DEP21451</v>
      </c>
      <c r="M187" t="str">
        <f>IFERROR(__xludf.DUMMYFUNCTION("""COMPUTED_VALUE"""),"Ford F150 2008 - DEP18041 (SWMP Thing)")</f>
        <v>Ford F150 2008 - DEP18041 (SWMP Thing)</v>
      </c>
      <c r="N187" t="str">
        <f>IFERROR(__xludf.DUMMYFUNCTION("""COMPUTED_VALUE"""),"Pam Marcum, (480) 332-5414")</f>
        <v>Pam Marcum, (480) 332-5414</v>
      </c>
      <c r="O187" t="str">
        <f>IFERROR(__xludf.DUMMYFUNCTION("""COMPUTED_VALUE"""),"Nicole Peckham, Andre Breef-Pilz, Rodrigo Pavani")</f>
        <v>Nicole Peckham, Andre Breef-Pilz, Rodrigo Pavani</v>
      </c>
      <c r="P187" t="str">
        <f>IFERROR(__xludf.DUMMYFUNCTION("""COMPUTED_VALUE"""),"Pam")</f>
        <v>Pam</v>
      </c>
      <c r="Q187" t="str">
        <f>IFERROR(__xludf.DUMMYFUNCTION("""COMPUTED_VALUE"""),"Good")</f>
        <v>Good</v>
      </c>
      <c r="R187" t="str">
        <f>IFERROR(__xludf.DUMMYFUNCTION("""COMPUTED_VALUE"""),"Good")</f>
        <v>Good</v>
      </c>
      <c r="S187" t="str">
        <f>IFERROR(__xludf.DUMMYFUNCTION("""COMPUTED_VALUE"""),"Good")</f>
        <v>Good</v>
      </c>
      <c r="T187" t="str">
        <f>IFERROR(__xludf.DUMMYFUNCTION("""COMPUTED_VALUE"""),"Good")</f>
        <v>Good</v>
      </c>
      <c r="U187" t="str">
        <f>IFERROR(__xludf.DUMMYFUNCTION("""COMPUTED_VALUE"""),"Good")</f>
        <v>Good</v>
      </c>
      <c r="V187" t="str">
        <f>IFERROR(__xludf.DUMMYFUNCTION("""COMPUTED_VALUE"""),"Good")</f>
        <v>Good</v>
      </c>
      <c r="W187" t="str">
        <f>IFERROR(__xludf.DUMMYFUNCTION("""COMPUTED_VALUE"""),"Good")</f>
        <v>Good</v>
      </c>
      <c r="X187" t="str">
        <f>IFERROR(__xludf.DUMMYFUNCTION("""COMPUTED_VALUE"""),"Good")</f>
        <v>Good</v>
      </c>
      <c r="Y187" t="str">
        <f>IFERROR(__xludf.DUMMYFUNCTION("""COMPUTED_VALUE"""),"Good")</f>
        <v>Good</v>
      </c>
      <c r="Z187" t="str">
        <f>IFERROR(__xludf.DUMMYFUNCTION("""COMPUTED_VALUE"""),"Good")</f>
        <v>Good</v>
      </c>
      <c r="AA187" t="str">
        <f>IFERROR(__xludf.DUMMYFUNCTION("""COMPUTED_VALUE"""),"Good")</f>
        <v>Good</v>
      </c>
      <c r="AB187" t="str">
        <f>IFERROR(__xludf.DUMMYFUNCTION("""COMPUTED_VALUE"""),"Good")</f>
        <v>Good</v>
      </c>
      <c r="AC187" t="str">
        <f>IFERROR(__xludf.DUMMYFUNCTION("""COMPUTED_VALUE"""),"Good")</f>
        <v>Good</v>
      </c>
      <c r="AE187" s="11"/>
      <c r="AF187" t="s">
        <v>218</v>
      </c>
      <c r="AG187" s="12" t="s">
        <v>507</v>
      </c>
      <c r="AH187" s="23">
        <v>0.6180555555555556</v>
      </c>
      <c r="AI187" s="12" t="s">
        <v>508</v>
      </c>
      <c r="AJ187" s="19" t="s">
        <v>509</v>
      </c>
      <c r="AK187" s="20" t="str">
        <f>HYPERLINK("https://docs.google.com/document/d/1wHN4Cbsn47rCWCLLPwvhvv0RSpz-ejSy8O1YNICpliM/edit?usp=drivesdk","Pamela Marcum - 11/1/2018 8:00 AM")</f>
        <v>Pamela Marcum - 11/1/2018 8:00 AM</v>
      </c>
      <c r="AL187" s="12" t="s">
        <v>510</v>
      </c>
    </row>
    <row r="188">
      <c r="A188" s="10">
        <f>IFERROR(__xludf.DUMMYFUNCTION("""COMPUTED_VALUE"""),43405.34657351852)</f>
        <v>43405.34657</v>
      </c>
      <c r="B188" s="11" t="str">
        <f>IFERROR(__xludf.DUMMYFUNCTION("""COMPUTED_VALUE"""),"Silas Tanner")</f>
        <v>Silas Tanner</v>
      </c>
      <c r="C188" t="str">
        <f>IFERROR(__xludf.DUMMYFUNCTION("""COMPUTED_VALUE"""),"Silas.Tanner@dep.state.fl.us")</f>
        <v>Silas.Tanner@dep.state.fl.us</v>
      </c>
      <c r="D188" t="str">
        <f>IFERROR(__xludf.DUMMYFUNCTION("""COMPUTED_VALUE"""),"Research/Nikki")</f>
        <v>Research/Nikki</v>
      </c>
      <c r="E188" t="str">
        <f>IFERROR(__xludf.DUMMYFUNCTION("""COMPUTED_VALUE"""),"Aunt Kate's")</f>
        <v>Aunt Kate's</v>
      </c>
      <c r="F188" s="13">
        <f>IFERROR(__xludf.DUMMYFUNCTION("""COMPUTED_VALUE"""),0.3541666666678793)</f>
        <v>0.3541666667</v>
      </c>
      <c r="G188" s="14">
        <f>IFERROR(__xludf.DUMMYFUNCTION("""COMPUTED_VALUE"""),43405.0)</f>
        <v>43405</v>
      </c>
      <c r="H188" t="str">
        <f>IFERROR(__xludf.DUMMYFUNCTION("""COMPUTED_VALUE"""),"ICW Living Shorelines site 5")</f>
        <v>ICW Living Shorelines site 5</v>
      </c>
      <c r="I188" s="15">
        <f>IFERROR(__xludf.DUMMYFUNCTION("""COMPUTED_VALUE"""),0.6041666666678793)</f>
        <v>0.6041666667</v>
      </c>
      <c r="J188" s="16">
        <f>IFERROR(__xludf.DUMMYFUNCTION("""COMPUTED_VALUE"""),43405.625)</f>
        <v>43405.625</v>
      </c>
      <c r="K188" t="str">
        <f>IFERROR(__xludf.DUMMYFUNCTION("""COMPUTED_VALUE"""),"20ft Sea Ark FL5351SJ UNF 2015")</f>
        <v>20ft Sea Ark FL5351SJ UNF 2015</v>
      </c>
      <c r="M188" t="str">
        <f>IFERROR(__xludf.DUMMYFUNCTION("""COMPUTED_VALUE"""),"Ford F150 2015 (White) - DEP21448")</f>
        <v>Ford F150 2015 (White) - DEP21448</v>
      </c>
      <c r="N188" t="str">
        <f>IFERROR(__xludf.DUMMYFUNCTION("""COMPUTED_VALUE"""),"Silas Tanner, (904) 483-8423")</f>
        <v>Silas Tanner, (904) 483-8423</v>
      </c>
      <c r="O188" t="str">
        <f>IFERROR(__xludf.DUMMYFUNCTION("""COMPUTED_VALUE"""),"Ray Grizzle, Kristen Ward, Emma Hanson, Kelly Smith")</f>
        <v>Ray Grizzle, Kristen Ward, Emma Hanson, Kelly Smith</v>
      </c>
      <c r="P188" t="str">
        <f>IFERROR(__xludf.DUMMYFUNCTION("""COMPUTED_VALUE"""),"Silas Tanner")</f>
        <v>Silas Tanner</v>
      </c>
      <c r="Q188" t="str">
        <f>IFERROR(__xludf.DUMMYFUNCTION("""COMPUTED_VALUE"""),"Good")</f>
        <v>Good</v>
      </c>
      <c r="R188" t="str">
        <f>IFERROR(__xludf.DUMMYFUNCTION("""COMPUTED_VALUE"""),"Good")</f>
        <v>Good</v>
      </c>
      <c r="S188" t="str">
        <f>IFERROR(__xludf.DUMMYFUNCTION("""COMPUTED_VALUE"""),"Good")</f>
        <v>Good</v>
      </c>
      <c r="T188" t="str">
        <f>IFERROR(__xludf.DUMMYFUNCTION("""COMPUTED_VALUE"""),"Good")</f>
        <v>Good</v>
      </c>
      <c r="U188" t="str">
        <f>IFERROR(__xludf.DUMMYFUNCTION("""COMPUTED_VALUE"""),"Good")</f>
        <v>Good</v>
      </c>
      <c r="V188" t="str">
        <f>IFERROR(__xludf.DUMMYFUNCTION("""COMPUTED_VALUE"""),"Good")</f>
        <v>Good</v>
      </c>
      <c r="W188" t="str">
        <f>IFERROR(__xludf.DUMMYFUNCTION("""COMPUTED_VALUE"""),"Good")</f>
        <v>Good</v>
      </c>
      <c r="X188" t="str">
        <f>IFERROR(__xludf.DUMMYFUNCTION("""COMPUTED_VALUE"""),"Good")</f>
        <v>Good</v>
      </c>
      <c r="Y188" t="str">
        <f>IFERROR(__xludf.DUMMYFUNCTION("""COMPUTED_VALUE"""),"Good")</f>
        <v>Good</v>
      </c>
      <c r="Z188" t="str">
        <f>IFERROR(__xludf.DUMMYFUNCTION("""COMPUTED_VALUE"""),"Good")</f>
        <v>Good</v>
      </c>
      <c r="AA188" t="str">
        <f>IFERROR(__xludf.DUMMYFUNCTION("""COMPUTED_VALUE"""),"Good")</f>
        <v>Good</v>
      </c>
      <c r="AB188" t="str">
        <f>IFERROR(__xludf.DUMMYFUNCTION("""COMPUTED_VALUE"""),"Good")</f>
        <v>Good</v>
      </c>
      <c r="AC188" t="str">
        <f>IFERROR(__xludf.DUMMYFUNCTION("""COMPUTED_VALUE"""),"Good")</f>
        <v>Good</v>
      </c>
      <c r="AE188" s="11"/>
      <c r="AF188" t="s">
        <v>218</v>
      </c>
      <c r="AG188" s="12" t="s">
        <v>511</v>
      </c>
      <c r="AH188" s="12">
        <v>1205.0</v>
      </c>
      <c r="AI188" s="12" t="s">
        <v>512</v>
      </c>
      <c r="AJ188" s="19" t="s">
        <v>513</v>
      </c>
      <c r="AK188" s="20" t="str">
        <f>HYPERLINK("https://docs.google.com/document/d/1Rrrw9hXvd2dswIm7DTQzp7Bj3bZQddXoz6ZiVQaAymE/edit?usp=drivesdk","Silas Tanner - 11/1/2018 8:30 AM")</f>
        <v>Silas Tanner - 11/1/2018 8:30 AM</v>
      </c>
      <c r="AL188" s="12" t="s">
        <v>514</v>
      </c>
    </row>
    <row r="189">
      <c r="A189" s="10">
        <f>IFERROR(__xludf.DUMMYFUNCTION("""COMPUTED_VALUE"""),43406.327230243056)</f>
        <v>43406.32723</v>
      </c>
      <c r="B189" s="11" t="str">
        <f>IFERROR(__xludf.DUMMYFUNCTION("""COMPUTED_VALUE"""),"Ben Mowbray")</f>
        <v>Ben Mowbray</v>
      </c>
      <c r="C189" t="str">
        <f>IFERROR(__xludf.DUMMYFUNCTION("""COMPUTED_VALUE"""),"ben.mowbray@dep.state.fl.us")</f>
        <v>ben.mowbray@dep.state.fl.us</v>
      </c>
      <c r="D189" t="str">
        <f>IFERROR(__xludf.DUMMYFUNCTION("""COMPUTED_VALUE"""),"Research/Nikki")</f>
        <v>Research/Nikki</v>
      </c>
      <c r="E189" t="str">
        <f>IFERROR(__xludf.DUMMYFUNCTION("""COMPUTED_VALUE"""),"Douglas Crane")</f>
        <v>Douglas Crane</v>
      </c>
      <c r="F189" s="13">
        <f>IFERROR(__xludf.DUMMYFUNCTION("""COMPUTED_VALUE"""),0.36111111110949423)</f>
        <v>0.3611111111</v>
      </c>
      <c r="G189" s="14">
        <f>IFERROR(__xludf.DUMMYFUNCTION("""COMPUTED_VALUE"""),43406.0)</f>
        <v>43406</v>
      </c>
      <c r="H189" t="str">
        <f>IFERROR(__xludf.DUMMYFUNCTION("""COMPUTED_VALUE"""),"Kimbro SA and SR sites")</f>
        <v>Kimbro SA and SR sites</v>
      </c>
      <c r="I189" s="15">
        <f>IFERROR(__xludf.DUMMYFUNCTION("""COMPUTED_VALUE"""),0.5833333333321207)</f>
        <v>0.5833333333</v>
      </c>
      <c r="J189" s="16">
        <f>IFERROR(__xludf.DUMMYFUNCTION("""COMPUTED_VALUE"""),43406.61111111111)</f>
        <v>43406.61111</v>
      </c>
      <c r="K189" t="str">
        <f>IFERROR(__xludf.DUMMYFUNCTION("""COMPUTED_VALUE"""),"17ft Skill FL0642GW DEP07239")</f>
        <v>17ft Skill FL0642GW DEP07239</v>
      </c>
      <c r="M189" t="str">
        <f>IFERROR(__xludf.DUMMYFUNCTION("""COMPUTED_VALUE"""),"Ford F250 2017 (Moby Dix) - DEP0021578")</f>
        <v>Ford F250 2017 (Moby Dix) - DEP0021578</v>
      </c>
      <c r="N189" t="str">
        <f>IFERROR(__xludf.DUMMYFUNCTION("""COMPUTED_VALUE"""),"Ben Mowbray, (407) 962-8782")</f>
        <v>Ben Mowbray, (407) 962-8782</v>
      </c>
      <c r="O189" t="str">
        <f>IFERROR(__xludf.DUMMYFUNCTION("""COMPUTED_VALUE"""),"Craig Tinus, Nicole Peckham, Adrienne Bried-Pilz, Rodrigo Pavani")</f>
        <v>Craig Tinus, Nicole Peckham, Adrienne Bried-Pilz, Rodrigo Pavani</v>
      </c>
      <c r="P189" t="str">
        <f>IFERROR(__xludf.DUMMYFUNCTION("""COMPUTED_VALUE"""),"Ben")</f>
        <v>Ben</v>
      </c>
      <c r="Q189" t="str">
        <f>IFERROR(__xludf.DUMMYFUNCTION("""COMPUTED_VALUE"""),"Good")</f>
        <v>Good</v>
      </c>
      <c r="R189" t="str">
        <f>IFERROR(__xludf.DUMMYFUNCTION("""COMPUTED_VALUE"""),"Good")</f>
        <v>Good</v>
      </c>
      <c r="S189" t="str">
        <f>IFERROR(__xludf.DUMMYFUNCTION("""COMPUTED_VALUE"""),"Good")</f>
        <v>Good</v>
      </c>
      <c r="T189" t="str">
        <f>IFERROR(__xludf.DUMMYFUNCTION("""COMPUTED_VALUE"""),"Good")</f>
        <v>Good</v>
      </c>
      <c r="U189" t="str">
        <f>IFERROR(__xludf.DUMMYFUNCTION("""COMPUTED_VALUE"""),"Good")</f>
        <v>Good</v>
      </c>
      <c r="V189" t="str">
        <f>IFERROR(__xludf.DUMMYFUNCTION("""COMPUTED_VALUE"""),"Good")</f>
        <v>Good</v>
      </c>
      <c r="W189" t="str">
        <f>IFERROR(__xludf.DUMMYFUNCTION("""COMPUTED_VALUE"""),"Good")</f>
        <v>Good</v>
      </c>
      <c r="X189" t="str">
        <f>IFERROR(__xludf.DUMMYFUNCTION("""COMPUTED_VALUE"""),"Good")</f>
        <v>Good</v>
      </c>
      <c r="Y189" t="str">
        <f>IFERROR(__xludf.DUMMYFUNCTION("""COMPUTED_VALUE"""),"Good")</f>
        <v>Good</v>
      </c>
      <c r="Z189" t="str">
        <f>IFERROR(__xludf.DUMMYFUNCTION("""COMPUTED_VALUE"""),"Good")</f>
        <v>Good</v>
      </c>
      <c r="AA189" t="str">
        <f>IFERROR(__xludf.DUMMYFUNCTION("""COMPUTED_VALUE"""),"Good")</f>
        <v>Good</v>
      </c>
      <c r="AB189" t="str">
        <f>IFERROR(__xludf.DUMMYFUNCTION("""COMPUTED_VALUE"""),"Good")</f>
        <v>Good</v>
      </c>
      <c r="AC189" t="str">
        <f>IFERROR(__xludf.DUMMYFUNCTION("""COMPUTED_VALUE"""),"Good")</f>
        <v>Good</v>
      </c>
      <c r="AE189" s="11"/>
      <c r="AF189" t="s">
        <v>218</v>
      </c>
      <c r="AG189" s="17" t="s">
        <v>128</v>
      </c>
      <c r="AH189" s="23">
        <v>0.5694444444444444</v>
      </c>
      <c r="AI189" s="12" t="s">
        <v>515</v>
      </c>
      <c r="AJ189" s="19" t="s">
        <v>516</v>
      </c>
      <c r="AK189" s="20" t="str">
        <f>HYPERLINK("https://docs.google.com/document/d/1HISdHTEExN4zHmyd24EnNJE9re7ldowomCTkQ-w64zU/edit?usp=drivesdk","Ben Mowbray - 11/2/2018 8:40 AM")</f>
        <v>Ben Mowbray - 11/2/2018 8:40 AM</v>
      </c>
      <c r="AL189" s="12" t="s">
        <v>517</v>
      </c>
    </row>
    <row r="190">
      <c r="A190" s="10">
        <f>IFERROR(__xludf.DUMMYFUNCTION("""COMPUTED_VALUE"""),43406.38157403935)</f>
        <v>43406.38157</v>
      </c>
      <c r="B190" s="11" t="str">
        <f>IFERROR(__xludf.DUMMYFUNCTION("""COMPUTED_VALUE"""),"Pamela Marcum")</f>
        <v>Pamela Marcum</v>
      </c>
      <c r="C190" t="str">
        <f>IFERROR(__xludf.DUMMYFUNCTION("""COMPUTED_VALUE"""),"Pamela.Marcum@dep.state.fl.us")</f>
        <v>Pamela.Marcum@dep.state.fl.us</v>
      </c>
      <c r="D190" t="str">
        <f>IFERROR(__xludf.DUMMYFUNCTION("""COMPUTED_VALUE"""),"Research/Nikki")</f>
        <v>Research/Nikki</v>
      </c>
      <c r="E190" t="str">
        <f>IFERROR(__xludf.DUMMYFUNCTION("""COMPUTED_VALUE"""),"Aunt Kate's")</f>
        <v>Aunt Kate's</v>
      </c>
      <c r="F190" s="13">
        <f>IFERROR(__xludf.DUMMYFUNCTION("""COMPUTED_VALUE"""),0.3958333333321207)</f>
        <v>0.3958333333</v>
      </c>
      <c r="G190" s="14">
        <f>IFERROR(__xludf.DUMMYFUNCTION("""COMPUTED_VALUE"""),43406.0)</f>
        <v>43406</v>
      </c>
      <c r="H190" t="str">
        <f>IFERROR(__xludf.DUMMYFUNCTION("""COMPUTED_VALUE"""),"Pine Island")</f>
        <v>Pine Island</v>
      </c>
      <c r="I190" s="15">
        <f>IFERROR(__xludf.DUMMYFUNCTION("""COMPUTED_VALUE"""),0.6041666666678793)</f>
        <v>0.6041666667</v>
      </c>
      <c r="J190" s="16">
        <f>IFERROR(__xludf.DUMMYFUNCTION("""COMPUTED_VALUE"""),43406.625)</f>
        <v>43406.625</v>
      </c>
      <c r="K190" t="str">
        <f>IFERROR(__xludf.DUMMYFUNCTION("""COMPUTED_VALUE"""),"20ft Sea Ark FL5351SJ UNF 2015")</f>
        <v>20ft Sea Ark FL5351SJ UNF 2015</v>
      </c>
      <c r="M190" t="str">
        <f>IFERROR(__xludf.DUMMYFUNCTION("""COMPUTED_VALUE"""),"Ford F150 2015 (White) - DEP21448")</f>
        <v>Ford F150 2015 (White) - DEP21448</v>
      </c>
      <c r="N190" t="str">
        <f>IFERROR(__xludf.DUMMYFUNCTION("""COMPUTED_VALUE"""),"Pam Marcum, (480) 332-5414, Silas Tanner, (904) 483-8423")</f>
        <v>Pam Marcum, (480) 332-5414, Silas Tanner, (904) 483-8423</v>
      </c>
      <c r="O190" t="str">
        <f>IFERROR(__xludf.DUMMYFUNCTION("""COMPUTED_VALUE"""),"Jessica Lee, Jessica Veenstra, Justina Dacey, Ray Grizzle, Krystin Ward, ")</f>
        <v>Jessica Lee, Jessica Veenstra, Justina Dacey, Ray Grizzle, Krystin Ward, </v>
      </c>
      <c r="P190" t="str">
        <f>IFERROR(__xludf.DUMMYFUNCTION("""COMPUTED_VALUE"""),"Silas")</f>
        <v>Silas</v>
      </c>
      <c r="Q190" t="str">
        <f>IFERROR(__xludf.DUMMYFUNCTION("""COMPUTED_VALUE"""),"Good")</f>
        <v>Good</v>
      </c>
      <c r="R190" t="str">
        <f>IFERROR(__xludf.DUMMYFUNCTION("""COMPUTED_VALUE"""),"Good")</f>
        <v>Good</v>
      </c>
      <c r="S190" t="str">
        <f>IFERROR(__xludf.DUMMYFUNCTION("""COMPUTED_VALUE"""),"Good")</f>
        <v>Good</v>
      </c>
      <c r="T190" t="str">
        <f>IFERROR(__xludf.DUMMYFUNCTION("""COMPUTED_VALUE"""),"Good")</f>
        <v>Good</v>
      </c>
      <c r="U190" t="str">
        <f>IFERROR(__xludf.DUMMYFUNCTION("""COMPUTED_VALUE"""),"Good")</f>
        <v>Good</v>
      </c>
      <c r="V190" t="str">
        <f>IFERROR(__xludf.DUMMYFUNCTION("""COMPUTED_VALUE"""),"Good")</f>
        <v>Good</v>
      </c>
      <c r="W190" t="str">
        <f>IFERROR(__xludf.DUMMYFUNCTION("""COMPUTED_VALUE"""),"Good")</f>
        <v>Good</v>
      </c>
      <c r="X190" t="str">
        <f>IFERROR(__xludf.DUMMYFUNCTION("""COMPUTED_VALUE"""),"Good")</f>
        <v>Good</v>
      </c>
      <c r="Y190" t="str">
        <f>IFERROR(__xludf.DUMMYFUNCTION("""COMPUTED_VALUE"""),"Good")</f>
        <v>Good</v>
      </c>
      <c r="Z190" t="str">
        <f>IFERROR(__xludf.DUMMYFUNCTION("""COMPUTED_VALUE"""),"Good")</f>
        <v>Good</v>
      </c>
      <c r="AA190" t="str">
        <f>IFERROR(__xludf.DUMMYFUNCTION("""COMPUTED_VALUE"""),"Good")</f>
        <v>Good</v>
      </c>
      <c r="AB190" t="str">
        <f>IFERROR(__xludf.DUMMYFUNCTION("""COMPUTED_VALUE"""),"Good")</f>
        <v>Good</v>
      </c>
      <c r="AC190" t="str">
        <f>IFERROR(__xludf.DUMMYFUNCTION("""COMPUTED_VALUE"""),"Good")</f>
        <v>Good</v>
      </c>
      <c r="AE190" s="11"/>
      <c r="AF190" t="s">
        <v>218</v>
      </c>
      <c r="AG190" s="17" t="s">
        <v>128</v>
      </c>
      <c r="AH190" s="23">
        <v>0.5659722222222222</v>
      </c>
      <c r="AI190" s="12" t="s">
        <v>518</v>
      </c>
      <c r="AJ190" s="19" t="s">
        <v>519</v>
      </c>
      <c r="AK190" s="20" t="str">
        <f>HYPERLINK("https://docs.google.com/document/d/1Gx8Cm5JStNGnczb9BENMG9AfAMxlxOh8pLjeAEIKSJ8/edit?usp=drivesdk","Pamela Marcum - 11/2/2018 9:30 AM")</f>
        <v>Pamela Marcum - 11/2/2018 9:30 AM</v>
      </c>
      <c r="AL190" s="12" t="s">
        <v>520</v>
      </c>
    </row>
    <row r="191">
      <c r="A191" s="10">
        <f>IFERROR(__xludf.DUMMYFUNCTION("""COMPUTED_VALUE"""),43409.30797252315)</f>
        <v>43409.30797</v>
      </c>
      <c r="B191" s="11" t="str">
        <f>IFERROR(__xludf.DUMMYFUNCTION("""COMPUTED_VALUE"""),"Silas Tanner")</f>
        <v>Silas Tanner</v>
      </c>
      <c r="C191" t="str">
        <f>IFERROR(__xludf.DUMMYFUNCTION("""COMPUTED_VALUE"""),"silas.tanner@floridadep.gov")</f>
        <v>silas.tanner@floridadep.gov</v>
      </c>
      <c r="D191" t="str">
        <f>IFERROR(__xludf.DUMMYFUNCTION("""COMPUTED_VALUE"""),"Research/Nikki")</f>
        <v>Research/Nikki</v>
      </c>
      <c r="E191" t="str">
        <f>IFERROR(__xludf.DUMMYFUNCTION("""COMPUTED_VALUE"""),"Vilano county ramp")</f>
        <v>Vilano county ramp</v>
      </c>
      <c r="F191" s="13">
        <f>IFERROR(__xludf.DUMMYFUNCTION("""COMPUTED_VALUE"""),0.34375)</f>
        <v>0.34375</v>
      </c>
      <c r="G191" s="14">
        <f>IFERROR(__xludf.DUMMYFUNCTION("""COMPUTED_VALUE"""),43410.0)</f>
        <v>43410</v>
      </c>
      <c r="H191" t="str">
        <f>IFERROR(__xludf.DUMMYFUNCTION("""COMPUTED_VALUE"""),"ICW SWMP sites")</f>
        <v>ICW SWMP sites</v>
      </c>
      <c r="I191" s="15">
        <f>IFERROR(__xludf.DUMMYFUNCTION("""COMPUTED_VALUE"""),0.5416666666678793)</f>
        <v>0.5416666667</v>
      </c>
      <c r="J191" s="16">
        <f>IFERROR(__xludf.DUMMYFUNCTION("""COMPUTED_VALUE"""),43410.5625)</f>
        <v>43410.5625</v>
      </c>
      <c r="K191" t="str">
        <f>IFERROR(__xludf.DUMMYFUNCTION("""COMPUTED_VALUE"""),"F 20ft Sea Ark (Easy 200) FL8534PY DEP21451")</f>
        <v>F 20ft Sea Ark (Easy 200) FL8534PY DEP21451</v>
      </c>
      <c r="M191" t="str">
        <f>IFERROR(__xludf.DUMMYFUNCTION("""COMPUTED_VALUE"""),"Ford F250 2017 (Moby Dix) - DEP0021578")</f>
        <v>Ford F250 2017 (Moby Dix) - DEP0021578</v>
      </c>
      <c r="N191" t="str">
        <f>IFERROR(__xludf.DUMMYFUNCTION("""COMPUTED_VALUE"""),"Silas Tanner, (904) 483-8423, Jimmy Tomazinis, (904) 547-0094")</f>
        <v>Silas Tanner, (904) 483-8423, Jimmy Tomazinis, (904) 547-0094</v>
      </c>
      <c r="O191" t="str">
        <f>IFERROR(__xludf.DUMMYFUNCTION("""COMPUTED_VALUE"""),"Hunter Mathews, Diane Downing")</f>
        <v>Hunter Mathews, Diane Downing</v>
      </c>
      <c r="P191" t="str">
        <f>IFERROR(__xludf.DUMMYFUNCTION("""COMPUTED_VALUE"""),"Jimmy Tomazinis")</f>
        <v>Jimmy Tomazinis</v>
      </c>
      <c r="Q191" t="str">
        <f>IFERROR(__xludf.DUMMYFUNCTION("""COMPUTED_VALUE"""),"Good")</f>
        <v>Good</v>
      </c>
      <c r="R191" t="str">
        <f>IFERROR(__xludf.DUMMYFUNCTION("""COMPUTED_VALUE"""),"Good")</f>
        <v>Good</v>
      </c>
      <c r="S191" t="str">
        <f>IFERROR(__xludf.DUMMYFUNCTION("""COMPUTED_VALUE"""),"Good")</f>
        <v>Good</v>
      </c>
      <c r="T191" t="str">
        <f>IFERROR(__xludf.DUMMYFUNCTION("""COMPUTED_VALUE"""),"Good")</f>
        <v>Good</v>
      </c>
      <c r="U191" t="str">
        <f>IFERROR(__xludf.DUMMYFUNCTION("""COMPUTED_VALUE"""),"Good")</f>
        <v>Good</v>
      </c>
      <c r="V191" t="str">
        <f>IFERROR(__xludf.DUMMYFUNCTION("""COMPUTED_VALUE"""),"Good")</f>
        <v>Good</v>
      </c>
      <c r="W191" t="str">
        <f>IFERROR(__xludf.DUMMYFUNCTION("""COMPUTED_VALUE"""),"Good")</f>
        <v>Good</v>
      </c>
      <c r="X191" t="str">
        <f>IFERROR(__xludf.DUMMYFUNCTION("""COMPUTED_VALUE"""),"Good")</f>
        <v>Good</v>
      </c>
      <c r="Y191" t="str">
        <f>IFERROR(__xludf.DUMMYFUNCTION("""COMPUTED_VALUE"""),"Good")</f>
        <v>Good</v>
      </c>
      <c r="Z191" t="str">
        <f>IFERROR(__xludf.DUMMYFUNCTION("""COMPUTED_VALUE"""),"Good")</f>
        <v>Good</v>
      </c>
      <c r="AA191" t="str">
        <f>IFERROR(__xludf.DUMMYFUNCTION("""COMPUTED_VALUE"""),"Good")</f>
        <v>Good</v>
      </c>
      <c r="AB191" t="str">
        <f>IFERROR(__xludf.DUMMYFUNCTION("""COMPUTED_VALUE"""),"Good")</f>
        <v>Good</v>
      </c>
      <c r="AC191" t="str">
        <f>IFERROR(__xludf.DUMMYFUNCTION("""COMPUTED_VALUE"""),"Good")</f>
        <v>Good</v>
      </c>
      <c r="AE191" s="11"/>
      <c r="AF191" t="s">
        <v>218</v>
      </c>
      <c r="AG191" s="17" t="s">
        <v>18</v>
      </c>
      <c r="AH191" s="12">
        <v>1250.0</v>
      </c>
      <c r="AI191" s="12" t="s">
        <v>521</v>
      </c>
      <c r="AJ191" s="19" t="s">
        <v>522</v>
      </c>
      <c r="AK191" s="20" t="str">
        <f>HYPERLINK("https://docs.google.com/document/d/17M5r-E0k9v_FKlTFq_QQgPbH7eVdZ0U53IGJR24U6D0/edit?usp=drivesdk","Silas Tanner - 11/6/2018 8:15 AM")</f>
        <v>Silas Tanner - 11/6/2018 8:15 AM</v>
      </c>
      <c r="AL191" s="12" t="s">
        <v>523</v>
      </c>
    </row>
    <row r="192">
      <c r="A192" s="10">
        <f>IFERROR(__xludf.DUMMYFUNCTION("""COMPUTED_VALUE"""),43409.51500508102)</f>
        <v>43409.51501</v>
      </c>
      <c r="B192" s="11" t="str">
        <f>IFERROR(__xludf.DUMMYFUNCTION("""COMPUTED_VALUE"""),"Emma Hanson")</f>
        <v>Emma Hanson</v>
      </c>
      <c r="C192" t="str">
        <f>IFERROR(__xludf.DUMMYFUNCTION("""COMPUTED_VALUE"""),"emma.hanson@dep.state.fl.us")</f>
        <v>emma.hanson@dep.state.fl.us</v>
      </c>
      <c r="D192" t="str">
        <f>IFERROR(__xludf.DUMMYFUNCTION("""COMPUTED_VALUE"""),"Research/Pam")</f>
        <v>Research/Pam</v>
      </c>
      <c r="E192" t="str">
        <f>IFERROR(__xludf.DUMMYFUNCTION("""COMPUTED_VALUE"""),"Aunt Kate's")</f>
        <v>Aunt Kate's</v>
      </c>
      <c r="F192" s="13">
        <f>IFERROR(__xludf.DUMMYFUNCTION("""COMPUTED_VALUE"""),0.5208333333321207)</f>
        <v>0.5208333333</v>
      </c>
      <c r="G192" s="14">
        <f>IFERROR(__xludf.DUMMYFUNCTION("""COMPUTED_VALUE"""),43409.0)</f>
        <v>43409</v>
      </c>
      <c r="H192" t="str">
        <f>IFERROR(__xludf.DUMMYFUNCTION("""COMPUTED_VALUE"""),"Pine &amp; Hat Island")</f>
        <v>Pine &amp; Hat Island</v>
      </c>
      <c r="I192" s="15">
        <f>IFERROR(__xludf.DUMMYFUNCTION("""COMPUTED_VALUE"""),0.6458333333321207)</f>
        <v>0.6458333333</v>
      </c>
      <c r="J192" s="16">
        <f>IFERROR(__xludf.DUMMYFUNCTION("""COMPUTED_VALUE"""),43409.64583333333)</f>
        <v>43409.64583</v>
      </c>
      <c r="K192" t="str">
        <f>IFERROR(__xludf.DUMMYFUNCTION("""COMPUTED_VALUE"""),"20ft Sea Ark FL5351SJ UNF 2015")</f>
        <v>20ft Sea Ark FL5351SJ UNF 2015</v>
      </c>
      <c r="M192" t="str">
        <f>IFERROR(__xludf.DUMMYFUNCTION("""COMPUTED_VALUE"""),"Ford F150 2008 - DEP18041 (SWMP Thing)")</f>
        <v>Ford F150 2008 - DEP18041 (SWMP Thing)</v>
      </c>
      <c r="N192" t="str">
        <f>IFERROR(__xludf.DUMMYFUNCTION("""COMPUTED_VALUE"""),"Ben Mowbray, (407) 962-8782")</f>
        <v>Ben Mowbray, (407) 962-8782</v>
      </c>
      <c r="O192" t="str">
        <f>IFERROR(__xludf.DUMMYFUNCTION("""COMPUTED_VALUE"""),"Emma Hanson")</f>
        <v>Emma Hanson</v>
      </c>
      <c r="P192" t="str">
        <f>IFERROR(__xludf.DUMMYFUNCTION("""COMPUTED_VALUE"""),"Ben Mowbray")</f>
        <v>Ben Mowbray</v>
      </c>
      <c r="Q192" t="str">
        <f>IFERROR(__xludf.DUMMYFUNCTION("""COMPUTED_VALUE"""),"Good")</f>
        <v>Good</v>
      </c>
      <c r="R192" t="str">
        <f>IFERROR(__xludf.DUMMYFUNCTION("""COMPUTED_VALUE"""),"Good")</f>
        <v>Good</v>
      </c>
      <c r="S192" t="str">
        <f>IFERROR(__xludf.DUMMYFUNCTION("""COMPUTED_VALUE"""),"Good")</f>
        <v>Good</v>
      </c>
      <c r="T192" t="str">
        <f>IFERROR(__xludf.DUMMYFUNCTION("""COMPUTED_VALUE"""),"Good")</f>
        <v>Good</v>
      </c>
      <c r="U192" t="str">
        <f>IFERROR(__xludf.DUMMYFUNCTION("""COMPUTED_VALUE"""),"Good")</f>
        <v>Good</v>
      </c>
      <c r="V192" t="str">
        <f>IFERROR(__xludf.DUMMYFUNCTION("""COMPUTED_VALUE"""),"Good")</f>
        <v>Good</v>
      </c>
      <c r="W192" t="str">
        <f>IFERROR(__xludf.DUMMYFUNCTION("""COMPUTED_VALUE"""),"Good")</f>
        <v>Good</v>
      </c>
      <c r="X192" t="str">
        <f>IFERROR(__xludf.DUMMYFUNCTION("""COMPUTED_VALUE"""),"Good")</f>
        <v>Good</v>
      </c>
      <c r="Y192" t="str">
        <f>IFERROR(__xludf.DUMMYFUNCTION("""COMPUTED_VALUE"""),"Good")</f>
        <v>Good</v>
      </c>
      <c r="Z192" t="str">
        <f>IFERROR(__xludf.DUMMYFUNCTION("""COMPUTED_VALUE"""),"Good")</f>
        <v>Good</v>
      </c>
      <c r="AA192" t="str">
        <f>IFERROR(__xludf.DUMMYFUNCTION("""COMPUTED_VALUE"""),"Good")</f>
        <v>Good</v>
      </c>
      <c r="AB192" t="str">
        <f>IFERROR(__xludf.DUMMYFUNCTION("""COMPUTED_VALUE"""),"Good")</f>
        <v>Good</v>
      </c>
      <c r="AC192" t="str">
        <f>IFERROR(__xludf.DUMMYFUNCTION("""COMPUTED_VALUE"""),"Good")</f>
        <v>Good</v>
      </c>
      <c r="AE192" s="11"/>
      <c r="AF192" t="s">
        <v>262</v>
      </c>
      <c r="AG192" s="17" t="s">
        <v>141</v>
      </c>
      <c r="AH192" s="23">
        <v>0.6861111111111111</v>
      </c>
      <c r="AI192" s="12" t="s">
        <v>524</v>
      </c>
      <c r="AJ192" s="19" t="s">
        <v>525</v>
      </c>
      <c r="AK192" s="20" t="str">
        <f>HYPERLINK("https://docs.google.com/document/d/1Hfjuh-87HyMgDwCqQ1yxd7fH8nLij__YzoKp6Zt-A88/edit?usp=drivesdk","Emma Hanson - 11/5/2018 12:30 PM")</f>
        <v>Emma Hanson - 11/5/2018 12:30 PM</v>
      </c>
      <c r="AL192" s="12" t="s">
        <v>526</v>
      </c>
    </row>
    <row r="193">
      <c r="A193" s="10">
        <f>IFERROR(__xludf.DUMMYFUNCTION("""COMPUTED_VALUE"""),43410.51771856481)</f>
        <v>43410.51772</v>
      </c>
      <c r="B193" s="11" t="str">
        <f>IFERROR(__xludf.DUMMYFUNCTION("""COMPUTED_VALUE"""),"Pam Marcum")</f>
        <v>Pam Marcum</v>
      </c>
      <c r="C193" t="str">
        <f>IFERROR(__xludf.DUMMYFUNCTION("""COMPUTED_VALUE"""),"Pamela.Marcum@dep.state.fl.us")</f>
        <v>Pamela.Marcum@dep.state.fl.us</v>
      </c>
      <c r="D193" t="str">
        <f>IFERROR(__xludf.DUMMYFUNCTION("""COMPUTED_VALUE"""),"Research/Nikki")</f>
        <v>Research/Nikki</v>
      </c>
      <c r="E193" t="str">
        <f>IFERROR(__xludf.DUMMYFUNCTION("""COMPUTED_VALUE"""),"Aunt Kate's")</f>
        <v>Aunt Kate's</v>
      </c>
      <c r="F193" s="13">
        <f>IFERROR(__xludf.DUMMYFUNCTION("""COMPUTED_VALUE"""),0.5416666666678793)</f>
        <v>0.5416666667</v>
      </c>
      <c r="G193" s="14">
        <f>IFERROR(__xludf.DUMMYFUNCTION("""COMPUTED_VALUE"""),43410.0)</f>
        <v>43410</v>
      </c>
      <c r="H193" t="str">
        <f>IFERROR(__xludf.DUMMYFUNCTION("""COMPUTED_VALUE"""),"Tolomat River/Pine Island")</f>
        <v>Tolomat River/Pine Island</v>
      </c>
      <c r="I193" s="15">
        <f>IFERROR(__xludf.DUMMYFUNCTION("""COMPUTED_VALUE"""),0.7083333333321207)</f>
        <v>0.7083333333</v>
      </c>
      <c r="J193" s="16">
        <f>IFERROR(__xludf.DUMMYFUNCTION("""COMPUTED_VALUE"""),43410.72916666667)</f>
        <v>43410.72917</v>
      </c>
      <c r="K193" t="str">
        <f>IFERROR(__xludf.DUMMYFUNCTION("""COMPUTED_VALUE"""),"20ft Sea Ark FL5351SJ UNF 2015")</f>
        <v>20ft Sea Ark FL5351SJ UNF 2015</v>
      </c>
      <c r="M193" t="str">
        <f>IFERROR(__xludf.DUMMYFUNCTION("""COMPUTED_VALUE"""),"Ford F150 2008 - DEP18041 (SWMP Thing)")</f>
        <v>Ford F150 2008 - DEP18041 (SWMP Thing)</v>
      </c>
      <c r="N193" t="str">
        <f>IFERROR(__xludf.DUMMYFUNCTION("""COMPUTED_VALUE"""),"Pam Marcum, (480) 332-5414, Annie Otto")</f>
        <v>Pam Marcum, (480) 332-5414, Annie Otto</v>
      </c>
      <c r="O193" t="str">
        <f>IFERROR(__xludf.DUMMYFUNCTION("""COMPUTED_VALUE"""),"Ray Grizzle")</f>
        <v>Ray Grizzle</v>
      </c>
      <c r="P193" t="str">
        <f>IFERROR(__xludf.DUMMYFUNCTION("""COMPUTED_VALUE"""),"Pam")</f>
        <v>Pam</v>
      </c>
      <c r="Q193" t="str">
        <f>IFERROR(__xludf.DUMMYFUNCTION("""COMPUTED_VALUE"""),"Good")</f>
        <v>Good</v>
      </c>
      <c r="R193" t="str">
        <f>IFERROR(__xludf.DUMMYFUNCTION("""COMPUTED_VALUE"""),"Good")</f>
        <v>Good</v>
      </c>
      <c r="S193" t="str">
        <f>IFERROR(__xludf.DUMMYFUNCTION("""COMPUTED_VALUE"""),"Good")</f>
        <v>Good</v>
      </c>
      <c r="T193" t="str">
        <f>IFERROR(__xludf.DUMMYFUNCTION("""COMPUTED_VALUE"""),"Good")</f>
        <v>Good</v>
      </c>
      <c r="U193" t="str">
        <f>IFERROR(__xludf.DUMMYFUNCTION("""COMPUTED_VALUE"""),"Good")</f>
        <v>Good</v>
      </c>
      <c r="V193" t="str">
        <f>IFERROR(__xludf.DUMMYFUNCTION("""COMPUTED_VALUE"""),"Good")</f>
        <v>Good</v>
      </c>
      <c r="W193" t="str">
        <f>IFERROR(__xludf.DUMMYFUNCTION("""COMPUTED_VALUE"""),"Good")</f>
        <v>Good</v>
      </c>
      <c r="X193" t="str">
        <f>IFERROR(__xludf.DUMMYFUNCTION("""COMPUTED_VALUE"""),"Good")</f>
        <v>Good</v>
      </c>
      <c r="Y193" t="str">
        <f>IFERROR(__xludf.DUMMYFUNCTION("""COMPUTED_VALUE"""),"Good")</f>
        <v>Good</v>
      </c>
      <c r="Z193" t="str">
        <f>IFERROR(__xludf.DUMMYFUNCTION("""COMPUTED_VALUE"""),"Good")</f>
        <v>Good</v>
      </c>
      <c r="AA193" t="str">
        <f>IFERROR(__xludf.DUMMYFUNCTION("""COMPUTED_VALUE"""),"Good")</f>
        <v>Good</v>
      </c>
      <c r="AB193" t="str">
        <f>IFERROR(__xludf.DUMMYFUNCTION("""COMPUTED_VALUE"""),"Good")</f>
        <v>Good</v>
      </c>
      <c r="AC193" t="str">
        <f>IFERROR(__xludf.DUMMYFUNCTION("""COMPUTED_VALUE"""),"Good")</f>
        <v>Good</v>
      </c>
      <c r="AE193" s="11"/>
      <c r="AF193" t="s">
        <v>218</v>
      </c>
      <c r="AG193" s="17" t="s">
        <v>128</v>
      </c>
      <c r="AH193" s="23">
        <v>0.6458333333333334</v>
      </c>
      <c r="AI193" s="12" t="s">
        <v>527</v>
      </c>
      <c r="AJ193" s="19" t="s">
        <v>528</v>
      </c>
      <c r="AK193" s="20" t="str">
        <f>HYPERLINK("https://docs.google.com/document/d/1OdROVKVnWNppbGnZBe8XQx4EcpL1Z_wheLxqjEAAvaY/edit?usp=drivesdk","Pam Marcum - 11/6/2018 1:00 PM")</f>
        <v>Pam Marcum - 11/6/2018 1:00 PM</v>
      </c>
      <c r="AL193" s="12" t="s">
        <v>529</v>
      </c>
    </row>
    <row r="194">
      <c r="A194" s="10">
        <f>IFERROR(__xludf.DUMMYFUNCTION("""COMPUTED_VALUE"""),43411.32920648148)</f>
        <v>43411.32921</v>
      </c>
      <c r="B194" s="11" t="str">
        <f>IFERROR(__xludf.DUMMYFUNCTION("""COMPUTED_VALUE"""),"James Tomazinis")</f>
        <v>James Tomazinis</v>
      </c>
      <c r="C194" t="str">
        <f>IFERROR(__xludf.DUMMYFUNCTION("""COMPUTED_VALUE"""),"james.tomazinis@floridadep.gov")</f>
        <v>james.tomazinis@floridadep.gov</v>
      </c>
      <c r="D194" t="str">
        <f>IFERROR(__xludf.DUMMYFUNCTION("""COMPUTED_VALUE"""),"Stewardship (Aquatic)")</f>
        <v>Stewardship (Aquatic)</v>
      </c>
      <c r="E194" t="str">
        <f>IFERROR(__xludf.DUMMYFUNCTION("""COMPUTED_VALUE"""),"Guana Dam")</f>
        <v>Guana Dam</v>
      </c>
      <c r="F194" s="13">
        <f>IFERROR(__xludf.DUMMYFUNCTION("""COMPUTED_VALUE"""),0.3541666666678793)</f>
        <v>0.3541666667</v>
      </c>
      <c r="G194" s="14">
        <f>IFERROR(__xludf.DUMMYFUNCTION("""COMPUTED_VALUE"""),43411.0)</f>
        <v>43411</v>
      </c>
      <c r="H194" t="str">
        <f>IFERROR(__xludf.DUMMYFUNCTION("""COMPUTED_VALUE"""),"Guana River WQ sites")</f>
        <v>Guana River WQ sites</v>
      </c>
      <c r="I194" s="15">
        <f>IFERROR(__xludf.DUMMYFUNCTION("""COMPUTED_VALUE"""),0.4270833333321207)</f>
        <v>0.4270833333</v>
      </c>
      <c r="J194" s="16"/>
      <c r="K194" t="str">
        <f>IFERROR(__xludf.DUMMYFUNCTION("""COMPUTED_VALUE"""),"Jon Boat FL0484NP DEP06819")</f>
        <v>Jon Boat FL0484NP DEP06819</v>
      </c>
      <c r="M194" t="str">
        <f>IFERROR(__xludf.DUMMYFUNCTION("""COMPUTED_VALUE"""),"Ford F150 2015 (White) - DEP21448")</f>
        <v>Ford F150 2015 (White) - DEP21448</v>
      </c>
      <c r="N194" t="str">
        <f>IFERROR(__xludf.DUMMYFUNCTION("""COMPUTED_VALUE"""),"Jimmy Tomazinis, (904) 547-0094")</f>
        <v>Jimmy Tomazinis, (904) 547-0094</v>
      </c>
      <c r="O194" t="str">
        <f>IFERROR(__xludf.DUMMYFUNCTION("""COMPUTED_VALUE"""),"Silas Tanner, (904) 483-8423")</f>
        <v>Silas Tanner, (904) 483-8423</v>
      </c>
      <c r="P194" t="str">
        <f>IFERROR(__xludf.DUMMYFUNCTION("""COMPUTED_VALUE"""),"Jimmy")</f>
        <v>Jimmy</v>
      </c>
      <c r="Q194" t="str">
        <f>IFERROR(__xludf.DUMMYFUNCTION("""COMPUTED_VALUE"""),"Good")</f>
        <v>Good</v>
      </c>
      <c r="R194" t="str">
        <f>IFERROR(__xludf.DUMMYFUNCTION("""COMPUTED_VALUE"""),"Good")</f>
        <v>Good</v>
      </c>
      <c r="S194" t="str">
        <f>IFERROR(__xludf.DUMMYFUNCTION("""COMPUTED_VALUE"""),"Good")</f>
        <v>Good</v>
      </c>
      <c r="T194" t="str">
        <f>IFERROR(__xludf.DUMMYFUNCTION("""COMPUTED_VALUE"""),"Good")</f>
        <v>Good</v>
      </c>
      <c r="U194" t="str">
        <f>IFERROR(__xludf.DUMMYFUNCTION("""COMPUTED_VALUE"""),"Good")</f>
        <v>Good</v>
      </c>
      <c r="V194" t="str">
        <f>IFERROR(__xludf.DUMMYFUNCTION("""COMPUTED_VALUE"""),"Good")</f>
        <v>Good</v>
      </c>
      <c r="W194" t="str">
        <f>IFERROR(__xludf.DUMMYFUNCTION("""COMPUTED_VALUE"""),"Good")</f>
        <v>Good</v>
      </c>
      <c r="X194" t="str">
        <f>IFERROR(__xludf.DUMMYFUNCTION("""COMPUTED_VALUE"""),"Good")</f>
        <v>Good</v>
      </c>
      <c r="Y194" t="str">
        <f>IFERROR(__xludf.DUMMYFUNCTION("""COMPUTED_VALUE"""),"Good")</f>
        <v>Good</v>
      </c>
      <c r="Z194" t="str">
        <f>IFERROR(__xludf.DUMMYFUNCTION("""COMPUTED_VALUE"""),"Good")</f>
        <v>Good</v>
      </c>
      <c r="AA194" t="str">
        <f>IFERROR(__xludf.DUMMYFUNCTION("""COMPUTED_VALUE"""),"Good")</f>
        <v>Good</v>
      </c>
      <c r="AB194" t="str">
        <f>IFERROR(__xludf.DUMMYFUNCTION("""COMPUTED_VALUE"""),"Good")</f>
        <v>Good</v>
      </c>
      <c r="AC194" t="str">
        <f>IFERROR(__xludf.DUMMYFUNCTION("""COMPUTED_VALUE"""),"Good")</f>
        <v>Good</v>
      </c>
      <c r="AE194" s="11"/>
      <c r="AF194" t="s">
        <v>32</v>
      </c>
      <c r="AG194" s="17" t="s">
        <v>18</v>
      </c>
      <c r="AH194" s="12">
        <v>1025.0</v>
      </c>
      <c r="AI194" s="12" t="s">
        <v>530</v>
      </c>
      <c r="AJ194" s="19" t="s">
        <v>531</v>
      </c>
      <c r="AK194" s="20" t="str">
        <f>HYPERLINK("https://docs.google.com/document/d/19Pl4hL-nT5KCVnZ4JEMGc1icTwYZpi4m7pzITqh2Uto/edit?usp=drivesdk","James Tomazinis - 11/7/2018 8:30 AM")</f>
        <v>James Tomazinis - 11/7/2018 8:30 AM</v>
      </c>
      <c r="AL194" s="12" t="s">
        <v>532</v>
      </c>
    </row>
    <row r="195">
      <c r="A195" s="10">
        <f>IFERROR(__xludf.DUMMYFUNCTION("""COMPUTED_VALUE"""),43412.719656030094)</f>
        <v>43412.71966</v>
      </c>
      <c r="B195" s="11" t="str">
        <f>IFERROR(__xludf.DUMMYFUNCTION("""COMPUTED_VALUE"""),"Pamela Marcum")</f>
        <v>Pamela Marcum</v>
      </c>
      <c r="C195" t="str">
        <f>IFERROR(__xludf.DUMMYFUNCTION("""COMPUTED_VALUE"""),"Pamela.Marcum@dep.state.fl.us")</f>
        <v>Pamela.Marcum@dep.state.fl.us</v>
      </c>
      <c r="D195" t="str">
        <f>IFERROR(__xludf.DUMMYFUNCTION("""COMPUTED_VALUE"""),"Research/Nikki")</f>
        <v>Research/Nikki</v>
      </c>
      <c r="E195" t="str">
        <f>IFERROR(__xludf.DUMMYFUNCTION("""COMPUTED_VALUE"""),"Crane Park - Shore Drive")</f>
        <v>Crane Park - Shore Drive</v>
      </c>
      <c r="F195" s="13">
        <f>IFERROR(__xludf.DUMMYFUNCTION("""COMPUTED_VALUE"""),0.3333333333321207)</f>
        <v>0.3333333333</v>
      </c>
      <c r="G195" s="14">
        <f>IFERROR(__xludf.DUMMYFUNCTION("""COMPUTED_VALUE"""),43413.0)</f>
        <v>43413</v>
      </c>
      <c r="H195" t="str">
        <f>IFERROR(__xludf.DUMMYFUNCTION("""COMPUTED_VALUE"""),"Marsh Creek")</f>
        <v>Marsh Creek</v>
      </c>
      <c r="I195" s="15">
        <f>IFERROR(__xludf.DUMMYFUNCTION("""COMPUTED_VALUE"""),0.5833333333321207)</f>
        <v>0.5833333333</v>
      </c>
      <c r="J195" s="16">
        <f>IFERROR(__xludf.DUMMYFUNCTION("""COMPUTED_VALUE"""),43412.625)</f>
        <v>43412.625</v>
      </c>
      <c r="K195" t="str">
        <f>IFERROR(__xludf.DUMMYFUNCTION("""COMPUTED_VALUE"""),"20ft Sea Ark FL5351SJ UNF 2015")</f>
        <v>20ft Sea Ark FL5351SJ UNF 2015</v>
      </c>
      <c r="M195" t="str">
        <f>IFERROR(__xludf.DUMMYFUNCTION("""COMPUTED_VALUE"""),"Ford F150 2008 - DEP18041 (SWMP Thing)")</f>
        <v>Ford F150 2008 - DEP18041 (SWMP Thing)</v>
      </c>
      <c r="N195" t="str">
        <f>IFERROR(__xludf.DUMMYFUNCTION("""COMPUTED_VALUE"""),"Pam Marcum, (480) 332-5414")</f>
        <v>Pam Marcum, (480) 332-5414</v>
      </c>
      <c r="O195" t="str">
        <f>IFERROR(__xludf.DUMMYFUNCTION("""COMPUTED_VALUE"""),"Matt Hayes, Chuck, Emily, Tess")</f>
        <v>Matt Hayes, Chuck, Emily, Tess</v>
      </c>
      <c r="P195" t="str">
        <f>IFERROR(__xludf.DUMMYFUNCTION("""COMPUTED_VALUE"""),"Pam")</f>
        <v>Pam</v>
      </c>
      <c r="Q195" t="str">
        <f>IFERROR(__xludf.DUMMYFUNCTION("""COMPUTED_VALUE"""),"Good")</f>
        <v>Good</v>
      </c>
      <c r="R195" t="str">
        <f>IFERROR(__xludf.DUMMYFUNCTION("""COMPUTED_VALUE"""),"Good")</f>
        <v>Good</v>
      </c>
      <c r="S195" t="str">
        <f>IFERROR(__xludf.DUMMYFUNCTION("""COMPUTED_VALUE"""),"Good")</f>
        <v>Good</v>
      </c>
      <c r="T195" t="str">
        <f>IFERROR(__xludf.DUMMYFUNCTION("""COMPUTED_VALUE"""),"Good")</f>
        <v>Good</v>
      </c>
      <c r="U195" t="str">
        <f>IFERROR(__xludf.DUMMYFUNCTION("""COMPUTED_VALUE"""),"Good")</f>
        <v>Good</v>
      </c>
      <c r="V195" t="str">
        <f>IFERROR(__xludf.DUMMYFUNCTION("""COMPUTED_VALUE"""),"Good")</f>
        <v>Good</v>
      </c>
      <c r="W195" t="str">
        <f>IFERROR(__xludf.DUMMYFUNCTION("""COMPUTED_VALUE"""),"Good")</f>
        <v>Good</v>
      </c>
      <c r="X195" t="str">
        <f>IFERROR(__xludf.DUMMYFUNCTION("""COMPUTED_VALUE"""),"Good")</f>
        <v>Good</v>
      </c>
      <c r="Y195" t="str">
        <f>IFERROR(__xludf.DUMMYFUNCTION("""COMPUTED_VALUE"""),"Good")</f>
        <v>Good</v>
      </c>
      <c r="Z195" t="str">
        <f>IFERROR(__xludf.DUMMYFUNCTION("""COMPUTED_VALUE"""),"Good")</f>
        <v>Good</v>
      </c>
      <c r="AA195" t="str">
        <f>IFERROR(__xludf.DUMMYFUNCTION("""COMPUTED_VALUE"""),"Good")</f>
        <v>Good</v>
      </c>
      <c r="AB195" t="str">
        <f>IFERROR(__xludf.DUMMYFUNCTION("""COMPUTED_VALUE"""),"Good")</f>
        <v>Good</v>
      </c>
      <c r="AC195" t="str">
        <f>IFERROR(__xludf.DUMMYFUNCTION("""COMPUTED_VALUE"""),"Good")</f>
        <v>Good</v>
      </c>
      <c r="AE195" s="11"/>
      <c r="AF195" t="s">
        <v>218</v>
      </c>
      <c r="AG195" s="17" t="s">
        <v>18</v>
      </c>
      <c r="AH195" s="12">
        <v>1600.0</v>
      </c>
      <c r="AI195" s="12" t="s">
        <v>533</v>
      </c>
      <c r="AJ195" s="19" t="s">
        <v>534</v>
      </c>
      <c r="AK195" s="20" t="str">
        <f>HYPERLINK("https://docs.google.com/document/d/1i7gzGMRtKsIfqsAqJWP2driUwJ2sHFfr9kkmwR3CAzc/edit?usp=drivesdk","Pamela Marcum - 11/9/2018 8:00 AM")</f>
        <v>Pamela Marcum - 11/9/2018 8:00 AM</v>
      </c>
      <c r="AL195" s="12" t="s">
        <v>535</v>
      </c>
    </row>
    <row r="196">
      <c r="A196" s="10">
        <f>IFERROR(__xludf.DUMMYFUNCTION("""COMPUTED_VALUE"""),43414.3412246412)</f>
        <v>43414.34122</v>
      </c>
      <c r="B196" s="11" t="str">
        <f>IFERROR(__xludf.DUMMYFUNCTION("""COMPUTED_VALUE"""),"Ben Mowbray")</f>
        <v>Ben Mowbray</v>
      </c>
      <c r="C196" t="str">
        <f>IFERROR(__xludf.DUMMYFUNCTION("""COMPUTED_VALUE"""),"ben.mowbray@dep.state.fl.us")</f>
        <v>ben.mowbray@dep.state.fl.us</v>
      </c>
      <c r="D196" t="str">
        <f>IFERROR(__xludf.DUMMYFUNCTION("""COMPUTED_VALUE"""),"Research/Nikki")</f>
        <v>Research/Nikki</v>
      </c>
      <c r="E196" t="str">
        <f>IFERROR(__xludf.DUMMYFUNCTION("""COMPUTED_VALUE"""),"Faver Dykes")</f>
        <v>Faver Dykes</v>
      </c>
      <c r="F196" s="13">
        <f>IFERROR(__xludf.DUMMYFUNCTION("""COMPUTED_VALUE"""),0.4166666666678793)</f>
        <v>0.4166666667</v>
      </c>
      <c r="G196" s="14">
        <f>IFERROR(__xludf.DUMMYFUNCTION("""COMPUTED_VALUE"""),43414.0)</f>
        <v>43414</v>
      </c>
      <c r="H196" t="str">
        <f>IFERROR(__xludf.DUMMYFUNCTION("""COMPUTED_VALUE"""),"Westernmost Transect")</f>
        <v>Westernmost Transect</v>
      </c>
      <c r="I196" s="15">
        <f>IFERROR(__xludf.DUMMYFUNCTION("""COMPUTED_VALUE"""),0.5)</f>
        <v>0.5</v>
      </c>
      <c r="J196" s="16">
        <f>IFERROR(__xludf.DUMMYFUNCTION("""COMPUTED_VALUE"""),43414.75)</f>
        <v>43414.75</v>
      </c>
      <c r="K196" t="str">
        <f>IFERROR(__xludf.DUMMYFUNCTION("""COMPUTED_VALUE"""),"20ft Sea Ark FL5351SJ UNF 2015")</f>
        <v>20ft Sea Ark FL5351SJ UNF 2015</v>
      </c>
      <c r="M196" t="str">
        <f>IFERROR(__xludf.DUMMYFUNCTION("""COMPUTED_VALUE"""),"Ford F150 2008 - DEP18041 (SWMP Thing)")</f>
        <v>Ford F150 2008 - DEP18041 (SWMP Thing)</v>
      </c>
      <c r="N196" t="str">
        <f>IFERROR(__xludf.DUMMYFUNCTION("""COMPUTED_VALUE"""),"Pam Marcum, (480) 332-5414, Ben Mowbray, (407) 962-8782")</f>
        <v>Pam Marcum, (480) 332-5414, Ben Mowbray, (407) 962-8782</v>
      </c>
      <c r="P196" t="str">
        <f>IFERROR(__xludf.DUMMYFUNCTION("""COMPUTED_VALUE"""),"Pam")</f>
        <v>Pam</v>
      </c>
      <c r="Q196" t="str">
        <f>IFERROR(__xludf.DUMMYFUNCTION("""COMPUTED_VALUE"""),"Good")</f>
        <v>Good</v>
      </c>
      <c r="R196" t="str">
        <f>IFERROR(__xludf.DUMMYFUNCTION("""COMPUTED_VALUE"""),"Good")</f>
        <v>Good</v>
      </c>
      <c r="S196" t="str">
        <f>IFERROR(__xludf.DUMMYFUNCTION("""COMPUTED_VALUE"""),"Good")</f>
        <v>Good</v>
      </c>
      <c r="T196" t="str">
        <f>IFERROR(__xludf.DUMMYFUNCTION("""COMPUTED_VALUE"""),"Good")</f>
        <v>Good</v>
      </c>
      <c r="U196" t="str">
        <f>IFERROR(__xludf.DUMMYFUNCTION("""COMPUTED_VALUE"""),"Good")</f>
        <v>Good</v>
      </c>
      <c r="V196" t="str">
        <f>IFERROR(__xludf.DUMMYFUNCTION("""COMPUTED_VALUE"""),"Good")</f>
        <v>Good</v>
      </c>
      <c r="W196" t="str">
        <f>IFERROR(__xludf.DUMMYFUNCTION("""COMPUTED_VALUE"""),"Good")</f>
        <v>Good</v>
      </c>
      <c r="X196" t="str">
        <f>IFERROR(__xludf.DUMMYFUNCTION("""COMPUTED_VALUE"""),"Good")</f>
        <v>Good</v>
      </c>
      <c r="Y196" t="str">
        <f>IFERROR(__xludf.DUMMYFUNCTION("""COMPUTED_VALUE"""),"Good")</f>
        <v>Good</v>
      </c>
      <c r="Z196" t="str">
        <f>IFERROR(__xludf.DUMMYFUNCTION("""COMPUTED_VALUE"""),"Good")</f>
        <v>Good</v>
      </c>
      <c r="AA196" t="str">
        <f>IFERROR(__xludf.DUMMYFUNCTION("""COMPUTED_VALUE"""),"Good")</f>
        <v>Good</v>
      </c>
      <c r="AB196" t="str">
        <f>IFERROR(__xludf.DUMMYFUNCTION("""COMPUTED_VALUE"""),"Good")</f>
        <v>Good</v>
      </c>
      <c r="AC196" t="str">
        <f>IFERROR(__xludf.DUMMYFUNCTION("""COMPUTED_VALUE"""),"Good")</f>
        <v>Good</v>
      </c>
      <c r="AE196" s="11"/>
      <c r="AF196" t="s">
        <v>218</v>
      </c>
      <c r="AG196" s="17" t="s">
        <v>43</v>
      </c>
      <c r="AH196" s="12">
        <v>1200.0</v>
      </c>
      <c r="AI196" s="12" t="s">
        <v>536</v>
      </c>
      <c r="AJ196" s="19" t="s">
        <v>537</v>
      </c>
      <c r="AK196" s="20" t="str">
        <f>HYPERLINK("https://docs.google.com/document/d/1633f9rTaCMPyS4IZy7tFzPfoCMpeoOCM4AqFBr6ZdaU/edit?usp=drivesdk","Ben Mowbray - 11/10/2018 10:00 AM")</f>
        <v>Ben Mowbray - 11/10/2018 10:00 AM</v>
      </c>
      <c r="AL196" s="12" t="s">
        <v>538</v>
      </c>
    </row>
    <row r="197">
      <c r="A197" s="10">
        <f>IFERROR(__xludf.DUMMYFUNCTION("""COMPUTED_VALUE"""),43417.557462129625)</f>
        <v>43417.55746</v>
      </c>
      <c r="B197" s="11" t="str">
        <f>IFERROR(__xludf.DUMMYFUNCTION("""COMPUTED_VALUE"""),"Pamela Marcum")</f>
        <v>Pamela Marcum</v>
      </c>
      <c r="C197" t="str">
        <f>IFERROR(__xludf.DUMMYFUNCTION("""COMPUTED_VALUE"""),"Pamela.Marcum@dep.state.fl.us")</f>
        <v>Pamela.Marcum@dep.state.fl.us</v>
      </c>
      <c r="D197" t="str">
        <f>IFERROR(__xludf.DUMMYFUNCTION("""COMPUTED_VALUE"""),"Research/Nikki")</f>
        <v>Research/Nikki</v>
      </c>
      <c r="E197" t="str">
        <f>IFERROR(__xludf.DUMMYFUNCTION("""COMPUTED_VALUE"""),"Aunt Kate's")</f>
        <v>Aunt Kate's</v>
      </c>
      <c r="F197" s="13">
        <f>IFERROR(__xludf.DUMMYFUNCTION("""COMPUTED_VALUE"""),0.5833333333321207)</f>
        <v>0.5833333333</v>
      </c>
      <c r="G197" s="14">
        <f>IFERROR(__xludf.DUMMYFUNCTION("""COMPUTED_VALUE"""),43417.0)</f>
        <v>43417</v>
      </c>
      <c r="H197" t="str">
        <f>IFERROR(__xludf.DUMMYFUNCTION("""COMPUTED_VALUE"""),"Pine Island then Hat Island")</f>
        <v>Pine Island then Hat Island</v>
      </c>
      <c r="I197" s="15">
        <f>IFERROR(__xludf.DUMMYFUNCTION("""COMPUTED_VALUE"""),0.6458333333321207)</f>
        <v>0.6458333333</v>
      </c>
      <c r="J197" s="16">
        <f>IFERROR(__xludf.DUMMYFUNCTION("""COMPUTED_VALUE"""),43417.66666666667)</f>
        <v>43417.66667</v>
      </c>
      <c r="K197" t="str">
        <f>IFERROR(__xludf.DUMMYFUNCTION("""COMPUTED_VALUE"""),"20ft Sea Ark FL5351SJ UNF 2015")</f>
        <v>20ft Sea Ark FL5351SJ UNF 2015</v>
      </c>
      <c r="M197" t="str">
        <f>IFERROR(__xludf.DUMMYFUNCTION("""COMPUTED_VALUE"""),"Ford F250 2017 (Moby Dix) - DEP0021578")</f>
        <v>Ford F250 2017 (Moby Dix) - DEP0021578</v>
      </c>
      <c r="N197" t="str">
        <f>IFERROR(__xludf.DUMMYFUNCTION("""COMPUTED_VALUE"""),"Pam Marcum, (480) 332-5414")</f>
        <v>Pam Marcum, (480) 332-5414</v>
      </c>
      <c r="O197" t="str">
        <f>IFERROR(__xludf.DUMMYFUNCTION("""COMPUTED_VALUE"""),"Michael Shirley, John Upton, Melissa")</f>
        <v>Michael Shirley, John Upton, Melissa</v>
      </c>
      <c r="P197" t="str">
        <f>IFERROR(__xludf.DUMMYFUNCTION("""COMPUTED_VALUE"""),"Pam")</f>
        <v>Pam</v>
      </c>
      <c r="Q197" t="str">
        <f>IFERROR(__xludf.DUMMYFUNCTION("""COMPUTED_VALUE"""),"Good")</f>
        <v>Good</v>
      </c>
      <c r="R197" t="str">
        <f>IFERROR(__xludf.DUMMYFUNCTION("""COMPUTED_VALUE"""),"Good")</f>
        <v>Good</v>
      </c>
      <c r="S197" t="str">
        <f>IFERROR(__xludf.DUMMYFUNCTION("""COMPUTED_VALUE"""),"Good")</f>
        <v>Good</v>
      </c>
      <c r="T197" t="str">
        <f>IFERROR(__xludf.DUMMYFUNCTION("""COMPUTED_VALUE"""),"Good")</f>
        <v>Good</v>
      </c>
      <c r="U197" t="str">
        <f>IFERROR(__xludf.DUMMYFUNCTION("""COMPUTED_VALUE"""),"Good")</f>
        <v>Good</v>
      </c>
      <c r="V197" t="str">
        <f>IFERROR(__xludf.DUMMYFUNCTION("""COMPUTED_VALUE"""),"Good")</f>
        <v>Good</v>
      </c>
      <c r="W197" t="str">
        <f>IFERROR(__xludf.DUMMYFUNCTION("""COMPUTED_VALUE"""),"Good")</f>
        <v>Good</v>
      </c>
      <c r="X197" t="str">
        <f>IFERROR(__xludf.DUMMYFUNCTION("""COMPUTED_VALUE"""),"Good")</f>
        <v>Good</v>
      </c>
      <c r="Y197" t="str">
        <f>IFERROR(__xludf.DUMMYFUNCTION("""COMPUTED_VALUE"""),"Good")</f>
        <v>Good</v>
      </c>
      <c r="Z197" t="str">
        <f>IFERROR(__xludf.DUMMYFUNCTION("""COMPUTED_VALUE"""),"Good")</f>
        <v>Good</v>
      </c>
      <c r="AA197" t="str">
        <f>IFERROR(__xludf.DUMMYFUNCTION("""COMPUTED_VALUE"""),"Good")</f>
        <v>Good</v>
      </c>
      <c r="AB197" t="str">
        <f>IFERROR(__xludf.DUMMYFUNCTION("""COMPUTED_VALUE"""),"Good")</f>
        <v>Good</v>
      </c>
      <c r="AC197" t="str">
        <f>IFERROR(__xludf.DUMMYFUNCTION("""COMPUTED_VALUE"""),"Good")</f>
        <v>Good</v>
      </c>
      <c r="AE197" s="11"/>
      <c r="AF197" t="s">
        <v>218</v>
      </c>
      <c r="AG197" s="18"/>
      <c r="AH197" s="12">
        <v>1600.0</v>
      </c>
      <c r="AI197" s="12" t="s">
        <v>539</v>
      </c>
      <c r="AJ197" s="19" t="s">
        <v>540</v>
      </c>
      <c r="AK197" s="20" t="str">
        <f>HYPERLINK("https://docs.google.com/document/d/1PL271tW_lqAUNom36USh5xQ5-3Fx9KBM5GmY4JnYfd4/edit?usp=drivesdk","Pamela Marcum - 11/13/2018 2:00 PM")</f>
        <v>Pamela Marcum - 11/13/2018 2:00 PM</v>
      </c>
      <c r="AL197" s="12" t="s">
        <v>541</v>
      </c>
    </row>
    <row r="198">
      <c r="A198" s="10">
        <f>IFERROR(__xludf.DUMMYFUNCTION("""COMPUTED_VALUE"""),43417.63059305556)</f>
        <v>43417.63059</v>
      </c>
      <c r="B198" s="11" t="str">
        <f>IFERROR(__xludf.DUMMYFUNCTION("""COMPUTED_VALUE"""),"Silas Tanner")</f>
        <v>Silas Tanner</v>
      </c>
      <c r="C198" t="str">
        <f>IFERROR(__xludf.DUMMYFUNCTION("""COMPUTED_VALUE"""),"silas.tanner@floridadep.gov")</f>
        <v>silas.tanner@floridadep.gov</v>
      </c>
      <c r="D198" t="str">
        <f>IFERROR(__xludf.DUMMYFUNCTION("""COMPUTED_VALUE"""),"Research/Nikki")</f>
        <v>Research/Nikki</v>
      </c>
      <c r="E198" t="str">
        <f>IFERROR(__xludf.DUMMYFUNCTION("""COMPUTED_VALUE"""),"Vilano county ramp")</f>
        <v>Vilano county ramp</v>
      </c>
      <c r="F198" s="13">
        <f>IFERROR(__xludf.DUMMYFUNCTION("""COMPUTED_VALUE"""),0.4375)</f>
        <v>0.4375</v>
      </c>
      <c r="G198" s="14">
        <f>IFERROR(__xludf.DUMMYFUNCTION("""COMPUTED_VALUE"""),43418.0)</f>
        <v>43418</v>
      </c>
      <c r="H198" t="str">
        <f>IFERROR(__xludf.DUMMYFUNCTION("""COMPUTED_VALUE"""),"ICW SWMP sites")</f>
        <v>ICW SWMP sites</v>
      </c>
      <c r="I198" s="15">
        <f>IFERROR(__xludf.DUMMYFUNCTION("""COMPUTED_VALUE"""),0.5833333333321207)</f>
        <v>0.5833333333</v>
      </c>
      <c r="J198" s="16">
        <f>IFERROR(__xludf.DUMMYFUNCTION("""COMPUTED_VALUE"""),43418.59375)</f>
        <v>43418.59375</v>
      </c>
      <c r="K198" t="str">
        <f>IFERROR(__xludf.DUMMYFUNCTION("""COMPUTED_VALUE"""),"20ft Sea Ark FL5351SJ UNF 2015")</f>
        <v>20ft Sea Ark FL5351SJ UNF 2015</v>
      </c>
      <c r="M198" t="str">
        <f>IFERROR(__xludf.DUMMYFUNCTION("""COMPUTED_VALUE"""),"Ford F250 2017 (Moby Dix) - DEP0021578")</f>
        <v>Ford F250 2017 (Moby Dix) - DEP0021578</v>
      </c>
      <c r="N198" t="str">
        <f>IFERROR(__xludf.DUMMYFUNCTION("""COMPUTED_VALUE"""),"Shannon Dunnigan, (803) 727-5734, Silas Tanner, (904) 483-8423")</f>
        <v>Shannon Dunnigan, (803) 727-5734, Silas Tanner, (904) 483-8423</v>
      </c>
      <c r="O198" t="str">
        <f>IFERROR(__xludf.DUMMYFUNCTION("""COMPUTED_VALUE"""),"Mike Darragh ")</f>
        <v>Mike Darragh </v>
      </c>
      <c r="P198" t="str">
        <f>IFERROR(__xludf.DUMMYFUNCTION("""COMPUTED_VALUE"""),"Dunnigan")</f>
        <v>Dunnigan</v>
      </c>
      <c r="Q198" t="str">
        <f>IFERROR(__xludf.DUMMYFUNCTION("""COMPUTED_VALUE"""),"Good")</f>
        <v>Good</v>
      </c>
      <c r="R198" t="str">
        <f>IFERROR(__xludf.DUMMYFUNCTION("""COMPUTED_VALUE"""),"Good")</f>
        <v>Good</v>
      </c>
      <c r="S198" t="str">
        <f>IFERROR(__xludf.DUMMYFUNCTION("""COMPUTED_VALUE"""),"Good")</f>
        <v>Good</v>
      </c>
      <c r="T198" t="str">
        <f>IFERROR(__xludf.DUMMYFUNCTION("""COMPUTED_VALUE"""),"Good")</f>
        <v>Good</v>
      </c>
      <c r="U198" t="str">
        <f>IFERROR(__xludf.DUMMYFUNCTION("""COMPUTED_VALUE"""),"Good")</f>
        <v>Good</v>
      </c>
      <c r="V198" t="str">
        <f>IFERROR(__xludf.DUMMYFUNCTION("""COMPUTED_VALUE"""),"Good")</f>
        <v>Good</v>
      </c>
      <c r="W198" t="str">
        <f>IFERROR(__xludf.DUMMYFUNCTION("""COMPUTED_VALUE"""),"Good")</f>
        <v>Good</v>
      </c>
      <c r="X198" t="str">
        <f>IFERROR(__xludf.DUMMYFUNCTION("""COMPUTED_VALUE"""),"Good")</f>
        <v>Good</v>
      </c>
      <c r="Y198" t="str">
        <f>IFERROR(__xludf.DUMMYFUNCTION("""COMPUTED_VALUE"""),"Good")</f>
        <v>Good</v>
      </c>
      <c r="Z198" t="str">
        <f>IFERROR(__xludf.DUMMYFUNCTION("""COMPUTED_VALUE"""),"Good")</f>
        <v>Good</v>
      </c>
      <c r="AA198" t="str">
        <f>IFERROR(__xludf.DUMMYFUNCTION("""COMPUTED_VALUE"""),"Good")</f>
        <v>Good</v>
      </c>
      <c r="AB198" t="str">
        <f>IFERROR(__xludf.DUMMYFUNCTION("""COMPUTED_VALUE"""),"Good")</f>
        <v>Good</v>
      </c>
      <c r="AC198" t="str">
        <f>IFERROR(__xludf.DUMMYFUNCTION("""COMPUTED_VALUE"""),"Good")</f>
        <v>Good</v>
      </c>
      <c r="AE198" s="11"/>
      <c r="AF198" t="s">
        <v>218</v>
      </c>
      <c r="AG198" s="18"/>
      <c r="AI198" s="12" t="s">
        <v>542</v>
      </c>
      <c r="AJ198" s="19" t="s">
        <v>543</v>
      </c>
      <c r="AK198" s="20" t="str">
        <f>HYPERLINK("https://docs.google.com/document/d/1kbvT1CsqWVSgIaGJKDYhYIm_4ojgiC2OS4qGLdNc4tI/edit?usp=drivesdk","Silas Tanner - 11/14/2018 10:30 AM")</f>
        <v>Silas Tanner - 11/14/2018 10:30 AM</v>
      </c>
      <c r="AL198" s="12" t="s">
        <v>544</v>
      </c>
    </row>
    <row r="199">
      <c r="A199" s="10">
        <f>IFERROR(__xludf.DUMMYFUNCTION("""COMPUTED_VALUE"""),43419.43572765047)</f>
        <v>43419.43573</v>
      </c>
      <c r="B199" s="11" t="str">
        <f>IFERROR(__xludf.DUMMYFUNCTION("""COMPUTED_VALUE"""),"Silas Tanner")</f>
        <v>Silas Tanner</v>
      </c>
      <c r="C199" t="str">
        <f>IFERROR(__xludf.DUMMYFUNCTION("""COMPUTED_VALUE"""),"silas.tanner@floridadep.gov")</f>
        <v>silas.tanner@floridadep.gov</v>
      </c>
      <c r="D199" t="str">
        <f>IFERROR(__xludf.DUMMYFUNCTION("""COMPUTED_VALUE"""),"Research/Nikki")</f>
        <v>Research/Nikki</v>
      </c>
      <c r="E199" t="str">
        <f>IFERROR(__xludf.DUMMYFUNCTION("""COMPUTED_VALUE"""),"Vilano county ramp")</f>
        <v>Vilano county ramp</v>
      </c>
      <c r="F199" s="13">
        <f>IFERROR(__xludf.DUMMYFUNCTION("""COMPUTED_VALUE"""),0.4583333333321207)</f>
        <v>0.4583333333</v>
      </c>
      <c r="G199" s="14">
        <f>IFERROR(__xludf.DUMMYFUNCTION("""COMPUTED_VALUE"""),43419.0)</f>
        <v>43419</v>
      </c>
      <c r="H199" t="str">
        <f>IFERROR(__xludf.DUMMYFUNCTION("""COMPUTED_VALUE"""),"ICW - SWMP sites")</f>
        <v>ICW - SWMP sites</v>
      </c>
      <c r="I199" s="15">
        <f>IFERROR(__xludf.DUMMYFUNCTION("""COMPUTED_VALUE"""),0.625)</f>
        <v>0.625</v>
      </c>
      <c r="J199" s="16">
        <f>IFERROR(__xludf.DUMMYFUNCTION("""COMPUTED_VALUE"""),43419.63541666667)</f>
        <v>43419.63542</v>
      </c>
      <c r="K199" t="str">
        <f>IFERROR(__xludf.DUMMYFUNCTION("""COMPUTED_VALUE"""),"20ft Sea Ark FL5351SJ UNF 2015")</f>
        <v>20ft Sea Ark FL5351SJ UNF 2015</v>
      </c>
      <c r="M199" t="str">
        <f>IFERROR(__xludf.DUMMYFUNCTION("""COMPUTED_VALUE"""),"Ford F250 2017 (Moby Dix) - DEP0021578")</f>
        <v>Ford F250 2017 (Moby Dix) - DEP0021578</v>
      </c>
      <c r="N199" t="str">
        <f>IFERROR(__xludf.DUMMYFUNCTION("""COMPUTED_VALUE"""),"Silas Tanner, (904) 483-8423")</f>
        <v>Silas Tanner, (904) 483-8423</v>
      </c>
      <c r="O199" t="str">
        <f>IFERROR(__xludf.DUMMYFUNCTION("""COMPUTED_VALUE"""),"Hunter Mathews, Mike Darragh")</f>
        <v>Hunter Mathews, Mike Darragh</v>
      </c>
      <c r="P199" t="str">
        <f>IFERROR(__xludf.DUMMYFUNCTION("""COMPUTED_VALUE"""),"S. Tanner")</f>
        <v>S. Tanner</v>
      </c>
      <c r="Q199" t="str">
        <f>IFERROR(__xludf.DUMMYFUNCTION("""COMPUTED_VALUE"""),"Good")</f>
        <v>Good</v>
      </c>
      <c r="R199" t="str">
        <f>IFERROR(__xludf.DUMMYFUNCTION("""COMPUTED_VALUE"""),"Good")</f>
        <v>Good</v>
      </c>
      <c r="S199" t="str">
        <f>IFERROR(__xludf.DUMMYFUNCTION("""COMPUTED_VALUE"""),"Good")</f>
        <v>Good</v>
      </c>
      <c r="T199" t="str">
        <f>IFERROR(__xludf.DUMMYFUNCTION("""COMPUTED_VALUE"""),"Good")</f>
        <v>Good</v>
      </c>
      <c r="U199" t="str">
        <f>IFERROR(__xludf.DUMMYFUNCTION("""COMPUTED_VALUE"""),"Good")</f>
        <v>Good</v>
      </c>
      <c r="V199" t="str">
        <f>IFERROR(__xludf.DUMMYFUNCTION("""COMPUTED_VALUE"""),"Good")</f>
        <v>Good</v>
      </c>
      <c r="W199" t="str">
        <f>IFERROR(__xludf.DUMMYFUNCTION("""COMPUTED_VALUE"""),"Good")</f>
        <v>Good</v>
      </c>
      <c r="X199" t="str">
        <f>IFERROR(__xludf.DUMMYFUNCTION("""COMPUTED_VALUE"""),"Good")</f>
        <v>Good</v>
      </c>
      <c r="Y199" t="str">
        <f>IFERROR(__xludf.DUMMYFUNCTION("""COMPUTED_VALUE"""),"Good")</f>
        <v>Good</v>
      </c>
      <c r="Z199" t="str">
        <f>IFERROR(__xludf.DUMMYFUNCTION("""COMPUTED_VALUE"""),"Good")</f>
        <v>Good</v>
      </c>
      <c r="AA199" t="str">
        <f>IFERROR(__xludf.DUMMYFUNCTION("""COMPUTED_VALUE"""),"Good")</f>
        <v>Good</v>
      </c>
      <c r="AB199" t="str">
        <f>IFERROR(__xludf.DUMMYFUNCTION("""COMPUTED_VALUE"""),"Good")</f>
        <v>Good</v>
      </c>
      <c r="AC199" t="str">
        <f>IFERROR(__xludf.DUMMYFUNCTION("""COMPUTED_VALUE"""),"Good")</f>
        <v>Good</v>
      </c>
      <c r="AE199" s="11"/>
      <c r="AF199" t="s">
        <v>218</v>
      </c>
      <c r="AG199" s="17" t="s">
        <v>128</v>
      </c>
      <c r="AH199" s="12">
        <v>1430.0</v>
      </c>
      <c r="AI199" s="12" t="s">
        <v>545</v>
      </c>
      <c r="AJ199" s="19" t="s">
        <v>546</v>
      </c>
      <c r="AK199" s="20" t="str">
        <f>HYPERLINK("https://docs.google.com/document/d/1Ro8NJhnFBHEkHT8r9UkoHcGushyxmf7T7UxF2d3EPTo/edit?usp=drivesdk","Silas Tanner - 11/15/2018 11:00 AM")</f>
        <v>Silas Tanner - 11/15/2018 11:00 AM</v>
      </c>
      <c r="AL199" s="12" t="s">
        <v>547</v>
      </c>
    </row>
    <row r="200">
      <c r="A200" s="10">
        <f>IFERROR(__xludf.DUMMYFUNCTION("""COMPUTED_VALUE"""),43430.614870833335)</f>
        <v>43430.61487</v>
      </c>
      <c r="B200" s="11" t="str">
        <f>IFERROR(__xludf.DUMMYFUNCTION("""COMPUTED_VALUE"""),"Ben Mowbray")</f>
        <v>Ben Mowbray</v>
      </c>
      <c r="C200" t="str">
        <f>IFERROR(__xludf.DUMMYFUNCTION("""COMPUTED_VALUE"""),"ben.mowbray@dep.state.fl.us")</f>
        <v>ben.mowbray@dep.state.fl.us</v>
      </c>
      <c r="D200" t="str">
        <f>IFERROR(__xludf.DUMMYFUNCTION("""COMPUTED_VALUE"""),"Research/Pam")</f>
        <v>Research/Pam</v>
      </c>
      <c r="E200" t="str">
        <f>IFERROR(__xludf.DUMMYFUNCTION("""COMPUTED_VALUE"""),"Douglas Crane")</f>
        <v>Douglas Crane</v>
      </c>
      <c r="F200" s="13">
        <f>IFERROR(__xludf.DUMMYFUNCTION("""COMPUTED_VALUE"""),0.6111111111094942)</f>
        <v>0.6111111111</v>
      </c>
      <c r="G200" s="14">
        <f>IFERROR(__xludf.DUMMYFUNCTION("""COMPUTED_VALUE"""),43431.0)</f>
        <v>43431</v>
      </c>
      <c r="H200" t="str">
        <f>IFERROR(__xludf.DUMMYFUNCTION("""COMPUTED_VALUE"""),"Chapman site and Marsh monitoring platforms")</f>
        <v>Chapman site and Marsh monitoring platforms</v>
      </c>
      <c r="I200" s="15">
        <f>IFERROR(__xludf.DUMMYFUNCTION("""COMPUTED_VALUE"""),0.6805555555547471)</f>
        <v>0.6805555556</v>
      </c>
      <c r="J200" s="16">
        <f>IFERROR(__xludf.DUMMYFUNCTION("""COMPUTED_VALUE"""),43431.70833333333)</f>
        <v>43431.70833</v>
      </c>
      <c r="K200" t="str">
        <f>IFERROR(__xludf.DUMMYFUNCTION("""COMPUTED_VALUE"""),"20ft Sea Ark FL5351SJ UNF 2015")</f>
        <v>20ft Sea Ark FL5351SJ UNF 2015</v>
      </c>
      <c r="M200" t="str">
        <f>IFERROR(__xludf.DUMMYFUNCTION("""COMPUTED_VALUE"""),"Ford F250 2017 (Moby Dix) - DEP0021578")</f>
        <v>Ford F250 2017 (Moby Dix) - DEP0021578</v>
      </c>
      <c r="N200" t="str">
        <f>IFERROR(__xludf.DUMMYFUNCTION("""COMPUTED_VALUE"""),"Ben Mowbray, (407) 962-8782")</f>
        <v>Ben Mowbray, (407) 962-8782</v>
      </c>
      <c r="O200" t="str">
        <f>IFERROR(__xludf.DUMMYFUNCTION("""COMPUTED_VALUE"""),"Gabby")</f>
        <v>Gabby</v>
      </c>
      <c r="P200" t="str">
        <f>IFERROR(__xludf.DUMMYFUNCTION("""COMPUTED_VALUE"""),"Ben")</f>
        <v>Ben</v>
      </c>
      <c r="Q200" t="str">
        <f>IFERROR(__xludf.DUMMYFUNCTION("""COMPUTED_VALUE"""),"Good")</f>
        <v>Good</v>
      </c>
      <c r="R200" t="str">
        <f>IFERROR(__xludf.DUMMYFUNCTION("""COMPUTED_VALUE"""),"Good")</f>
        <v>Good</v>
      </c>
      <c r="S200" t="str">
        <f>IFERROR(__xludf.DUMMYFUNCTION("""COMPUTED_VALUE"""),"Good")</f>
        <v>Good</v>
      </c>
      <c r="T200" t="str">
        <f>IFERROR(__xludf.DUMMYFUNCTION("""COMPUTED_VALUE"""),"Good")</f>
        <v>Good</v>
      </c>
      <c r="U200" t="str">
        <f>IFERROR(__xludf.DUMMYFUNCTION("""COMPUTED_VALUE"""),"Good")</f>
        <v>Good</v>
      </c>
      <c r="V200" t="str">
        <f>IFERROR(__xludf.DUMMYFUNCTION("""COMPUTED_VALUE"""),"Good")</f>
        <v>Good</v>
      </c>
      <c r="W200" t="str">
        <f>IFERROR(__xludf.DUMMYFUNCTION("""COMPUTED_VALUE"""),"Good")</f>
        <v>Good</v>
      </c>
      <c r="X200" t="str">
        <f>IFERROR(__xludf.DUMMYFUNCTION("""COMPUTED_VALUE"""),"Good")</f>
        <v>Good</v>
      </c>
      <c r="Y200" t="str">
        <f>IFERROR(__xludf.DUMMYFUNCTION("""COMPUTED_VALUE"""),"Good")</f>
        <v>Good</v>
      </c>
      <c r="Z200" t="str">
        <f>IFERROR(__xludf.DUMMYFUNCTION("""COMPUTED_VALUE"""),"Good")</f>
        <v>Good</v>
      </c>
      <c r="AA200" t="str">
        <f>IFERROR(__xludf.DUMMYFUNCTION("""COMPUTED_VALUE"""),"Good")</f>
        <v>Good</v>
      </c>
      <c r="AB200" t="str">
        <f>IFERROR(__xludf.DUMMYFUNCTION("""COMPUTED_VALUE"""),"Good")</f>
        <v>Good</v>
      </c>
      <c r="AC200" t="str">
        <f>IFERROR(__xludf.DUMMYFUNCTION("""COMPUTED_VALUE"""),"Good")</f>
        <v>Good</v>
      </c>
      <c r="AE200" s="11"/>
      <c r="AF200" t="s">
        <v>262</v>
      </c>
      <c r="AG200" s="17" t="s">
        <v>141</v>
      </c>
      <c r="AH200" s="12">
        <v>1620.0</v>
      </c>
      <c r="AI200" s="12" t="s">
        <v>548</v>
      </c>
      <c r="AJ200" s="19" t="s">
        <v>549</v>
      </c>
      <c r="AK200" s="20" t="str">
        <f>HYPERLINK("https://docs.google.com/document/d/1oCIbNyJwXRwNMINWHnLOK0AHi7aUYV5hxePSeCyfP2Q/edit?usp=drivesdk","Ben Mowbray - 11/27/2018 2:40 PM")</f>
        <v>Ben Mowbray - 11/27/2018 2:40 PM</v>
      </c>
      <c r="AL200" s="12" t="s">
        <v>550</v>
      </c>
    </row>
    <row r="201">
      <c r="A201" s="10">
        <f>IFERROR(__xludf.DUMMYFUNCTION("""COMPUTED_VALUE"""),43431.75820157407)</f>
        <v>43431.7582</v>
      </c>
      <c r="B201" s="11" t="str">
        <f>IFERROR(__xludf.DUMMYFUNCTION("""COMPUTED_VALUE"""),"Ben Mowbray")</f>
        <v>Ben Mowbray</v>
      </c>
      <c r="C201" t="str">
        <f>IFERROR(__xludf.DUMMYFUNCTION("""COMPUTED_VALUE"""),"ben.mowbray@dep.state.fl.us")</f>
        <v>ben.mowbray@dep.state.fl.us</v>
      </c>
      <c r="D201" t="str">
        <f>IFERROR(__xludf.DUMMYFUNCTION("""COMPUTED_VALUE"""),"Research/Nikki")</f>
        <v>Research/Nikki</v>
      </c>
      <c r="E201" t="str">
        <f>IFERROR(__xludf.DUMMYFUNCTION("""COMPUTED_VALUE"""),"Green Road")</f>
        <v>Green Road</v>
      </c>
      <c r="F201" s="13">
        <f>IFERROR(__xludf.DUMMYFUNCTION("""COMPUTED_VALUE"""),0.40972222222262644)</f>
        <v>0.4097222222</v>
      </c>
      <c r="G201" s="14">
        <f>IFERROR(__xludf.DUMMYFUNCTION("""COMPUTED_VALUE"""),43431.0)</f>
        <v>43431</v>
      </c>
      <c r="H201" t="str">
        <f>IFERROR(__xludf.DUMMYFUNCTION("""COMPUTED_VALUE"""),"Moses Creek, Devil's Elbow")</f>
        <v>Moses Creek, Devil's Elbow</v>
      </c>
      <c r="I201" s="15">
        <f>IFERROR(__xludf.DUMMYFUNCTION("""COMPUTED_VALUE"""),0.6666666666678793)</f>
        <v>0.6666666667</v>
      </c>
      <c r="J201" s="16">
        <f>IFERROR(__xludf.DUMMYFUNCTION("""COMPUTED_VALUE"""),43431.72222222222)</f>
        <v>43431.72222</v>
      </c>
      <c r="K201" t="str">
        <f>IFERROR(__xludf.DUMMYFUNCTION("""COMPUTED_VALUE"""),"20ft Sea Ark FL5351SJ UNF 2015")</f>
        <v>20ft Sea Ark FL5351SJ UNF 2015</v>
      </c>
      <c r="M201" t="str">
        <f>IFERROR(__xludf.DUMMYFUNCTION("""COMPUTED_VALUE"""),"Ford F250 2017 (Moby Dix) - DEP0021578")</f>
        <v>Ford F250 2017 (Moby Dix) - DEP0021578</v>
      </c>
      <c r="N201" t="str">
        <f>IFERROR(__xludf.DUMMYFUNCTION("""COMPUTED_VALUE"""),"Ben Mowbray, (407) 962-8782")</f>
        <v>Ben Mowbray, (407) 962-8782</v>
      </c>
      <c r="O201" t="str">
        <f>IFERROR(__xludf.DUMMYFUNCTION("""COMPUTED_VALUE"""),"Nicole Peckham, Rodrigo Pavani, Adrienne Brief-Pilz")</f>
        <v>Nicole Peckham, Rodrigo Pavani, Adrienne Brief-Pilz</v>
      </c>
      <c r="P201" t="str">
        <f>IFERROR(__xludf.DUMMYFUNCTION("""COMPUTED_VALUE"""),"Ben")</f>
        <v>Ben</v>
      </c>
      <c r="Q201" t="str">
        <f>IFERROR(__xludf.DUMMYFUNCTION("""COMPUTED_VALUE"""),"Good")</f>
        <v>Good</v>
      </c>
      <c r="R201" t="str">
        <f>IFERROR(__xludf.DUMMYFUNCTION("""COMPUTED_VALUE"""),"Good")</f>
        <v>Good</v>
      </c>
      <c r="S201" t="str">
        <f>IFERROR(__xludf.DUMMYFUNCTION("""COMPUTED_VALUE"""),"Good")</f>
        <v>Good</v>
      </c>
      <c r="T201" t="str">
        <f>IFERROR(__xludf.DUMMYFUNCTION("""COMPUTED_VALUE"""),"Good")</f>
        <v>Good</v>
      </c>
      <c r="U201" t="str">
        <f>IFERROR(__xludf.DUMMYFUNCTION("""COMPUTED_VALUE"""),"Good")</f>
        <v>Good</v>
      </c>
      <c r="V201" t="str">
        <f>IFERROR(__xludf.DUMMYFUNCTION("""COMPUTED_VALUE"""),"Good")</f>
        <v>Good</v>
      </c>
      <c r="W201" t="str">
        <f>IFERROR(__xludf.DUMMYFUNCTION("""COMPUTED_VALUE"""),"Good")</f>
        <v>Good</v>
      </c>
      <c r="X201" t="str">
        <f>IFERROR(__xludf.DUMMYFUNCTION("""COMPUTED_VALUE"""),"Good")</f>
        <v>Good</v>
      </c>
      <c r="Y201" t="str">
        <f>IFERROR(__xludf.DUMMYFUNCTION("""COMPUTED_VALUE"""),"Good")</f>
        <v>Good</v>
      </c>
      <c r="Z201" t="str">
        <f>IFERROR(__xludf.DUMMYFUNCTION("""COMPUTED_VALUE"""),"Good")</f>
        <v>Good</v>
      </c>
      <c r="AA201" t="str">
        <f>IFERROR(__xludf.DUMMYFUNCTION("""COMPUTED_VALUE"""),"Good")</f>
        <v>Good</v>
      </c>
      <c r="AB201" t="str">
        <f>IFERROR(__xludf.DUMMYFUNCTION("""COMPUTED_VALUE"""),"Good")</f>
        <v>Good</v>
      </c>
      <c r="AC201" t="str">
        <f>IFERROR(__xludf.DUMMYFUNCTION("""COMPUTED_VALUE"""),"Good")</f>
        <v>Good</v>
      </c>
      <c r="AE201" s="11"/>
      <c r="AF201" t="s">
        <v>218</v>
      </c>
      <c r="AG201" s="17" t="s">
        <v>448</v>
      </c>
      <c r="AH201" s="12">
        <v>1215.0</v>
      </c>
      <c r="AI201" s="12" t="s">
        <v>551</v>
      </c>
      <c r="AJ201" s="19" t="s">
        <v>552</v>
      </c>
      <c r="AK201" s="20" t="str">
        <f>HYPERLINK("https://docs.google.com/document/d/1UytU1qoyfwDOxvXCNFzuyxYJSlOMrr0F6BOQspPMTz0/edit?usp=drivesdk","Ben Mowbray - 11/27/2018 9:50 AM")</f>
        <v>Ben Mowbray - 11/27/2018 9:50 AM</v>
      </c>
      <c r="AL201" s="12" t="s">
        <v>553</v>
      </c>
    </row>
    <row r="202">
      <c r="A202" s="10">
        <f>IFERROR(__xludf.DUMMYFUNCTION("""COMPUTED_VALUE"""),43433.29053157407)</f>
        <v>43433.29053</v>
      </c>
      <c r="B202" s="11" t="str">
        <f>IFERROR(__xludf.DUMMYFUNCTION("""COMPUTED_VALUE"""),"Ben Mowbray")</f>
        <v>Ben Mowbray</v>
      </c>
      <c r="C202" t="str">
        <f>IFERROR(__xludf.DUMMYFUNCTION("""COMPUTED_VALUE"""),"ben.mowbray@dep.state.fl.us")</f>
        <v>ben.mowbray@dep.state.fl.us</v>
      </c>
      <c r="D202" t="str">
        <f>IFERROR(__xludf.DUMMYFUNCTION("""COMPUTED_VALUE"""),"Research/Pam")</f>
        <v>Research/Pam</v>
      </c>
      <c r="E202" t="str">
        <f>IFERROR(__xludf.DUMMYFUNCTION("""COMPUTED_VALUE"""),"Whitney")</f>
        <v>Whitney</v>
      </c>
      <c r="F202" s="13">
        <f>IFERROR(__xludf.DUMMYFUNCTION("""COMPUTED_VALUE"""),0.34722222222262644)</f>
        <v>0.3472222222</v>
      </c>
      <c r="G202" s="14">
        <f>IFERROR(__xludf.DUMMYFUNCTION("""COMPUTED_VALUE"""),43433.0)</f>
        <v>43433</v>
      </c>
      <c r="H202" t="str">
        <f>IFERROR(__xludf.DUMMYFUNCTION("""COMPUTED_VALUE"""),"Pellicer and Devil's Elbow reefs")</f>
        <v>Pellicer and Devil's Elbow reefs</v>
      </c>
      <c r="I202" s="15">
        <f>IFERROR(__xludf.DUMMYFUNCTION("""COMPUTED_VALUE"""),0.5833333333321207)</f>
        <v>0.5833333333</v>
      </c>
      <c r="J202" s="16">
        <f>IFERROR(__xludf.DUMMYFUNCTION("""COMPUTED_VALUE"""),43433.63888888889)</f>
        <v>43433.63889</v>
      </c>
      <c r="K202" t="str">
        <f>IFERROR(__xludf.DUMMYFUNCTION("""COMPUTED_VALUE"""),"20ft Sea Ark FL5351SJ UNF 2015")</f>
        <v>20ft Sea Ark FL5351SJ UNF 2015</v>
      </c>
      <c r="M202" t="str">
        <f>IFERROR(__xludf.DUMMYFUNCTION("""COMPUTED_VALUE"""),"Ford F250 2017 (Moby Dix) - DEP0021578")</f>
        <v>Ford F250 2017 (Moby Dix) - DEP0021578</v>
      </c>
      <c r="N202" t="str">
        <f>IFERROR(__xludf.DUMMYFUNCTION("""COMPUTED_VALUE"""),"Ben Mowbray, (407) 962-8782")</f>
        <v>Ben Mowbray, (407) 962-8782</v>
      </c>
      <c r="O202" t="str">
        <f>IFERROR(__xludf.DUMMYFUNCTION("""COMPUTED_VALUE"""),"Nicole Peckham, Adrienne Brief-Pilz")</f>
        <v>Nicole Peckham, Adrienne Brief-Pilz</v>
      </c>
      <c r="P202" t="str">
        <f>IFERROR(__xludf.DUMMYFUNCTION("""COMPUTED_VALUE"""),"Ben")</f>
        <v>Ben</v>
      </c>
      <c r="Q202" t="str">
        <f>IFERROR(__xludf.DUMMYFUNCTION("""COMPUTED_VALUE"""),"Good")</f>
        <v>Good</v>
      </c>
      <c r="R202" t="str">
        <f>IFERROR(__xludf.DUMMYFUNCTION("""COMPUTED_VALUE"""),"Good")</f>
        <v>Good</v>
      </c>
      <c r="S202" t="str">
        <f>IFERROR(__xludf.DUMMYFUNCTION("""COMPUTED_VALUE"""),"Good")</f>
        <v>Good</v>
      </c>
      <c r="T202" t="str">
        <f>IFERROR(__xludf.DUMMYFUNCTION("""COMPUTED_VALUE"""),"Good")</f>
        <v>Good</v>
      </c>
      <c r="U202" t="str">
        <f>IFERROR(__xludf.DUMMYFUNCTION("""COMPUTED_VALUE"""),"Good")</f>
        <v>Good</v>
      </c>
      <c r="V202" t="str">
        <f>IFERROR(__xludf.DUMMYFUNCTION("""COMPUTED_VALUE"""),"Good")</f>
        <v>Good</v>
      </c>
      <c r="W202" t="str">
        <f>IFERROR(__xludf.DUMMYFUNCTION("""COMPUTED_VALUE"""),"Good")</f>
        <v>Good</v>
      </c>
      <c r="X202" t="str">
        <f>IFERROR(__xludf.DUMMYFUNCTION("""COMPUTED_VALUE"""),"Good")</f>
        <v>Good</v>
      </c>
      <c r="Y202" t="str">
        <f>IFERROR(__xludf.DUMMYFUNCTION("""COMPUTED_VALUE"""),"Good")</f>
        <v>Good</v>
      </c>
      <c r="Z202" t="str">
        <f>IFERROR(__xludf.DUMMYFUNCTION("""COMPUTED_VALUE"""),"Good")</f>
        <v>Good</v>
      </c>
      <c r="AA202" t="str">
        <f>IFERROR(__xludf.DUMMYFUNCTION("""COMPUTED_VALUE"""),"Good")</f>
        <v>Good</v>
      </c>
      <c r="AB202" t="str">
        <f>IFERROR(__xludf.DUMMYFUNCTION("""COMPUTED_VALUE"""),"Good")</f>
        <v>Good</v>
      </c>
      <c r="AC202" t="str">
        <f>IFERROR(__xludf.DUMMYFUNCTION("""COMPUTED_VALUE"""),"Good")</f>
        <v>Good</v>
      </c>
      <c r="AE202" s="11"/>
      <c r="AF202" t="s">
        <v>262</v>
      </c>
      <c r="AG202" s="17" t="s">
        <v>448</v>
      </c>
      <c r="AH202" s="12">
        <v>1200.0</v>
      </c>
      <c r="AI202" s="12" t="s">
        <v>554</v>
      </c>
      <c r="AJ202" s="19" t="s">
        <v>555</v>
      </c>
      <c r="AK202" s="20" t="str">
        <f>HYPERLINK("https://docs.google.com/document/d/1WPXaA7dO7Ju4PLovG3d8P_hfoKL3mzHt2dO7NERh5Nc/edit?usp=drivesdk","Ben Mowbray - 11/29/2018 8:20 AM")</f>
        <v>Ben Mowbray - 11/29/2018 8:20 AM</v>
      </c>
      <c r="AL202" s="12" t="s">
        <v>556</v>
      </c>
    </row>
    <row r="203">
      <c r="A203" s="10">
        <f>IFERROR(__xludf.DUMMYFUNCTION("""COMPUTED_VALUE"""),43434.28727134259)</f>
        <v>43434.28727</v>
      </c>
      <c r="B203" s="11" t="str">
        <f>IFERROR(__xludf.DUMMYFUNCTION("""COMPUTED_VALUE"""),"Ben Mowbray")</f>
        <v>Ben Mowbray</v>
      </c>
      <c r="C203" t="str">
        <f>IFERROR(__xludf.DUMMYFUNCTION("""COMPUTED_VALUE"""),"ben.mowbray@dep.state.fl.us")</f>
        <v>ben.mowbray@dep.state.fl.us</v>
      </c>
      <c r="D203" t="str">
        <f>IFERROR(__xludf.DUMMYFUNCTION("""COMPUTED_VALUE"""),"Research/Nikki")</f>
        <v>Research/Nikki</v>
      </c>
      <c r="E203" t="str">
        <f>IFERROR(__xludf.DUMMYFUNCTION("""COMPUTED_VALUE"""),"Aunt Kate's")</f>
        <v>Aunt Kate's</v>
      </c>
      <c r="F203" s="13">
        <f>IFERROR(__xludf.DUMMYFUNCTION("""COMPUTED_VALUE"""),0.3055555555547471)</f>
        <v>0.3055555556</v>
      </c>
      <c r="G203" s="14">
        <f>IFERROR(__xludf.DUMMYFUNCTION("""COMPUTED_VALUE"""),43434.0)</f>
        <v>43434</v>
      </c>
      <c r="H203" t="str">
        <f>IFERROR(__xludf.DUMMYFUNCTION("""COMPUTED_VALUE"""),"TR, GR, SR reefs")</f>
        <v>TR, GR, SR reefs</v>
      </c>
      <c r="I203" s="15">
        <f>IFERROR(__xludf.DUMMYFUNCTION("""COMPUTED_VALUE"""),0.5138888888905058)</f>
        <v>0.5138888889</v>
      </c>
      <c r="J203" s="16">
        <f>IFERROR(__xludf.DUMMYFUNCTION("""COMPUTED_VALUE"""),43434.54166666667)</f>
        <v>43434.54167</v>
      </c>
      <c r="K203" t="str">
        <f>IFERROR(__xludf.DUMMYFUNCTION("""COMPUTED_VALUE"""),"20ft Sea Ark FL5351SJ UNF 2015")</f>
        <v>20ft Sea Ark FL5351SJ UNF 2015</v>
      </c>
      <c r="M203" t="str">
        <f>IFERROR(__xludf.DUMMYFUNCTION("""COMPUTED_VALUE"""),"Ford F250 2017 (Moby Dix) - DEP0021578")</f>
        <v>Ford F250 2017 (Moby Dix) - DEP0021578</v>
      </c>
      <c r="N203" t="str">
        <f>IFERROR(__xludf.DUMMYFUNCTION("""COMPUTED_VALUE"""),"Ben Mowbray, (407) 962-8782")</f>
        <v>Ben Mowbray, (407) 962-8782</v>
      </c>
      <c r="O203" t="str">
        <f>IFERROR(__xludf.DUMMYFUNCTION("""COMPUTED_VALUE"""),"Alicia Bishop")</f>
        <v>Alicia Bishop</v>
      </c>
      <c r="P203" t="str">
        <f>IFERROR(__xludf.DUMMYFUNCTION("""COMPUTED_VALUE"""),"Ben")</f>
        <v>Ben</v>
      </c>
      <c r="Q203" t="str">
        <f>IFERROR(__xludf.DUMMYFUNCTION("""COMPUTED_VALUE"""),"Good")</f>
        <v>Good</v>
      </c>
      <c r="R203" t="str">
        <f>IFERROR(__xludf.DUMMYFUNCTION("""COMPUTED_VALUE"""),"Good")</f>
        <v>Good</v>
      </c>
      <c r="S203" t="str">
        <f>IFERROR(__xludf.DUMMYFUNCTION("""COMPUTED_VALUE"""),"Good")</f>
        <v>Good</v>
      </c>
      <c r="T203" t="str">
        <f>IFERROR(__xludf.DUMMYFUNCTION("""COMPUTED_VALUE"""),"Good")</f>
        <v>Good</v>
      </c>
      <c r="U203" t="str">
        <f>IFERROR(__xludf.DUMMYFUNCTION("""COMPUTED_VALUE"""),"Good")</f>
        <v>Good</v>
      </c>
      <c r="V203" t="str">
        <f>IFERROR(__xludf.DUMMYFUNCTION("""COMPUTED_VALUE"""),"Good")</f>
        <v>Good</v>
      </c>
      <c r="W203" t="str">
        <f>IFERROR(__xludf.DUMMYFUNCTION("""COMPUTED_VALUE"""),"Good")</f>
        <v>Good</v>
      </c>
      <c r="X203" t="str">
        <f>IFERROR(__xludf.DUMMYFUNCTION("""COMPUTED_VALUE"""),"Good")</f>
        <v>Good</v>
      </c>
      <c r="Y203" t="str">
        <f>IFERROR(__xludf.DUMMYFUNCTION("""COMPUTED_VALUE"""),"Good")</f>
        <v>Good</v>
      </c>
      <c r="Z203" t="str">
        <f>IFERROR(__xludf.DUMMYFUNCTION("""COMPUTED_VALUE"""),"Good")</f>
        <v>Good</v>
      </c>
      <c r="AA203" t="str">
        <f>IFERROR(__xludf.DUMMYFUNCTION("""COMPUTED_VALUE"""),"Good")</f>
        <v>Good</v>
      </c>
      <c r="AB203" t="str">
        <f>IFERROR(__xludf.DUMMYFUNCTION("""COMPUTED_VALUE"""),"Good")</f>
        <v>Good</v>
      </c>
      <c r="AC203" t="str">
        <f>IFERROR(__xludf.DUMMYFUNCTION("""COMPUTED_VALUE"""),"Good")</f>
        <v>Good</v>
      </c>
      <c r="AE203" s="11"/>
      <c r="AF203" t="s">
        <v>218</v>
      </c>
      <c r="AG203" s="18"/>
      <c r="AH203" s="12">
        <v>1130.0</v>
      </c>
      <c r="AI203" s="12" t="s">
        <v>557</v>
      </c>
      <c r="AJ203" s="19" t="s">
        <v>558</v>
      </c>
      <c r="AK203" s="20" t="str">
        <f>HYPERLINK("https://docs.google.com/document/d/1-6d6hvJWvO6BYtbO2WWaqb1in49kdbEkIdMZcbPaJuo/edit?usp=drivesdk","Ben Mowbray - 11/30/2018 7:20 AM")</f>
        <v>Ben Mowbray - 11/30/2018 7:20 AM</v>
      </c>
      <c r="AL203" s="12" t="s">
        <v>559</v>
      </c>
    </row>
    <row r="204">
      <c r="A204" s="10">
        <f>IFERROR(__xludf.DUMMYFUNCTION("""COMPUTED_VALUE"""),43434.29646001158)</f>
        <v>43434.29646</v>
      </c>
      <c r="B204" s="11" t="str">
        <f>IFERROR(__xludf.DUMMYFUNCTION("""COMPUTED_VALUE"""),"Pamela Marcum")</f>
        <v>Pamela Marcum</v>
      </c>
      <c r="C204" t="str">
        <f>IFERROR(__xludf.DUMMYFUNCTION("""COMPUTED_VALUE"""),"Pamela.Marcum@Dep.state.fl.us")</f>
        <v>Pamela.Marcum@Dep.state.fl.us</v>
      </c>
      <c r="D204" t="str">
        <f>IFERROR(__xludf.DUMMYFUNCTION("""COMPUTED_VALUE"""),"Research/Nikki")</f>
        <v>Research/Nikki</v>
      </c>
      <c r="E204" t="str">
        <f>IFERROR(__xludf.DUMMYFUNCTION("""COMPUTED_VALUE"""),"Shore 7:30am, Green 9am, Bings 11pm")</f>
        <v>Shore 7:30am, Green 9am, Bings 11pm</v>
      </c>
      <c r="F204" s="13">
        <f>IFERROR(__xludf.DUMMYFUNCTION("""COMPUTED_VALUE"""),0.3333333333321207)</f>
        <v>0.3333333333</v>
      </c>
      <c r="G204" s="14">
        <f>IFERROR(__xludf.DUMMYFUNCTION("""COMPUTED_VALUE"""),43434.0)</f>
        <v>43434</v>
      </c>
      <c r="H204" t="str">
        <f>IFERROR(__xludf.DUMMYFUNCTION("""COMPUTED_VALUE"""),"Spat Trees - Southern ")</f>
        <v>Spat Trees - Southern </v>
      </c>
      <c r="I204" s="15">
        <f>IFERROR(__xludf.DUMMYFUNCTION("""COMPUTED_VALUE"""),0.5416666666678793)</f>
        <v>0.5416666667</v>
      </c>
      <c r="J204" s="16">
        <f>IFERROR(__xludf.DUMMYFUNCTION("""COMPUTED_VALUE"""),43434.5625)</f>
        <v>43434.5625</v>
      </c>
      <c r="K204" t="str">
        <f>IFERROR(__xludf.DUMMYFUNCTION("""COMPUTED_VALUE"""),"17ft Skill FL0642GW DEP07239")</f>
        <v>17ft Skill FL0642GW DEP07239</v>
      </c>
      <c r="M204" t="str">
        <f>IFERROR(__xludf.DUMMYFUNCTION("""COMPUTED_VALUE"""),"Ford F150 2010 - DEP07668 (4 door)")</f>
        <v>Ford F150 2010 - DEP07668 (4 door)</v>
      </c>
      <c r="N204" t="str">
        <f>IFERROR(__xludf.DUMMYFUNCTION("""COMPUTED_VALUE"""),"Pam Marcum, (480) 332-5414")</f>
        <v>Pam Marcum, (480) 332-5414</v>
      </c>
      <c r="O204" t="str">
        <f>IFERROR(__xludf.DUMMYFUNCTION("""COMPUTED_VALUE"""),"Abby Kuhn")</f>
        <v>Abby Kuhn</v>
      </c>
      <c r="P204" t="str">
        <f>IFERROR(__xludf.DUMMYFUNCTION("""COMPUTED_VALUE"""),"Pam")</f>
        <v>Pam</v>
      </c>
      <c r="Q204" t="str">
        <f>IFERROR(__xludf.DUMMYFUNCTION("""COMPUTED_VALUE"""),"Good")</f>
        <v>Good</v>
      </c>
      <c r="R204" t="str">
        <f>IFERROR(__xludf.DUMMYFUNCTION("""COMPUTED_VALUE"""),"Good")</f>
        <v>Good</v>
      </c>
      <c r="S204" t="str">
        <f>IFERROR(__xludf.DUMMYFUNCTION("""COMPUTED_VALUE"""),"Good")</f>
        <v>Good</v>
      </c>
      <c r="T204" t="str">
        <f>IFERROR(__xludf.DUMMYFUNCTION("""COMPUTED_VALUE"""),"Good")</f>
        <v>Good</v>
      </c>
      <c r="U204" t="str">
        <f>IFERROR(__xludf.DUMMYFUNCTION("""COMPUTED_VALUE"""),"Good")</f>
        <v>Good</v>
      </c>
      <c r="V204" t="str">
        <f>IFERROR(__xludf.DUMMYFUNCTION("""COMPUTED_VALUE"""),"Good")</f>
        <v>Good</v>
      </c>
      <c r="W204" t="str">
        <f>IFERROR(__xludf.DUMMYFUNCTION("""COMPUTED_VALUE"""),"Good")</f>
        <v>Good</v>
      </c>
      <c r="X204" t="str">
        <f>IFERROR(__xludf.DUMMYFUNCTION("""COMPUTED_VALUE"""),"Good")</f>
        <v>Good</v>
      </c>
      <c r="Y204" t="str">
        <f>IFERROR(__xludf.DUMMYFUNCTION("""COMPUTED_VALUE"""),"Good")</f>
        <v>Good</v>
      </c>
      <c r="Z204" t="str">
        <f>IFERROR(__xludf.DUMMYFUNCTION("""COMPUTED_VALUE"""),"Good")</f>
        <v>Good</v>
      </c>
      <c r="AA204" t="str">
        <f>IFERROR(__xludf.DUMMYFUNCTION("""COMPUTED_VALUE"""),"Good")</f>
        <v>Good</v>
      </c>
      <c r="AB204" t="str">
        <f>IFERROR(__xludf.DUMMYFUNCTION("""COMPUTED_VALUE"""),"Good")</f>
        <v>Good</v>
      </c>
      <c r="AC204" t="str">
        <f>IFERROR(__xludf.DUMMYFUNCTION("""COMPUTED_VALUE"""),"Good")</f>
        <v>Good</v>
      </c>
      <c r="AE204" s="11"/>
      <c r="AF204" t="s">
        <v>218</v>
      </c>
      <c r="AG204" s="17" t="s">
        <v>560</v>
      </c>
      <c r="AH204" s="12">
        <v>1230.0</v>
      </c>
      <c r="AI204" s="12" t="s">
        <v>561</v>
      </c>
      <c r="AJ204" s="19" t="s">
        <v>562</v>
      </c>
      <c r="AK204" s="20" t="str">
        <f>HYPERLINK("https://docs.google.com/document/d/1GVAYZH_XWuygN1DJkmLahy2vWDXRXeAZcQd7hsb812o/edit?usp=drivesdk","Pamela Marcum - 11/30/2018 8:00 AM")</f>
        <v>Pamela Marcum - 11/30/2018 8:00 AM</v>
      </c>
      <c r="AL204" s="12" t="s">
        <v>563</v>
      </c>
    </row>
    <row r="205">
      <c r="A205" s="10">
        <f>IFERROR(__xludf.DUMMYFUNCTION("""COMPUTED_VALUE"""),43437.60707626157)</f>
        <v>43437.60708</v>
      </c>
      <c r="B205" s="11" t="str">
        <f>IFERROR(__xludf.DUMMYFUNCTION("""COMPUTED_VALUE"""),"Silas Tanner")</f>
        <v>Silas Tanner</v>
      </c>
      <c r="C205" t="str">
        <f>IFERROR(__xludf.DUMMYFUNCTION("""COMPUTED_VALUE"""),"silas.tanner@floridadep.gov")</f>
        <v>silas.tanner@floridadep.gov</v>
      </c>
      <c r="D205" t="str">
        <f>IFERROR(__xludf.DUMMYFUNCTION("""COMPUTED_VALUE"""),"Research/Nikki")</f>
        <v>Research/Nikki</v>
      </c>
      <c r="E205" t="str">
        <f>IFERROR(__xludf.DUMMYFUNCTION("""COMPUTED_VALUE"""),"Vilano Landing (county ramp)")</f>
        <v>Vilano Landing (county ramp)</v>
      </c>
      <c r="F205" s="13">
        <f>IFERROR(__xludf.DUMMYFUNCTION("""COMPUTED_VALUE"""),0.3125)</f>
        <v>0.3125</v>
      </c>
      <c r="G205" s="14">
        <f>IFERROR(__xludf.DUMMYFUNCTION("""COMPUTED_VALUE"""),43438.0)</f>
        <v>43438</v>
      </c>
      <c r="H205" t="str">
        <f>IFERROR(__xludf.DUMMYFUNCTION("""COMPUTED_VALUE"""),"ICW SWMP sites")</f>
        <v>ICW SWMP sites</v>
      </c>
      <c r="I205" s="15">
        <f>IFERROR(__xludf.DUMMYFUNCTION("""COMPUTED_VALUE"""),0.5625)</f>
        <v>0.5625</v>
      </c>
      <c r="J205" s="16">
        <f>IFERROR(__xludf.DUMMYFUNCTION("""COMPUTED_VALUE"""),43438.58333333333)</f>
        <v>43438.58333</v>
      </c>
      <c r="K205" t="str">
        <f>IFERROR(__xludf.DUMMYFUNCTION("""COMPUTED_VALUE"""),"F 20ft Sea Ark (Easy 200) FL8534PY DEP21451")</f>
        <v>F 20ft Sea Ark (Easy 200) FL8534PY DEP21451</v>
      </c>
      <c r="M205" t="str">
        <f>IFERROR(__xludf.DUMMYFUNCTION("""COMPUTED_VALUE"""),"Ford F250 2017 (Moby Dix) - DEP0021578")</f>
        <v>Ford F250 2017 (Moby Dix) - DEP0021578</v>
      </c>
      <c r="N205" t="str">
        <f>IFERROR(__xludf.DUMMYFUNCTION("""COMPUTED_VALUE"""),"Silas Tanner, (904) 483-8423, Jimmy Tomazinis, (904) 547-0094")</f>
        <v>Silas Tanner, (904) 483-8423, Jimmy Tomazinis, (904) 547-0094</v>
      </c>
      <c r="O205" t="str">
        <f>IFERROR(__xludf.DUMMYFUNCTION("""COMPUTED_VALUE"""),"Jeff Finnan")</f>
        <v>Jeff Finnan</v>
      </c>
      <c r="P205" t="str">
        <f>IFERROR(__xludf.DUMMYFUNCTION("""COMPUTED_VALUE"""),"S. Tanner")</f>
        <v>S. Tanner</v>
      </c>
      <c r="Q205" t="str">
        <f>IFERROR(__xludf.DUMMYFUNCTION("""COMPUTED_VALUE"""),"Good")</f>
        <v>Good</v>
      </c>
      <c r="R205" t="str">
        <f>IFERROR(__xludf.DUMMYFUNCTION("""COMPUTED_VALUE"""),"Good")</f>
        <v>Good</v>
      </c>
      <c r="S205" t="str">
        <f>IFERROR(__xludf.DUMMYFUNCTION("""COMPUTED_VALUE"""),"Good")</f>
        <v>Good</v>
      </c>
      <c r="T205" t="str">
        <f>IFERROR(__xludf.DUMMYFUNCTION("""COMPUTED_VALUE"""),"Good")</f>
        <v>Good</v>
      </c>
      <c r="U205" t="str">
        <f>IFERROR(__xludf.DUMMYFUNCTION("""COMPUTED_VALUE"""),"Good")</f>
        <v>Good</v>
      </c>
      <c r="V205" t="str">
        <f>IFERROR(__xludf.DUMMYFUNCTION("""COMPUTED_VALUE"""),"Good")</f>
        <v>Good</v>
      </c>
      <c r="W205" t="str">
        <f>IFERROR(__xludf.DUMMYFUNCTION("""COMPUTED_VALUE"""),"Good")</f>
        <v>Good</v>
      </c>
      <c r="X205" t="str">
        <f>IFERROR(__xludf.DUMMYFUNCTION("""COMPUTED_VALUE"""),"Good")</f>
        <v>Good</v>
      </c>
      <c r="Y205" t="str">
        <f>IFERROR(__xludf.DUMMYFUNCTION("""COMPUTED_VALUE"""),"Good")</f>
        <v>Good</v>
      </c>
      <c r="Z205" t="str">
        <f>IFERROR(__xludf.DUMMYFUNCTION("""COMPUTED_VALUE"""),"Good")</f>
        <v>Good</v>
      </c>
      <c r="AA205" t="str">
        <f>IFERROR(__xludf.DUMMYFUNCTION("""COMPUTED_VALUE"""),"Good")</f>
        <v>Good</v>
      </c>
      <c r="AB205" t="str">
        <f>IFERROR(__xludf.DUMMYFUNCTION("""COMPUTED_VALUE"""),"Good")</f>
        <v>Good</v>
      </c>
      <c r="AC205" t="str">
        <f>IFERROR(__xludf.DUMMYFUNCTION("""COMPUTED_VALUE"""),"Good")</f>
        <v>Good</v>
      </c>
      <c r="AE205" s="11"/>
      <c r="AF205" t="s">
        <v>218</v>
      </c>
      <c r="AG205" s="17" t="s">
        <v>18</v>
      </c>
      <c r="AH205" s="12">
        <v>1220.0</v>
      </c>
      <c r="AI205" s="12" t="s">
        <v>8</v>
      </c>
      <c r="AJ205" s="12" t="s">
        <v>8</v>
      </c>
      <c r="AK205" s="12" t="s">
        <v>8</v>
      </c>
      <c r="AL205" s="12" t="s">
        <v>8</v>
      </c>
    </row>
    <row r="206">
      <c r="A206" s="10">
        <f>IFERROR(__xludf.DUMMYFUNCTION("""COMPUTED_VALUE"""),43438.36863532407)</f>
        <v>43438.36864</v>
      </c>
      <c r="B206" s="11" t="str">
        <f>IFERROR(__xludf.DUMMYFUNCTION("""COMPUTED_VALUE"""),"Ben Mowbray")</f>
        <v>Ben Mowbray</v>
      </c>
      <c r="C206" t="str">
        <f>IFERROR(__xludf.DUMMYFUNCTION("""COMPUTED_VALUE"""),"ben.mowbray@dep.state.fl.us")</f>
        <v>ben.mowbray@dep.state.fl.us</v>
      </c>
      <c r="D206" t="str">
        <f>IFERROR(__xludf.DUMMYFUNCTION("""COMPUTED_VALUE"""),"Research/Nikki")</f>
        <v>Research/Nikki</v>
      </c>
      <c r="E206" t="str">
        <f>IFERROR(__xludf.DUMMYFUNCTION("""COMPUTED_VALUE"""),"Aunt Kate's")</f>
        <v>Aunt Kate's</v>
      </c>
      <c r="F206" s="13">
        <f>IFERROR(__xludf.DUMMYFUNCTION("""COMPUTED_VALUE"""),0.4305555555547471)</f>
        <v>0.4305555556</v>
      </c>
      <c r="G206" s="14">
        <f>IFERROR(__xludf.DUMMYFUNCTION("""COMPUTED_VALUE"""),43438.0)</f>
        <v>43438</v>
      </c>
      <c r="H206" t="str">
        <f>IFERROR(__xludf.DUMMYFUNCTION("""COMPUTED_VALUE"""),"RC, TR, and GR kimbro reefs")</f>
        <v>RC, TR, and GR kimbro reefs</v>
      </c>
      <c r="I206" s="15">
        <f>IFERROR(__xludf.DUMMYFUNCTION("""COMPUTED_VALUE"""),0.625)</f>
        <v>0.625</v>
      </c>
      <c r="J206" s="16">
        <f>IFERROR(__xludf.DUMMYFUNCTION("""COMPUTED_VALUE"""),43438.65277777778)</f>
        <v>43438.65278</v>
      </c>
      <c r="K206" t="str">
        <f>IFERROR(__xludf.DUMMYFUNCTION("""COMPUTED_VALUE"""),"20ft Sea Ark FL5351SJ UNF 2015")</f>
        <v>20ft Sea Ark FL5351SJ UNF 2015</v>
      </c>
      <c r="M206" t="str">
        <f>IFERROR(__xludf.DUMMYFUNCTION("""COMPUTED_VALUE"""),"2010 F150 - DEP07668")</f>
        <v>2010 F150 - DEP07668</v>
      </c>
      <c r="N206" t="str">
        <f>IFERROR(__xludf.DUMMYFUNCTION("""COMPUTED_VALUE"""),"Ben Mowbray, (407) 962-8782")</f>
        <v>Ben Mowbray, (407) 962-8782</v>
      </c>
      <c r="O206" t="str">
        <f>IFERROR(__xludf.DUMMYFUNCTION("""COMPUTED_VALUE"""),"Nicole Peckham, Adrienne Brief-Pilz")</f>
        <v>Nicole Peckham, Adrienne Brief-Pilz</v>
      </c>
      <c r="P206" t="str">
        <f>IFERROR(__xludf.DUMMYFUNCTION("""COMPUTED_VALUE"""),"Ben")</f>
        <v>Ben</v>
      </c>
      <c r="Q206" t="str">
        <f>IFERROR(__xludf.DUMMYFUNCTION("""COMPUTED_VALUE"""),"Good")</f>
        <v>Good</v>
      </c>
      <c r="R206" t="str">
        <f>IFERROR(__xludf.DUMMYFUNCTION("""COMPUTED_VALUE"""),"Good")</f>
        <v>Good</v>
      </c>
      <c r="S206" t="str">
        <f>IFERROR(__xludf.DUMMYFUNCTION("""COMPUTED_VALUE"""),"Good")</f>
        <v>Good</v>
      </c>
      <c r="T206" t="str">
        <f>IFERROR(__xludf.DUMMYFUNCTION("""COMPUTED_VALUE"""),"Good")</f>
        <v>Good</v>
      </c>
      <c r="U206" t="str">
        <f>IFERROR(__xludf.DUMMYFUNCTION("""COMPUTED_VALUE"""),"Good")</f>
        <v>Good</v>
      </c>
      <c r="V206" t="str">
        <f>IFERROR(__xludf.DUMMYFUNCTION("""COMPUTED_VALUE"""),"Good")</f>
        <v>Good</v>
      </c>
      <c r="W206" t="str">
        <f>IFERROR(__xludf.DUMMYFUNCTION("""COMPUTED_VALUE"""),"Good")</f>
        <v>Good</v>
      </c>
      <c r="X206" t="str">
        <f>IFERROR(__xludf.DUMMYFUNCTION("""COMPUTED_VALUE"""),"Good")</f>
        <v>Good</v>
      </c>
      <c r="Y206" t="str">
        <f>IFERROR(__xludf.DUMMYFUNCTION("""COMPUTED_VALUE"""),"Good")</f>
        <v>Good</v>
      </c>
      <c r="Z206" t="str">
        <f>IFERROR(__xludf.DUMMYFUNCTION("""COMPUTED_VALUE"""),"Good")</f>
        <v>Good</v>
      </c>
      <c r="AA206" t="str">
        <f>IFERROR(__xludf.DUMMYFUNCTION("""COMPUTED_VALUE"""),"Good")</f>
        <v>Good</v>
      </c>
      <c r="AB206" t="str">
        <f>IFERROR(__xludf.DUMMYFUNCTION("""COMPUTED_VALUE"""),"Good")</f>
        <v>Good</v>
      </c>
      <c r="AC206" t="str">
        <f>IFERROR(__xludf.DUMMYFUNCTION("""COMPUTED_VALUE"""),"Good")</f>
        <v>Good</v>
      </c>
      <c r="AE206" s="11"/>
      <c r="AF206" t="s">
        <v>218</v>
      </c>
      <c r="AG206" s="17" t="s">
        <v>43</v>
      </c>
      <c r="AH206" s="12">
        <v>1424.0</v>
      </c>
      <c r="AI206" s="12" t="s">
        <v>564</v>
      </c>
      <c r="AJ206" s="19" t="s">
        <v>565</v>
      </c>
      <c r="AK206" s="20" t="str">
        <f>HYPERLINK("https://docs.google.com/document/d/1A8RL1csPx-oiXdee1EdEvumxx2HabklDEO-iwGQ4XE4/edit?usp=drivesdk","Ben Mowbray - 12/4/2018 10:20 AM")</f>
        <v>Ben Mowbray - 12/4/2018 10:20 AM</v>
      </c>
      <c r="AL206" s="12" t="s">
        <v>566</v>
      </c>
    </row>
    <row r="207">
      <c r="A207" s="10">
        <f>IFERROR(__xludf.DUMMYFUNCTION("""COMPUTED_VALUE"""),43438.427408854164)</f>
        <v>43438.42741</v>
      </c>
      <c r="B207" s="11" t="str">
        <f>IFERROR(__xludf.DUMMYFUNCTION("""COMPUTED_VALUE"""),"Pamela Marcum")</f>
        <v>Pamela Marcum</v>
      </c>
      <c r="C207" t="str">
        <f>IFERROR(__xludf.DUMMYFUNCTION("""COMPUTED_VALUE"""),"Pamela.Marcum@dep.state.fl.us")</f>
        <v>Pamela.Marcum@dep.state.fl.us</v>
      </c>
      <c r="D207" t="str">
        <f>IFERROR(__xludf.DUMMYFUNCTION("""COMPUTED_VALUE"""),"Research/Nikki")</f>
        <v>Research/Nikki</v>
      </c>
      <c r="E207" t="str">
        <f>IFERROR(__xludf.DUMMYFUNCTION("""COMPUTED_VALUE"""),"Faver-Dykes")</f>
        <v>Faver-Dykes</v>
      </c>
      <c r="F207" s="13">
        <f>IFERROR(__xludf.DUMMYFUNCTION("""COMPUTED_VALUE"""),0.4583333333321207)</f>
        <v>0.4583333333</v>
      </c>
      <c r="G207" s="14">
        <f>IFERROR(__xludf.DUMMYFUNCTION("""COMPUTED_VALUE"""),43438.0)</f>
        <v>43438</v>
      </c>
      <c r="H207" t="str">
        <f>IFERROR(__xludf.DUMMYFUNCTION("""COMPUTED_VALUE"""),"Pellicer Creek upper")</f>
        <v>Pellicer Creek upper</v>
      </c>
      <c r="I207" s="15">
        <f>IFERROR(__xludf.DUMMYFUNCTION("""COMPUTED_VALUE"""),0.5833333333321207)</f>
        <v>0.5833333333</v>
      </c>
      <c r="J207" s="16">
        <f>IFERROR(__xludf.DUMMYFUNCTION("""COMPUTED_VALUE"""),43438.625)</f>
        <v>43438.625</v>
      </c>
      <c r="K207" t="str">
        <f>IFERROR(__xludf.DUMMYFUNCTION("""COMPUTED_VALUE"""),"23ft Skiff (Bertha) FL7972LJ DEP07613")</f>
        <v>23ft Skiff (Bertha) FL7972LJ DEP07613</v>
      </c>
      <c r="M207" t="str">
        <f>IFERROR(__xludf.DUMMYFUNCTION("""COMPUTED_VALUE"""),"Ford F150 2008 - DEP18041 (SWMP Thing)")</f>
        <v>Ford F150 2008 - DEP18041 (SWMP Thing)</v>
      </c>
      <c r="N207" t="str">
        <f>IFERROR(__xludf.DUMMYFUNCTION("""COMPUTED_VALUE"""),"Pam Marcum, (480) 332-5414")</f>
        <v>Pam Marcum, (480) 332-5414</v>
      </c>
      <c r="O207" t="str">
        <f>IFERROR(__xludf.DUMMYFUNCTION("""COMPUTED_VALUE"""),"Duane Noel")</f>
        <v>Duane Noel</v>
      </c>
      <c r="P207" t="str">
        <f>IFERROR(__xludf.DUMMYFUNCTION("""COMPUTED_VALUE"""),"Pam")</f>
        <v>Pam</v>
      </c>
      <c r="Q207" t="str">
        <f>IFERROR(__xludf.DUMMYFUNCTION("""COMPUTED_VALUE"""),"Good")</f>
        <v>Good</v>
      </c>
      <c r="R207" t="str">
        <f>IFERROR(__xludf.DUMMYFUNCTION("""COMPUTED_VALUE"""),"Good")</f>
        <v>Good</v>
      </c>
      <c r="S207" t="str">
        <f>IFERROR(__xludf.DUMMYFUNCTION("""COMPUTED_VALUE"""),"Good")</f>
        <v>Good</v>
      </c>
      <c r="T207" t="str">
        <f>IFERROR(__xludf.DUMMYFUNCTION("""COMPUTED_VALUE"""),"Good")</f>
        <v>Good</v>
      </c>
      <c r="U207" t="str">
        <f>IFERROR(__xludf.DUMMYFUNCTION("""COMPUTED_VALUE"""),"Good")</f>
        <v>Good</v>
      </c>
      <c r="V207" t="str">
        <f>IFERROR(__xludf.DUMMYFUNCTION("""COMPUTED_VALUE"""),"Good")</f>
        <v>Good</v>
      </c>
      <c r="W207" t="str">
        <f>IFERROR(__xludf.DUMMYFUNCTION("""COMPUTED_VALUE"""),"Good")</f>
        <v>Good</v>
      </c>
      <c r="X207" t="str">
        <f>IFERROR(__xludf.DUMMYFUNCTION("""COMPUTED_VALUE"""),"Good")</f>
        <v>Good</v>
      </c>
      <c r="Y207" t="str">
        <f>IFERROR(__xludf.DUMMYFUNCTION("""COMPUTED_VALUE"""),"Good")</f>
        <v>Good</v>
      </c>
      <c r="Z207" t="str">
        <f>IFERROR(__xludf.DUMMYFUNCTION("""COMPUTED_VALUE"""),"Good")</f>
        <v>Good</v>
      </c>
      <c r="AA207" t="str">
        <f>IFERROR(__xludf.DUMMYFUNCTION("""COMPUTED_VALUE"""),"Good")</f>
        <v>Good</v>
      </c>
      <c r="AB207" t="str">
        <f>IFERROR(__xludf.DUMMYFUNCTION("""COMPUTED_VALUE"""),"Good")</f>
        <v>Good</v>
      </c>
      <c r="AC207" t="str">
        <f>IFERROR(__xludf.DUMMYFUNCTION("""COMPUTED_VALUE"""),"Good")</f>
        <v>Good</v>
      </c>
      <c r="AE207" s="11"/>
      <c r="AF207" t="s">
        <v>218</v>
      </c>
      <c r="AG207" s="17" t="s">
        <v>115</v>
      </c>
      <c r="AH207" s="12">
        <v>1415.0</v>
      </c>
      <c r="AI207" s="12" t="s">
        <v>567</v>
      </c>
      <c r="AJ207" s="19" t="s">
        <v>568</v>
      </c>
      <c r="AK207" s="20" t="str">
        <f>HYPERLINK("https://docs.google.com/document/d/1oTcfsWZOgZYgI5Fy-XeM-Rzu-vTXU288StIZED4uEX8/edit?usp=drivesdk","Pamela Marcum - 12/4/2018 11:00 AM")</f>
        <v>Pamela Marcum - 12/4/2018 11:00 AM</v>
      </c>
      <c r="AL207" s="12" t="s">
        <v>569</v>
      </c>
    </row>
    <row r="208">
      <c r="A208" s="10">
        <f>IFERROR(__xludf.DUMMYFUNCTION("""COMPUTED_VALUE"""),43438.61326200231)</f>
        <v>43438.61326</v>
      </c>
      <c r="B208" s="11" t="str">
        <f>IFERROR(__xludf.DUMMYFUNCTION("""COMPUTED_VALUE"""),"James Tomazinis")</f>
        <v>James Tomazinis</v>
      </c>
      <c r="C208" t="str">
        <f>IFERROR(__xludf.DUMMYFUNCTION("""COMPUTED_VALUE"""),"james.tomazinis@floridadep.gov")</f>
        <v>james.tomazinis@floridadep.gov</v>
      </c>
      <c r="D208" t="str">
        <f>IFERROR(__xludf.DUMMYFUNCTION("""COMPUTED_VALUE"""),"Stewardship (Aquatic)")</f>
        <v>Stewardship (Aquatic)</v>
      </c>
      <c r="E208" t="str">
        <f>IFERROR(__xludf.DUMMYFUNCTION("""COMPUTED_VALUE"""),"Guana Dam")</f>
        <v>Guana Dam</v>
      </c>
      <c r="F208" s="13">
        <f>IFERROR(__xludf.DUMMYFUNCTION("""COMPUTED_VALUE"""),0.3333333333321207)</f>
        <v>0.3333333333</v>
      </c>
      <c r="G208" s="14">
        <f>IFERROR(__xludf.DUMMYFUNCTION("""COMPUTED_VALUE"""),43439.0)</f>
        <v>43439</v>
      </c>
      <c r="H208" t="str">
        <f>IFERROR(__xludf.DUMMYFUNCTION("""COMPUTED_VALUE"""),"Guana River WQ sites")</f>
        <v>Guana River WQ sites</v>
      </c>
      <c r="I208" s="15">
        <f>IFERROR(__xludf.DUMMYFUNCTION("""COMPUTED_VALUE"""),0.3854166666678793)</f>
        <v>0.3854166667</v>
      </c>
      <c r="J208" s="16"/>
      <c r="K208" t="str">
        <f>IFERROR(__xludf.DUMMYFUNCTION("""COMPUTED_VALUE"""),"Jon Boat FL0484NP DEP06819")</f>
        <v>Jon Boat FL0484NP DEP06819</v>
      </c>
      <c r="M208" t="str">
        <f>IFERROR(__xludf.DUMMYFUNCTION("""COMPUTED_VALUE"""),"Ford F150 2015 (White) - DEP21448")</f>
        <v>Ford F150 2015 (White) - DEP21448</v>
      </c>
      <c r="N208" t="str">
        <f>IFERROR(__xludf.DUMMYFUNCTION("""COMPUTED_VALUE"""),"Jimmy Tomazinis, (904) 547-0094")</f>
        <v>Jimmy Tomazinis, (904) 547-0094</v>
      </c>
      <c r="O208" t="str">
        <f>IFERROR(__xludf.DUMMYFUNCTION("""COMPUTED_VALUE"""),"Benjamin Mowbray, (407) 962-8782")</f>
        <v>Benjamin Mowbray, (407) 962-8782</v>
      </c>
      <c r="P208" t="str">
        <f>IFERROR(__xludf.DUMMYFUNCTION("""COMPUTED_VALUE"""),"Jimmy")</f>
        <v>Jimmy</v>
      </c>
      <c r="Q208" t="str">
        <f>IFERROR(__xludf.DUMMYFUNCTION("""COMPUTED_VALUE"""),"Good")</f>
        <v>Good</v>
      </c>
      <c r="R208" t="str">
        <f>IFERROR(__xludf.DUMMYFUNCTION("""COMPUTED_VALUE"""),"Good")</f>
        <v>Good</v>
      </c>
      <c r="S208" t="str">
        <f>IFERROR(__xludf.DUMMYFUNCTION("""COMPUTED_VALUE"""),"Good")</f>
        <v>Good</v>
      </c>
      <c r="T208" t="str">
        <f>IFERROR(__xludf.DUMMYFUNCTION("""COMPUTED_VALUE"""),"Good")</f>
        <v>Good</v>
      </c>
      <c r="U208" t="str">
        <f>IFERROR(__xludf.DUMMYFUNCTION("""COMPUTED_VALUE"""),"Good")</f>
        <v>Good</v>
      </c>
      <c r="V208" t="str">
        <f>IFERROR(__xludf.DUMMYFUNCTION("""COMPUTED_VALUE"""),"Good")</f>
        <v>Good</v>
      </c>
      <c r="W208" t="str">
        <f>IFERROR(__xludf.DUMMYFUNCTION("""COMPUTED_VALUE"""),"Good")</f>
        <v>Good</v>
      </c>
      <c r="X208" t="str">
        <f>IFERROR(__xludf.DUMMYFUNCTION("""COMPUTED_VALUE"""),"Good")</f>
        <v>Good</v>
      </c>
      <c r="Y208" t="str">
        <f>IFERROR(__xludf.DUMMYFUNCTION("""COMPUTED_VALUE"""),"Good")</f>
        <v>Good</v>
      </c>
      <c r="Z208" t="str">
        <f>IFERROR(__xludf.DUMMYFUNCTION("""COMPUTED_VALUE"""),"Good")</f>
        <v>Good</v>
      </c>
      <c r="AA208" t="str">
        <f>IFERROR(__xludf.DUMMYFUNCTION("""COMPUTED_VALUE"""),"Good")</f>
        <v>Good</v>
      </c>
      <c r="AB208" t="str">
        <f>IFERROR(__xludf.DUMMYFUNCTION("""COMPUTED_VALUE"""),"Good")</f>
        <v>Good</v>
      </c>
      <c r="AC208" t="str">
        <f>IFERROR(__xludf.DUMMYFUNCTION("""COMPUTED_VALUE"""),"Good")</f>
        <v>Good</v>
      </c>
      <c r="AE208" s="11"/>
      <c r="AF208" t="s">
        <v>32</v>
      </c>
      <c r="AG208" s="17" t="s">
        <v>18</v>
      </c>
      <c r="AH208" s="12">
        <v>950.0</v>
      </c>
      <c r="AI208" s="12" t="s">
        <v>570</v>
      </c>
      <c r="AJ208" s="19" t="s">
        <v>571</v>
      </c>
      <c r="AK208" s="20" t="str">
        <f>HYPERLINK("https://docs.google.com/document/d/1hauw2vE5xdSX1EdBY3STcNLUeeUqh_H2hN1zo1cocKU/edit?usp=drivesdk","James Tomazinis - 12/5/2018 8:00 AM")</f>
        <v>James Tomazinis - 12/5/2018 8:00 AM</v>
      </c>
      <c r="AL208" s="12" t="s">
        <v>572</v>
      </c>
    </row>
    <row r="209">
      <c r="A209" s="10">
        <f>IFERROR(__xludf.DUMMYFUNCTION("""COMPUTED_VALUE"""),43439.37891410879)</f>
        <v>43439.37891</v>
      </c>
      <c r="B209" s="11" t="str">
        <f>IFERROR(__xludf.DUMMYFUNCTION("""COMPUTED_VALUE"""),"Pamela Marcum")</f>
        <v>Pamela Marcum</v>
      </c>
      <c r="C209" t="str">
        <f>IFERROR(__xludf.DUMMYFUNCTION("""COMPUTED_VALUE"""),"Pamela.Marcum@dep.state.fl.us")</f>
        <v>Pamela.Marcum@dep.state.fl.us</v>
      </c>
      <c r="D209" t="str">
        <f>IFERROR(__xludf.DUMMYFUNCTION("""COMPUTED_VALUE"""),"Research/Nikki")</f>
        <v>Research/Nikki</v>
      </c>
      <c r="E209" t="str">
        <f>IFERROR(__xludf.DUMMYFUNCTION("""COMPUTED_VALUE"""),"Faver-Dykes")</f>
        <v>Faver-Dykes</v>
      </c>
      <c r="F209" s="13">
        <f>IFERROR(__xludf.DUMMYFUNCTION("""COMPUTED_VALUE"""),0.4375)</f>
        <v>0.4375</v>
      </c>
      <c r="G209" s="14">
        <f>IFERROR(__xludf.DUMMYFUNCTION("""COMPUTED_VALUE"""),43439.0)</f>
        <v>43439</v>
      </c>
      <c r="H209" t="str">
        <f>IFERROR(__xludf.DUMMYFUNCTION("""COMPUTED_VALUE"""),"Upper Pellicer Creek")</f>
        <v>Upper Pellicer Creek</v>
      </c>
      <c r="I209" s="15">
        <f>IFERROR(__xludf.DUMMYFUNCTION("""COMPUTED_VALUE"""),0.5833333333321207)</f>
        <v>0.5833333333</v>
      </c>
      <c r="J209" s="16">
        <f>IFERROR(__xludf.DUMMYFUNCTION("""COMPUTED_VALUE"""),43439.70833333333)</f>
        <v>43439.70833</v>
      </c>
      <c r="K209" t="str">
        <f>IFERROR(__xludf.DUMMYFUNCTION("""COMPUTED_VALUE"""),"23ft Skiff (Bertha) FL7972LJ DEP07613")</f>
        <v>23ft Skiff (Bertha) FL7972LJ DEP07613</v>
      </c>
      <c r="M209" t="str">
        <f>IFERROR(__xludf.DUMMYFUNCTION("""COMPUTED_VALUE"""),"Ford F150 2008 - DEP18041 (SWMP Thing)")</f>
        <v>Ford F150 2008 - DEP18041 (SWMP Thing)</v>
      </c>
      <c r="N209" t="str">
        <f>IFERROR(__xludf.DUMMYFUNCTION("""COMPUTED_VALUE"""),"Pam Marcum, (480) 332-5414")</f>
        <v>Pam Marcum, (480) 332-5414</v>
      </c>
      <c r="O209" t="str">
        <f>IFERROR(__xludf.DUMMYFUNCTION("""COMPUTED_VALUE"""),"Tom Fox")</f>
        <v>Tom Fox</v>
      </c>
      <c r="P209" t="str">
        <f>IFERROR(__xludf.DUMMYFUNCTION("""COMPUTED_VALUE"""),"Pam")</f>
        <v>Pam</v>
      </c>
      <c r="Q209" t="str">
        <f>IFERROR(__xludf.DUMMYFUNCTION("""COMPUTED_VALUE"""),"Good")</f>
        <v>Good</v>
      </c>
      <c r="R209" t="str">
        <f>IFERROR(__xludf.DUMMYFUNCTION("""COMPUTED_VALUE"""),"Good")</f>
        <v>Good</v>
      </c>
      <c r="S209" t="str">
        <f>IFERROR(__xludf.DUMMYFUNCTION("""COMPUTED_VALUE"""),"Good")</f>
        <v>Good</v>
      </c>
      <c r="T209" t="str">
        <f>IFERROR(__xludf.DUMMYFUNCTION("""COMPUTED_VALUE"""),"Good")</f>
        <v>Good</v>
      </c>
      <c r="U209" t="str">
        <f>IFERROR(__xludf.DUMMYFUNCTION("""COMPUTED_VALUE"""),"Good")</f>
        <v>Good</v>
      </c>
      <c r="V209" t="str">
        <f>IFERROR(__xludf.DUMMYFUNCTION("""COMPUTED_VALUE"""),"Good")</f>
        <v>Good</v>
      </c>
      <c r="W209" t="str">
        <f>IFERROR(__xludf.DUMMYFUNCTION("""COMPUTED_VALUE"""),"Good")</f>
        <v>Good</v>
      </c>
      <c r="X209" t="str">
        <f>IFERROR(__xludf.DUMMYFUNCTION("""COMPUTED_VALUE"""),"Good")</f>
        <v>Good</v>
      </c>
      <c r="Y209" t="str">
        <f>IFERROR(__xludf.DUMMYFUNCTION("""COMPUTED_VALUE"""),"Good")</f>
        <v>Good</v>
      </c>
      <c r="Z209" t="str">
        <f>IFERROR(__xludf.DUMMYFUNCTION("""COMPUTED_VALUE"""),"Good")</f>
        <v>Good</v>
      </c>
      <c r="AA209" t="str">
        <f>IFERROR(__xludf.DUMMYFUNCTION("""COMPUTED_VALUE"""),"Good")</f>
        <v>Good</v>
      </c>
      <c r="AB209" t="str">
        <f>IFERROR(__xludf.DUMMYFUNCTION("""COMPUTED_VALUE"""),"Good")</f>
        <v>Good</v>
      </c>
      <c r="AC209" t="str">
        <f>IFERROR(__xludf.DUMMYFUNCTION("""COMPUTED_VALUE"""),"Good")</f>
        <v>Good</v>
      </c>
      <c r="AE209" s="11"/>
      <c r="AF209" t="s">
        <v>218</v>
      </c>
      <c r="AG209" s="17" t="s">
        <v>128</v>
      </c>
      <c r="AH209" s="12">
        <v>1410.0</v>
      </c>
      <c r="AI209" s="12" t="s">
        <v>573</v>
      </c>
      <c r="AJ209" s="19" t="s">
        <v>574</v>
      </c>
      <c r="AK209" s="20" t="str">
        <f>HYPERLINK("https://docs.google.com/document/d/1uWbC2LTTPyzZ9D7G8dbN75G0kC0n3ExQXQUhFHsruTY/edit?usp=drivesdk","Pamela Marcum - 12/5/2018 10:30 AM")</f>
        <v>Pamela Marcum - 12/5/2018 10:30 AM</v>
      </c>
      <c r="AL209" s="12" t="s">
        <v>575</v>
      </c>
    </row>
    <row r="210">
      <c r="A210" s="10">
        <f>IFERROR(__xludf.DUMMYFUNCTION("""COMPUTED_VALUE"""),43444.34138909722)</f>
        <v>43444.34139</v>
      </c>
      <c r="B210" s="11" t="str">
        <f>IFERROR(__xludf.DUMMYFUNCTION("""COMPUTED_VALUE"""),"Pamela Marcum")</f>
        <v>Pamela Marcum</v>
      </c>
      <c r="C210" t="str">
        <f>IFERROR(__xludf.DUMMYFUNCTION("""COMPUTED_VALUE"""),"Pamela.Marcum@dep.state.fl.us")</f>
        <v>Pamela.Marcum@dep.state.fl.us</v>
      </c>
      <c r="D210" t="str">
        <f>IFERROR(__xludf.DUMMYFUNCTION("""COMPUTED_VALUE"""),"Research/Nikki")</f>
        <v>Research/Nikki</v>
      </c>
      <c r="E210" t="str">
        <f>IFERROR(__xludf.DUMMYFUNCTION("""COMPUTED_VALUE"""),"Faver-Dykes")</f>
        <v>Faver-Dykes</v>
      </c>
      <c r="F210" s="13">
        <f>IFERROR(__xludf.DUMMYFUNCTION("""COMPUTED_VALUE"""),0.4375)</f>
        <v>0.4375</v>
      </c>
      <c r="G210" s="14">
        <f>IFERROR(__xludf.DUMMYFUNCTION("""COMPUTED_VALUE"""),43444.0)</f>
        <v>43444</v>
      </c>
      <c r="H210" t="str">
        <f>IFERROR(__xludf.DUMMYFUNCTION("""COMPUTED_VALUE"""),"Upper Pellicer Creek")</f>
        <v>Upper Pellicer Creek</v>
      </c>
      <c r="I210" s="15">
        <f>IFERROR(__xludf.DUMMYFUNCTION("""COMPUTED_VALUE"""),0.625)</f>
        <v>0.625</v>
      </c>
      <c r="J210" s="16">
        <f>IFERROR(__xludf.DUMMYFUNCTION("""COMPUTED_VALUE"""),43444.66666666667)</f>
        <v>43444.66667</v>
      </c>
      <c r="K210" t="str">
        <f>IFERROR(__xludf.DUMMYFUNCTION("""COMPUTED_VALUE"""),"23ft Skiff (Bertha) FL7972LJ DEP07613")</f>
        <v>23ft Skiff (Bertha) FL7972LJ DEP07613</v>
      </c>
      <c r="M210" t="str">
        <f>IFERROR(__xludf.DUMMYFUNCTION("""COMPUTED_VALUE"""),"Ford F150 2015 (White) - DEP21448")</f>
        <v>Ford F150 2015 (White) - DEP21448</v>
      </c>
      <c r="N210" t="str">
        <f>IFERROR(__xludf.DUMMYFUNCTION("""COMPUTED_VALUE"""),"Pam Marcum, (480) 332-5414")</f>
        <v>Pam Marcum, (480) 332-5414</v>
      </c>
      <c r="O210" t="str">
        <f>IFERROR(__xludf.DUMMYFUNCTION("""COMPUTED_VALUE"""),"Ken Harp")</f>
        <v>Ken Harp</v>
      </c>
      <c r="P210" t="str">
        <f>IFERROR(__xludf.DUMMYFUNCTION("""COMPUTED_VALUE"""),"Pam")</f>
        <v>Pam</v>
      </c>
      <c r="Q210" t="str">
        <f>IFERROR(__xludf.DUMMYFUNCTION("""COMPUTED_VALUE"""),"Good")</f>
        <v>Good</v>
      </c>
      <c r="R210" t="str">
        <f>IFERROR(__xludf.DUMMYFUNCTION("""COMPUTED_VALUE"""),"Good")</f>
        <v>Good</v>
      </c>
      <c r="S210" t="str">
        <f>IFERROR(__xludf.DUMMYFUNCTION("""COMPUTED_VALUE"""),"Good")</f>
        <v>Good</v>
      </c>
      <c r="T210" t="str">
        <f>IFERROR(__xludf.DUMMYFUNCTION("""COMPUTED_VALUE"""),"Good")</f>
        <v>Good</v>
      </c>
      <c r="U210" t="str">
        <f>IFERROR(__xludf.DUMMYFUNCTION("""COMPUTED_VALUE"""),"Good")</f>
        <v>Good</v>
      </c>
      <c r="V210" t="str">
        <f>IFERROR(__xludf.DUMMYFUNCTION("""COMPUTED_VALUE"""),"Good")</f>
        <v>Good</v>
      </c>
      <c r="W210" t="str">
        <f>IFERROR(__xludf.DUMMYFUNCTION("""COMPUTED_VALUE"""),"Good")</f>
        <v>Good</v>
      </c>
      <c r="X210" t="str">
        <f>IFERROR(__xludf.DUMMYFUNCTION("""COMPUTED_VALUE"""),"Good")</f>
        <v>Good</v>
      </c>
      <c r="Y210" t="str">
        <f>IFERROR(__xludf.DUMMYFUNCTION("""COMPUTED_VALUE"""),"Good")</f>
        <v>Good</v>
      </c>
      <c r="Z210" t="str">
        <f>IFERROR(__xludf.DUMMYFUNCTION("""COMPUTED_VALUE"""),"Good")</f>
        <v>Good</v>
      </c>
      <c r="AA210" t="str">
        <f>IFERROR(__xludf.DUMMYFUNCTION("""COMPUTED_VALUE"""),"Good")</f>
        <v>Good</v>
      </c>
      <c r="AB210" t="str">
        <f>IFERROR(__xludf.DUMMYFUNCTION("""COMPUTED_VALUE"""),"Good")</f>
        <v>Good</v>
      </c>
      <c r="AC210" t="str">
        <f>IFERROR(__xludf.DUMMYFUNCTION("""COMPUTED_VALUE"""),"Good")</f>
        <v>Good</v>
      </c>
      <c r="AE210" s="11"/>
      <c r="AF210" t="s">
        <v>218</v>
      </c>
      <c r="AG210" s="17" t="s">
        <v>18</v>
      </c>
      <c r="AH210" s="12">
        <v>1340.0</v>
      </c>
      <c r="AI210" s="12" t="s">
        <v>576</v>
      </c>
      <c r="AJ210" s="19" t="s">
        <v>577</v>
      </c>
      <c r="AK210" s="20" t="str">
        <f>HYPERLINK("https://docs.google.com/document/d/1MdfvTIYnceoqzhRGfam7t0apLcYPKCV83LbdbuAQAkg/edit?usp=drivesdk","Pamela Marcum - 12/10/2018 10:30 AM")</f>
        <v>Pamela Marcum - 12/10/2018 10:30 AM</v>
      </c>
      <c r="AL210" s="12" t="s">
        <v>578</v>
      </c>
    </row>
    <row r="211">
      <c r="A211" s="10">
        <f>IFERROR(__xludf.DUMMYFUNCTION("""COMPUTED_VALUE"""),43445.34919153935)</f>
        <v>43445.34919</v>
      </c>
      <c r="B211" s="11" t="str">
        <f>IFERROR(__xludf.DUMMYFUNCTION("""COMPUTED_VALUE"""),"Pam Marcum")</f>
        <v>Pam Marcum</v>
      </c>
      <c r="C211" t="str">
        <f>IFERROR(__xludf.DUMMYFUNCTION("""COMPUTED_VALUE"""),"Pamela.Marcum@dep.state.fl.us")</f>
        <v>Pamela.Marcum@dep.state.fl.us</v>
      </c>
      <c r="D211" t="str">
        <f>IFERROR(__xludf.DUMMYFUNCTION("""COMPUTED_VALUE"""),"Stewardship (Aquatic)")</f>
        <v>Stewardship (Aquatic)</v>
      </c>
      <c r="E211" t="str">
        <f>IFERROR(__xludf.DUMMYFUNCTION("""COMPUTED_VALUE"""),"Faver-Dykes")</f>
        <v>Faver-Dykes</v>
      </c>
      <c r="F211" s="13">
        <f>IFERROR(__xludf.DUMMYFUNCTION("""COMPUTED_VALUE"""),0.3958333333321207)</f>
        <v>0.3958333333</v>
      </c>
      <c r="G211" s="14">
        <f>IFERROR(__xludf.DUMMYFUNCTION("""COMPUTED_VALUE"""),43445.0)</f>
        <v>43445</v>
      </c>
      <c r="H211" t="str">
        <f>IFERROR(__xludf.DUMMYFUNCTION("""COMPUTED_VALUE"""),"Upper Pellicer")</f>
        <v>Upper Pellicer</v>
      </c>
      <c r="I211" s="15">
        <f>IFERROR(__xludf.DUMMYFUNCTION("""COMPUTED_VALUE"""),0.625)</f>
        <v>0.625</v>
      </c>
      <c r="J211" s="16">
        <f>IFERROR(__xludf.DUMMYFUNCTION("""COMPUTED_VALUE"""),43446.375)</f>
        <v>43446.375</v>
      </c>
      <c r="K211" t="str">
        <f>IFERROR(__xludf.DUMMYFUNCTION("""COMPUTED_VALUE"""),"23ft Skiff (Bertha) FL7972LJ DEP07613")</f>
        <v>23ft Skiff (Bertha) FL7972LJ DEP07613</v>
      </c>
      <c r="M211" t="str">
        <f>IFERROR(__xludf.DUMMYFUNCTION("""COMPUTED_VALUE"""),"Ford F150 2015 (White) - DEP21448")</f>
        <v>Ford F150 2015 (White) - DEP21448</v>
      </c>
      <c r="N211" t="str">
        <f>IFERROR(__xludf.DUMMYFUNCTION("""COMPUTED_VALUE"""),"Pam Marcum, (480) 332-5414")</f>
        <v>Pam Marcum, (480) 332-5414</v>
      </c>
      <c r="O211" t="str">
        <f>IFERROR(__xludf.DUMMYFUNCTION("""COMPUTED_VALUE"""),"Jim Moye")</f>
        <v>Jim Moye</v>
      </c>
      <c r="P211" t="str">
        <f>IFERROR(__xludf.DUMMYFUNCTION("""COMPUTED_VALUE"""),"Pam")</f>
        <v>Pam</v>
      </c>
      <c r="Q211" t="str">
        <f>IFERROR(__xludf.DUMMYFUNCTION("""COMPUTED_VALUE"""),"Good")</f>
        <v>Good</v>
      </c>
      <c r="R211" t="str">
        <f>IFERROR(__xludf.DUMMYFUNCTION("""COMPUTED_VALUE"""),"Good")</f>
        <v>Good</v>
      </c>
      <c r="S211" t="str">
        <f>IFERROR(__xludf.DUMMYFUNCTION("""COMPUTED_VALUE"""),"Good")</f>
        <v>Good</v>
      </c>
      <c r="T211" t="str">
        <f>IFERROR(__xludf.DUMMYFUNCTION("""COMPUTED_VALUE"""),"Good")</f>
        <v>Good</v>
      </c>
      <c r="U211" t="str">
        <f>IFERROR(__xludf.DUMMYFUNCTION("""COMPUTED_VALUE"""),"Good")</f>
        <v>Good</v>
      </c>
      <c r="V211" t="str">
        <f>IFERROR(__xludf.DUMMYFUNCTION("""COMPUTED_VALUE"""),"Good")</f>
        <v>Good</v>
      </c>
      <c r="W211" t="str">
        <f>IFERROR(__xludf.DUMMYFUNCTION("""COMPUTED_VALUE"""),"Good")</f>
        <v>Good</v>
      </c>
      <c r="X211" t="str">
        <f>IFERROR(__xludf.DUMMYFUNCTION("""COMPUTED_VALUE"""),"Good")</f>
        <v>Good</v>
      </c>
      <c r="Y211" t="str">
        <f>IFERROR(__xludf.DUMMYFUNCTION("""COMPUTED_VALUE"""),"Good")</f>
        <v>Good</v>
      </c>
      <c r="Z211" t="str">
        <f>IFERROR(__xludf.DUMMYFUNCTION("""COMPUTED_VALUE"""),"Good")</f>
        <v>Good</v>
      </c>
      <c r="AA211" t="str">
        <f>IFERROR(__xludf.DUMMYFUNCTION("""COMPUTED_VALUE"""),"Good")</f>
        <v>Good</v>
      </c>
      <c r="AB211" t="str">
        <f>IFERROR(__xludf.DUMMYFUNCTION("""COMPUTED_VALUE"""),"Good")</f>
        <v>Good</v>
      </c>
      <c r="AC211" t="str">
        <f>IFERROR(__xludf.DUMMYFUNCTION("""COMPUTED_VALUE"""),"Good")</f>
        <v>Good</v>
      </c>
      <c r="AE211" s="11"/>
      <c r="AF211" t="s">
        <v>32</v>
      </c>
      <c r="AG211" s="17" t="s">
        <v>18</v>
      </c>
      <c r="AH211" s="12">
        <v>1330.0</v>
      </c>
      <c r="AI211" s="12" t="s">
        <v>579</v>
      </c>
      <c r="AJ211" s="19" t="s">
        <v>580</v>
      </c>
      <c r="AK211" s="20" t="str">
        <f>HYPERLINK("https://docs.google.com/document/d/1h0R2PZU0rvgtqbs53JDBEKKuDogTM-nMHYHY7C7YB0Q/edit?usp=drivesdk","Pam Marcum - 12/11/2018 9:30 AM")</f>
        <v>Pam Marcum - 12/11/2018 9:30 AM</v>
      </c>
      <c r="AL211" s="12" t="s">
        <v>581</v>
      </c>
    </row>
    <row r="212">
      <c r="A212" s="10">
        <f>IFERROR(__xludf.DUMMYFUNCTION("""COMPUTED_VALUE"""),43447.3659006713)</f>
        <v>43447.3659</v>
      </c>
      <c r="B212" s="11" t="str">
        <f>IFERROR(__xludf.DUMMYFUNCTION("""COMPUTED_VALUE"""),"Pamela Marcum")</f>
        <v>Pamela Marcum</v>
      </c>
      <c r="C212" t="str">
        <f>IFERROR(__xludf.DUMMYFUNCTION("""COMPUTED_VALUE"""),"Pamela.Marcum@dep.state.fl.us")</f>
        <v>Pamela.Marcum@dep.state.fl.us</v>
      </c>
      <c r="D212" t="str">
        <f>IFERROR(__xludf.DUMMYFUNCTION("""COMPUTED_VALUE"""),"Stewardship (Aquatic)")</f>
        <v>Stewardship (Aquatic)</v>
      </c>
      <c r="E212" t="str">
        <f>IFERROR(__xludf.DUMMYFUNCTION("""COMPUTED_VALUE"""),"Faver-Dykes")</f>
        <v>Faver-Dykes</v>
      </c>
      <c r="F212" s="13">
        <f>IFERROR(__xludf.DUMMYFUNCTION("""COMPUTED_VALUE"""),0.4375)</f>
        <v>0.4375</v>
      </c>
      <c r="G212" s="14">
        <f>IFERROR(__xludf.DUMMYFUNCTION("""COMPUTED_VALUE"""),43447.0)</f>
        <v>43447</v>
      </c>
      <c r="H212" t="str">
        <f>IFERROR(__xludf.DUMMYFUNCTION("""COMPUTED_VALUE"""),"Upper Pellicer Creek")</f>
        <v>Upper Pellicer Creek</v>
      </c>
      <c r="I212" s="15">
        <f>IFERROR(__xludf.DUMMYFUNCTION("""COMPUTED_VALUE"""),0.625)</f>
        <v>0.625</v>
      </c>
      <c r="J212" s="16">
        <f>IFERROR(__xludf.DUMMYFUNCTION("""COMPUTED_VALUE"""),43447.6875)</f>
        <v>43447.6875</v>
      </c>
      <c r="K212" t="str">
        <f>IFERROR(__xludf.DUMMYFUNCTION("""COMPUTED_VALUE"""),"23ft Skiff (Bertha) FL7972LJ DEP07613")</f>
        <v>23ft Skiff (Bertha) FL7972LJ DEP07613</v>
      </c>
      <c r="M212" t="str">
        <f>IFERROR(__xludf.DUMMYFUNCTION("""COMPUTED_VALUE"""),"Ford F150 2015 (White) - DEP21448")</f>
        <v>Ford F150 2015 (White) - DEP21448</v>
      </c>
      <c r="N212" t="str">
        <f>IFERROR(__xludf.DUMMYFUNCTION("""COMPUTED_VALUE"""),"Pam Marcum, (480) 332-5414")</f>
        <v>Pam Marcum, (480) 332-5414</v>
      </c>
      <c r="O212" t="str">
        <f>IFERROR(__xludf.DUMMYFUNCTION("""COMPUTED_VALUE"""),"Tom Fox")</f>
        <v>Tom Fox</v>
      </c>
      <c r="P212" t="str">
        <f>IFERROR(__xludf.DUMMYFUNCTION("""COMPUTED_VALUE"""),"Pam")</f>
        <v>Pam</v>
      </c>
      <c r="Q212" t="str">
        <f>IFERROR(__xludf.DUMMYFUNCTION("""COMPUTED_VALUE"""),"Good")</f>
        <v>Good</v>
      </c>
      <c r="R212" t="str">
        <f>IFERROR(__xludf.DUMMYFUNCTION("""COMPUTED_VALUE"""),"Good")</f>
        <v>Good</v>
      </c>
      <c r="S212" t="str">
        <f>IFERROR(__xludf.DUMMYFUNCTION("""COMPUTED_VALUE"""),"Good")</f>
        <v>Good</v>
      </c>
      <c r="T212" t="str">
        <f>IFERROR(__xludf.DUMMYFUNCTION("""COMPUTED_VALUE"""),"Good")</f>
        <v>Good</v>
      </c>
      <c r="U212" t="str">
        <f>IFERROR(__xludf.DUMMYFUNCTION("""COMPUTED_VALUE"""),"Good")</f>
        <v>Good</v>
      </c>
      <c r="V212" t="str">
        <f>IFERROR(__xludf.DUMMYFUNCTION("""COMPUTED_VALUE"""),"Good")</f>
        <v>Good</v>
      </c>
      <c r="W212" t="str">
        <f>IFERROR(__xludf.DUMMYFUNCTION("""COMPUTED_VALUE"""),"Good")</f>
        <v>Good</v>
      </c>
      <c r="X212" t="str">
        <f>IFERROR(__xludf.DUMMYFUNCTION("""COMPUTED_VALUE"""),"Good")</f>
        <v>Good</v>
      </c>
      <c r="Y212" t="str">
        <f>IFERROR(__xludf.DUMMYFUNCTION("""COMPUTED_VALUE"""),"Good")</f>
        <v>Good</v>
      </c>
      <c r="Z212" t="str">
        <f>IFERROR(__xludf.DUMMYFUNCTION("""COMPUTED_VALUE"""),"Good")</f>
        <v>Good</v>
      </c>
      <c r="AA212" t="str">
        <f>IFERROR(__xludf.DUMMYFUNCTION("""COMPUTED_VALUE"""),"Good")</f>
        <v>Good</v>
      </c>
      <c r="AB212" t="str">
        <f>IFERROR(__xludf.DUMMYFUNCTION("""COMPUTED_VALUE"""),"Good")</f>
        <v>Good</v>
      </c>
      <c r="AC212" t="str">
        <f>IFERROR(__xludf.DUMMYFUNCTION("""COMPUTED_VALUE"""),"Good")</f>
        <v>Good</v>
      </c>
      <c r="AE212" s="11"/>
      <c r="AF212" t="s">
        <v>32</v>
      </c>
      <c r="AG212" s="17" t="s">
        <v>18</v>
      </c>
      <c r="AH212" s="12">
        <v>1200.0</v>
      </c>
      <c r="AI212" s="12" t="s">
        <v>582</v>
      </c>
      <c r="AJ212" s="19" t="s">
        <v>583</v>
      </c>
      <c r="AK212" s="20" t="str">
        <f>HYPERLINK("https://docs.google.com/document/d/1zstXvM6CwDhboX8ljkxSJeWbw2aJlIOMC9rK3xtsd2U/edit?usp=drivesdk","Pamela Marcum - 12/13/2018 10:30 AM")</f>
        <v>Pamela Marcum - 12/13/2018 10:30 AM</v>
      </c>
      <c r="AL212" s="12" t="s">
        <v>584</v>
      </c>
    </row>
    <row r="213">
      <c r="A213" s="10">
        <f>IFERROR(__xludf.DUMMYFUNCTION("""COMPUTED_VALUE"""),43451.33877928241)</f>
        <v>43451.33878</v>
      </c>
      <c r="B213" s="11" t="str">
        <f>IFERROR(__xludf.DUMMYFUNCTION("""COMPUTED_VALUE"""),"james tomazinis")</f>
        <v>james tomazinis</v>
      </c>
      <c r="C213" t="str">
        <f>IFERROR(__xludf.DUMMYFUNCTION("""COMPUTED_VALUE"""),"james.tomazinis@floridadep.gov")</f>
        <v>james.tomazinis@floridadep.gov</v>
      </c>
      <c r="D213" t="str">
        <f>IFERROR(__xludf.DUMMYFUNCTION("""COMPUTED_VALUE"""),"Stewardship (Aquatic)")</f>
        <v>Stewardship (Aquatic)</v>
      </c>
      <c r="E213" t="str">
        <f>IFERROR(__xludf.DUMMYFUNCTION("""COMPUTED_VALUE"""),"Sawpit Creek")</f>
        <v>Sawpit Creek</v>
      </c>
      <c r="F213" s="13">
        <f>IFERROR(__xludf.DUMMYFUNCTION("""COMPUTED_VALUE"""),0.40625)</f>
        <v>0.40625</v>
      </c>
      <c r="G213" s="14">
        <f>IFERROR(__xludf.DUMMYFUNCTION("""COMPUTED_VALUE"""),43451.0)</f>
        <v>43451</v>
      </c>
      <c r="H213" t="str">
        <f>IFERROR(__xludf.DUMMYFUNCTION("""COMPUTED_VALUE"""),"Nassauville and Nassau sound")</f>
        <v>Nassauville and Nassau sound</v>
      </c>
      <c r="I213" s="15">
        <f>IFERROR(__xludf.DUMMYFUNCTION("""COMPUTED_VALUE"""),0.6666666666678793)</f>
        <v>0.6666666667</v>
      </c>
      <c r="J213" s="16"/>
      <c r="K213" t="str">
        <f>IFERROR(__xludf.DUMMYFUNCTION("""COMPUTED_VALUE"""),"F 20ft Sea Ark (Easy 200) FL8534PY DEP21451")</f>
        <v>F 20ft Sea Ark (Easy 200) FL8534PY DEP21451</v>
      </c>
      <c r="M213" t="str">
        <f>IFERROR(__xludf.DUMMYFUNCTION("""COMPUTED_VALUE"""),"Ford F150 2015 (White) - DEP21448")</f>
        <v>Ford F150 2015 (White) - DEP21448</v>
      </c>
      <c r="N213" t="str">
        <f>IFERROR(__xludf.DUMMYFUNCTION("""COMPUTED_VALUE"""),"Scott Eastman, (904) 501-9267, Jimmy Tomazinis, (904) 547-0094, Mike Dicksone")</f>
        <v>Scott Eastman, (904) 501-9267, Jimmy Tomazinis, (904) 547-0094, Mike Dicksone</v>
      </c>
      <c r="O213" t="str">
        <f>IFERROR(__xludf.DUMMYFUNCTION("""COMPUTED_VALUE"""),"Suzi Porterfield")</f>
        <v>Suzi Porterfield</v>
      </c>
      <c r="P213" t="str">
        <f>IFERROR(__xludf.DUMMYFUNCTION("""COMPUTED_VALUE"""),"Jimmy")</f>
        <v>Jimmy</v>
      </c>
      <c r="Q213" t="str">
        <f>IFERROR(__xludf.DUMMYFUNCTION("""COMPUTED_VALUE"""),"Good")</f>
        <v>Good</v>
      </c>
      <c r="R213" t="str">
        <f>IFERROR(__xludf.DUMMYFUNCTION("""COMPUTED_VALUE"""),"Good")</f>
        <v>Good</v>
      </c>
      <c r="S213" t="str">
        <f>IFERROR(__xludf.DUMMYFUNCTION("""COMPUTED_VALUE"""),"Good")</f>
        <v>Good</v>
      </c>
      <c r="T213" t="str">
        <f>IFERROR(__xludf.DUMMYFUNCTION("""COMPUTED_VALUE"""),"Good")</f>
        <v>Good</v>
      </c>
      <c r="U213" t="str">
        <f>IFERROR(__xludf.DUMMYFUNCTION("""COMPUTED_VALUE"""),"Good")</f>
        <v>Good</v>
      </c>
      <c r="V213" t="str">
        <f>IFERROR(__xludf.DUMMYFUNCTION("""COMPUTED_VALUE"""),"Good")</f>
        <v>Good</v>
      </c>
      <c r="W213" t="str">
        <f>IFERROR(__xludf.DUMMYFUNCTION("""COMPUTED_VALUE"""),"Good")</f>
        <v>Good</v>
      </c>
      <c r="X213" t="str">
        <f>IFERROR(__xludf.DUMMYFUNCTION("""COMPUTED_VALUE"""),"Good")</f>
        <v>Good</v>
      </c>
      <c r="Y213" t="str">
        <f>IFERROR(__xludf.DUMMYFUNCTION("""COMPUTED_VALUE"""),"Good")</f>
        <v>Good</v>
      </c>
      <c r="Z213" t="str">
        <f>IFERROR(__xludf.DUMMYFUNCTION("""COMPUTED_VALUE"""),"Good")</f>
        <v>Good</v>
      </c>
      <c r="AA213" t="str">
        <f>IFERROR(__xludf.DUMMYFUNCTION("""COMPUTED_VALUE"""),"Good")</f>
        <v>Good</v>
      </c>
      <c r="AB213" t="str">
        <f>IFERROR(__xludf.DUMMYFUNCTION("""COMPUTED_VALUE"""),"Good")</f>
        <v>Good</v>
      </c>
      <c r="AC213" t="str">
        <f>IFERROR(__xludf.DUMMYFUNCTION("""COMPUTED_VALUE"""),"Good")</f>
        <v>Good</v>
      </c>
      <c r="AE213" s="11"/>
      <c r="AF213" t="s">
        <v>32</v>
      </c>
      <c r="AG213" s="17" t="s">
        <v>22</v>
      </c>
      <c r="AH213" s="12">
        <v>1500.0</v>
      </c>
      <c r="AI213" s="12" t="s">
        <v>585</v>
      </c>
      <c r="AJ213" s="19" t="s">
        <v>586</v>
      </c>
      <c r="AK213" s="20" t="str">
        <f>HYPERLINK("https://docs.google.com/document/d/1YjoS9sKmNES22k8xi23oxX83WayzKLWesHbnmpWte98/edit?usp=drivesdk","james tomazinis - 12/17/2018 9:45 AM")</f>
        <v>james tomazinis - 12/17/2018 9:45 AM</v>
      </c>
      <c r="AL213" s="12" t="s">
        <v>587</v>
      </c>
    </row>
    <row r="214">
      <c r="A214" s="10">
        <f>IFERROR(__xludf.DUMMYFUNCTION("""COMPUTED_VALUE"""),43453.28199550926)</f>
        <v>43453.282</v>
      </c>
      <c r="B214" s="11" t="str">
        <f>IFERROR(__xludf.DUMMYFUNCTION("""COMPUTED_VALUE"""),"Silas Tanner")</f>
        <v>Silas Tanner</v>
      </c>
      <c r="C214" t="str">
        <f>IFERROR(__xludf.DUMMYFUNCTION("""COMPUTED_VALUE"""),"silas.tanner@floridadep.gov")</f>
        <v>silas.tanner@floridadep.gov</v>
      </c>
      <c r="D214" t="str">
        <f>IFERROR(__xludf.DUMMYFUNCTION("""COMPUTED_VALUE"""),"Research/Nikki")</f>
        <v>Research/Nikki</v>
      </c>
      <c r="E214" t="str">
        <f>IFERROR(__xludf.DUMMYFUNCTION("""COMPUTED_VALUE"""),"Vilano Landing")</f>
        <v>Vilano Landing</v>
      </c>
      <c r="F214" s="13">
        <f>IFERROR(__xludf.DUMMYFUNCTION("""COMPUTED_VALUE"""),0.29861111110949423)</f>
        <v>0.2986111111</v>
      </c>
      <c r="G214" s="14">
        <f>IFERROR(__xludf.DUMMYFUNCTION("""COMPUTED_VALUE"""),43453.0)</f>
        <v>43453</v>
      </c>
      <c r="H214" t="str">
        <f>IFERROR(__xludf.DUMMYFUNCTION("""COMPUTED_VALUE"""),"ICW SWMP sites")</f>
        <v>ICW SWMP sites</v>
      </c>
      <c r="I214" s="15">
        <f>IFERROR(__xludf.DUMMYFUNCTION("""COMPUTED_VALUE"""),0.53125)</f>
        <v>0.53125</v>
      </c>
      <c r="J214" s="16">
        <f>IFERROR(__xludf.DUMMYFUNCTION("""COMPUTED_VALUE"""),43453.55208333333)</f>
        <v>43453.55208</v>
      </c>
      <c r="K214" t="str">
        <f>IFERROR(__xludf.DUMMYFUNCTION("""COMPUTED_VALUE"""),"20ft Sea Ark FL5351SJ UNF 2015")</f>
        <v>20ft Sea Ark FL5351SJ UNF 2015</v>
      </c>
      <c r="M214" t="str">
        <f>IFERROR(__xludf.DUMMYFUNCTION("""COMPUTED_VALUE"""),"Ford F250 2017 (Moby Dix) - DEP0021578")</f>
        <v>Ford F250 2017 (Moby Dix) - DEP0021578</v>
      </c>
      <c r="N214" t="str">
        <f>IFERROR(__xludf.DUMMYFUNCTION("""COMPUTED_VALUE"""),"Silas Tanner, (904) 483-8423")</f>
        <v>Silas Tanner, (904) 483-8423</v>
      </c>
      <c r="O214" t="str">
        <f>IFERROR(__xludf.DUMMYFUNCTION("""COMPUTED_VALUE"""),"Suzi Porterfield")</f>
        <v>Suzi Porterfield</v>
      </c>
      <c r="P214" t="str">
        <f>IFERROR(__xludf.DUMMYFUNCTION("""COMPUTED_VALUE"""),"Tanner")</f>
        <v>Tanner</v>
      </c>
      <c r="Q214" t="str">
        <f>IFERROR(__xludf.DUMMYFUNCTION("""COMPUTED_VALUE"""),"Good")</f>
        <v>Good</v>
      </c>
      <c r="R214" t="str">
        <f>IFERROR(__xludf.DUMMYFUNCTION("""COMPUTED_VALUE"""),"Good")</f>
        <v>Good</v>
      </c>
      <c r="S214" t="str">
        <f>IFERROR(__xludf.DUMMYFUNCTION("""COMPUTED_VALUE"""),"Good")</f>
        <v>Good</v>
      </c>
      <c r="T214" t="str">
        <f>IFERROR(__xludf.DUMMYFUNCTION("""COMPUTED_VALUE"""),"Good")</f>
        <v>Good</v>
      </c>
      <c r="U214" t="str">
        <f>IFERROR(__xludf.DUMMYFUNCTION("""COMPUTED_VALUE"""),"Good")</f>
        <v>Good</v>
      </c>
      <c r="V214" t="str">
        <f>IFERROR(__xludf.DUMMYFUNCTION("""COMPUTED_VALUE"""),"Good")</f>
        <v>Good</v>
      </c>
      <c r="W214" t="str">
        <f>IFERROR(__xludf.DUMMYFUNCTION("""COMPUTED_VALUE"""),"Good")</f>
        <v>Good</v>
      </c>
      <c r="X214" t="str">
        <f>IFERROR(__xludf.DUMMYFUNCTION("""COMPUTED_VALUE"""),"Good")</f>
        <v>Good</v>
      </c>
      <c r="Y214" t="str">
        <f>IFERROR(__xludf.DUMMYFUNCTION("""COMPUTED_VALUE"""),"Good")</f>
        <v>Good</v>
      </c>
      <c r="Z214" t="str">
        <f>IFERROR(__xludf.DUMMYFUNCTION("""COMPUTED_VALUE"""),"Good")</f>
        <v>Good</v>
      </c>
      <c r="AA214" t="str">
        <f>IFERROR(__xludf.DUMMYFUNCTION("""COMPUTED_VALUE"""),"Good")</f>
        <v>Good</v>
      </c>
      <c r="AB214" t="str">
        <f>IFERROR(__xludf.DUMMYFUNCTION("""COMPUTED_VALUE"""),"Good")</f>
        <v>Good</v>
      </c>
      <c r="AC214" t="str">
        <f>IFERROR(__xludf.DUMMYFUNCTION("""COMPUTED_VALUE"""),"Good")</f>
        <v>Good</v>
      </c>
      <c r="AE214" s="11"/>
      <c r="AF214" t="s">
        <v>218</v>
      </c>
      <c r="AG214" s="17" t="s">
        <v>18</v>
      </c>
      <c r="AH214" s="12">
        <v>1145.0</v>
      </c>
      <c r="AI214" s="12" t="s">
        <v>588</v>
      </c>
      <c r="AJ214" s="19" t="s">
        <v>589</v>
      </c>
      <c r="AK214" s="20" t="str">
        <f>HYPERLINK("https://docs.google.com/document/d/1YiWcFq3l08V3qBUS4JCJ18wDAAtAadOsJGTbNWJ7y0o/edit?usp=drivesdk","Silas Tanner - 12/19/2018 7:10 AM")</f>
        <v>Silas Tanner - 12/19/2018 7:10 AM</v>
      </c>
      <c r="AL214" s="12" t="s">
        <v>590</v>
      </c>
    </row>
    <row r="215">
      <c r="A215" s="10">
        <f>IFERROR(__xludf.DUMMYFUNCTION("""COMPUTED_VALUE"""),43460.40788493055)</f>
        <v>43460.40788</v>
      </c>
      <c r="B215" s="11" t="str">
        <f>IFERROR(__xludf.DUMMYFUNCTION("""COMPUTED_VALUE"""),"Ben Mowbray")</f>
        <v>Ben Mowbray</v>
      </c>
      <c r="C215" t="str">
        <f>IFERROR(__xludf.DUMMYFUNCTION("""COMPUTED_VALUE"""),"ben.mowbray@dep.state.fl.us")</f>
        <v>ben.mowbray@dep.state.fl.us</v>
      </c>
      <c r="D215" t="str">
        <f>IFERROR(__xludf.DUMMYFUNCTION("""COMPUTED_VALUE"""),"Research/Pam")</f>
        <v>Research/Pam</v>
      </c>
      <c r="E215" t="str">
        <f>IFERROR(__xludf.DUMMYFUNCTION("""COMPUTED_VALUE"""),"Douglas Crane")</f>
        <v>Douglas Crane</v>
      </c>
      <c r="F215" s="13">
        <f>IFERROR(__xludf.DUMMYFUNCTION("""COMPUTED_VALUE"""),0.4583333333321207)</f>
        <v>0.4583333333</v>
      </c>
      <c r="G215" s="14">
        <f>IFERROR(__xludf.DUMMYFUNCTION("""COMPUTED_VALUE"""),43460.0)</f>
        <v>43460</v>
      </c>
      <c r="H215" t="str">
        <f>IFERROR(__xludf.DUMMYFUNCTION("""COMPUTED_VALUE"""),"Chapman Middle Site")</f>
        <v>Chapman Middle Site</v>
      </c>
      <c r="I215" s="15">
        <f>IFERROR(__xludf.DUMMYFUNCTION("""COMPUTED_VALUE"""),0.6666666666678793)</f>
        <v>0.6666666667</v>
      </c>
      <c r="J215" s="16">
        <f>IFERROR(__xludf.DUMMYFUNCTION("""COMPUTED_VALUE"""),43460.694444444445)</f>
        <v>43460.69444</v>
      </c>
      <c r="K215" t="str">
        <f>IFERROR(__xludf.DUMMYFUNCTION("""COMPUTED_VALUE"""),"F 20ft Sea Ark (Easy 200) FL8534PY DEP21451")</f>
        <v>F 20ft Sea Ark (Easy 200) FL8534PY DEP21451</v>
      </c>
      <c r="M215" t="str">
        <f>IFERROR(__xludf.DUMMYFUNCTION("""COMPUTED_VALUE"""),"Ford F250 2017 (Moby Dix) - DEP0021578")</f>
        <v>Ford F250 2017 (Moby Dix) - DEP0021578</v>
      </c>
      <c r="N215" t="str">
        <f>IFERROR(__xludf.DUMMYFUNCTION("""COMPUTED_VALUE"""),"Ben Mowbray, (407) 962-8782")</f>
        <v>Ben Mowbray, (407) 962-8782</v>
      </c>
      <c r="O215" t="str">
        <f>IFERROR(__xludf.DUMMYFUNCTION("""COMPUTED_VALUE"""),"Gabriela Canas, (904) 891-9743")</f>
        <v>Gabriela Canas, (904) 891-9743</v>
      </c>
      <c r="P215" t="str">
        <f>IFERROR(__xludf.DUMMYFUNCTION("""COMPUTED_VALUE"""),"Ben")</f>
        <v>Ben</v>
      </c>
      <c r="Q215" t="str">
        <f>IFERROR(__xludf.DUMMYFUNCTION("""COMPUTED_VALUE"""),"Good")</f>
        <v>Good</v>
      </c>
      <c r="R215" t="str">
        <f>IFERROR(__xludf.DUMMYFUNCTION("""COMPUTED_VALUE"""),"Good")</f>
        <v>Good</v>
      </c>
      <c r="S215" t="str">
        <f>IFERROR(__xludf.DUMMYFUNCTION("""COMPUTED_VALUE"""),"Good")</f>
        <v>Good</v>
      </c>
      <c r="T215" t="str">
        <f>IFERROR(__xludf.DUMMYFUNCTION("""COMPUTED_VALUE"""),"Good")</f>
        <v>Good</v>
      </c>
      <c r="U215" t="str">
        <f>IFERROR(__xludf.DUMMYFUNCTION("""COMPUTED_VALUE"""),"Good")</f>
        <v>Good</v>
      </c>
      <c r="V215" t="str">
        <f>IFERROR(__xludf.DUMMYFUNCTION("""COMPUTED_VALUE"""),"Good")</f>
        <v>Good</v>
      </c>
      <c r="W215" t="str">
        <f>IFERROR(__xludf.DUMMYFUNCTION("""COMPUTED_VALUE"""),"Good")</f>
        <v>Good</v>
      </c>
      <c r="X215" t="str">
        <f>IFERROR(__xludf.DUMMYFUNCTION("""COMPUTED_VALUE"""),"Good")</f>
        <v>Good</v>
      </c>
      <c r="Y215" t="str">
        <f>IFERROR(__xludf.DUMMYFUNCTION("""COMPUTED_VALUE"""),"Good")</f>
        <v>Good</v>
      </c>
      <c r="Z215" t="str">
        <f>IFERROR(__xludf.DUMMYFUNCTION("""COMPUTED_VALUE"""),"Good")</f>
        <v>Good</v>
      </c>
      <c r="AA215" t="str">
        <f>IFERROR(__xludf.DUMMYFUNCTION("""COMPUTED_VALUE"""),"Good")</f>
        <v>Good</v>
      </c>
      <c r="AB215" t="str">
        <f>IFERROR(__xludf.DUMMYFUNCTION("""COMPUTED_VALUE"""),"Good")</f>
        <v>Good</v>
      </c>
      <c r="AC215" t="str">
        <f>IFERROR(__xludf.DUMMYFUNCTION("""COMPUTED_VALUE"""),"Good")</f>
        <v>Good</v>
      </c>
      <c r="AE215" s="11"/>
      <c r="AF215" t="s">
        <v>262</v>
      </c>
      <c r="AG215" s="17" t="s">
        <v>43</v>
      </c>
      <c r="AH215" s="12">
        <v>1630.0</v>
      </c>
      <c r="AI215" s="12" t="s">
        <v>591</v>
      </c>
      <c r="AJ215" s="19" t="s">
        <v>592</v>
      </c>
      <c r="AK215" s="20" t="str">
        <f>HYPERLINK("https://docs.google.com/document/d/1urGKS6Hhgz61wxKnJxIwXPH6FT9q0n0PP04qBW5_huw/edit?usp=drivesdk","Ben Mowbray - 12/26/2018 11:00 AM")</f>
        <v>Ben Mowbray - 12/26/2018 11:00 AM</v>
      </c>
      <c r="AL215" s="12" t="s">
        <v>593</v>
      </c>
    </row>
    <row r="216">
      <c r="A216" s="10">
        <f>IFERROR(__xludf.DUMMYFUNCTION("""COMPUTED_VALUE"""),43467.38464540509)</f>
        <v>43467.38465</v>
      </c>
      <c r="B216" s="11" t="str">
        <f>IFERROR(__xludf.DUMMYFUNCTION("""COMPUTED_VALUE"""),"Ben Mowbray")</f>
        <v>Ben Mowbray</v>
      </c>
      <c r="C216" t="str">
        <f>IFERROR(__xludf.DUMMYFUNCTION("""COMPUTED_VALUE"""),"ben.mowbray@dep.state.fl.us")</f>
        <v>ben.mowbray@dep.state.fl.us</v>
      </c>
      <c r="D216" t="str">
        <f>IFERROR(__xludf.DUMMYFUNCTION("""COMPUTED_VALUE"""),"Research/Nikki")</f>
        <v>Research/Nikki</v>
      </c>
      <c r="E216" t="str">
        <f>IFERROR(__xludf.DUMMYFUNCTION("""COMPUTED_VALUE"""),"Aunt Kate's")</f>
        <v>Aunt Kate's</v>
      </c>
      <c r="F216" s="13">
        <f>IFERROR(__xludf.DUMMYFUNCTION("""COMPUTED_VALUE"""),0.4166666666678793)</f>
        <v>0.4166666667</v>
      </c>
      <c r="G216" s="14">
        <f>IFERROR(__xludf.DUMMYFUNCTION("""COMPUTED_VALUE"""),43467.0)</f>
        <v>43467</v>
      </c>
      <c r="H216" t="str">
        <f>IFERROR(__xludf.DUMMYFUNCTION("""COMPUTED_VALUE"""),"Spat Run")</f>
        <v>Spat Run</v>
      </c>
      <c r="I216" s="15">
        <f>IFERROR(__xludf.DUMMYFUNCTION("""COMPUTED_VALUE"""),0.625)</f>
        <v>0.625</v>
      </c>
      <c r="J216" s="16">
        <f>IFERROR(__xludf.DUMMYFUNCTION("""COMPUTED_VALUE"""),43467.65277777778)</f>
        <v>43467.65278</v>
      </c>
      <c r="K216" t="str">
        <f>IFERROR(__xludf.DUMMYFUNCTION("""COMPUTED_VALUE"""),"23ft Skiff (Bertha) FL7972LJ DEP07613")</f>
        <v>23ft Skiff (Bertha) FL7972LJ DEP07613</v>
      </c>
      <c r="M216" t="str">
        <f>IFERROR(__xludf.DUMMYFUNCTION("""COMPUTED_VALUE"""),"Ford F150 2015 (White) - DEP21448")</f>
        <v>Ford F150 2015 (White) - DEP21448</v>
      </c>
      <c r="N216" t="str">
        <f>IFERROR(__xludf.DUMMYFUNCTION("""COMPUTED_VALUE"""),"Ben Mowbray, (407) 962-8782")</f>
        <v>Ben Mowbray, (407) 962-8782</v>
      </c>
      <c r="O216" t="str">
        <f>IFERROR(__xludf.DUMMYFUNCTION("""COMPUTED_VALUE"""),"Alicia Bishop")</f>
        <v>Alicia Bishop</v>
      </c>
      <c r="P216" t="str">
        <f>IFERROR(__xludf.DUMMYFUNCTION("""COMPUTED_VALUE"""),"Ben")</f>
        <v>Ben</v>
      </c>
      <c r="Q216" t="str">
        <f>IFERROR(__xludf.DUMMYFUNCTION("""COMPUTED_VALUE"""),"Good")</f>
        <v>Good</v>
      </c>
      <c r="R216" t="str">
        <f>IFERROR(__xludf.DUMMYFUNCTION("""COMPUTED_VALUE"""),"Good")</f>
        <v>Good</v>
      </c>
      <c r="S216" t="str">
        <f>IFERROR(__xludf.DUMMYFUNCTION("""COMPUTED_VALUE"""),"Good")</f>
        <v>Good</v>
      </c>
      <c r="T216" t="str">
        <f>IFERROR(__xludf.DUMMYFUNCTION("""COMPUTED_VALUE"""),"Good")</f>
        <v>Good</v>
      </c>
      <c r="U216" t="str">
        <f>IFERROR(__xludf.DUMMYFUNCTION("""COMPUTED_VALUE"""),"Good")</f>
        <v>Good</v>
      </c>
      <c r="V216" t="str">
        <f>IFERROR(__xludf.DUMMYFUNCTION("""COMPUTED_VALUE"""),"Good")</f>
        <v>Good</v>
      </c>
      <c r="W216" t="str">
        <f>IFERROR(__xludf.DUMMYFUNCTION("""COMPUTED_VALUE"""),"Good")</f>
        <v>Good</v>
      </c>
      <c r="X216" t="str">
        <f>IFERROR(__xludf.DUMMYFUNCTION("""COMPUTED_VALUE"""),"Good")</f>
        <v>Good</v>
      </c>
      <c r="Y216" t="str">
        <f>IFERROR(__xludf.DUMMYFUNCTION("""COMPUTED_VALUE"""),"Good")</f>
        <v>Good</v>
      </c>
      <c r="Z216" t="str">
        <f>IFERROR(__xludf.DUMMYFUNCTION("""COMPUTED_VALUE"""),"Good")</f>
        <v>Good</v>
      </c>
      <c r="AA216" t="str">
        <f>IFERROR(__xludf.DUMMYFUNCTION("""COMPUTED_VALUE"""),"Good")</f>
        <v>Good</v>
      </c>
      <c r="AB216" t="str">
        <f>IFERROR(__xludf.DUMMYFUNCTION("""COMPUTED_VALUE"""),"Good")</f>
        <v>Good</v>
      </c>
      <c r="AC216" t="str">
        <f>IFERROR(__xludf.DUMMYFUNCTION("""COMPUTED_VALUE"""),"Good")</f>
        <v>Good</v>
      </c>
      <c r="AE216" s="11"/>
      <c r="AF216" t="s">
        <v>218</v>
      </c>
      <c r="AG216" s="17" t="s">
        <v>43</v>
      </c>
      <c r="AH216" s="12">
        <v>1600.0</v>
      </c>
      <c r="AI216" s="12" t="s">
        <v>594</v>
      </c>
      <c r="AJ216" s="19" t="s">
        <v>595</v>
      </c>
      <c r="AK216" s="20" t="str">
        <f>HYPERLINK("https://docs.google.com/document/d/1Uul-M4yHrQoQPnrQFZYN9DfqLTVHhiUvwWZpw-wNmWI/edit?usp=drivesdk","Ben Mowbray - 1/2/2019 10:00 AM")</f>
        <v>Ben Mowbray - 1/2/2019 10:00 AM</v>
      </c>
      <c r="AL216" s="12" t="s">
        <v>596</v>
      </c>
    </row>
    <row r="217">
      <c r="A217" s="10">
        <f>IFERROR(__xludf.DUMMYFUNCTION("""COMPUTED_VALUE"""),43467.40095329861)</f>
        <v>43467.40095</v>
      </c>
      <c r="B217" s="11" t="str">
        <f>IFERROR(__xludf.DUMMYFUNCTION("""COMPUTED_VALUE"""),"Pamela Marcum")</f>
        <v>Pamela Marcum</v>
      </c>
      <c r="C217" t="str">
        <f>IFERROR(__xludf.DUMMYFUNCTION("""COMPUTED_VALUE"""),"Pamela.Marcum@dep.state.fl.us")</f>
        <v>Pamela.Marcum@dep.state.fl.us</v>
      </c>
      <c r="D217" t="str">
        <f>IFERROR(__xludf.DUMMYFUNCTION("""COMPUTED_VALUE"""),"Research/Nikki")</f>
        <v>Research/Nikki</v>
      </c>
      <c r="E217" t="str">
        <f>IFERROR(__xludf.DUMMYFUNCTION("""COMPUTED_VALUE"""),"Shore Drive 10a, Green Rd 1p, Bings 3p")</f>
        <v>Shore Drive 10a, Green Rd 1p, Bings 3p</v>
      </c>
      <c r="F217" s="13">
        <f>IFERROR(__xludf.DUMMYFUNCTION("""COMPUTED_VALUE"""),0.4166666666678793)</f>
        <v>0.4166666667</v>
      </c>
      <c r="G217" s="14">
        <f>IFERROR(__xludf.DUMMYFUNCTION("""COMPUTED_VALUE"""),43467.0)</f>
        <v>43467</v>
      </c>
      <c r="H217" t="str">
        <f>IFERROR(__xludf.DUMMYFUNCTION("""COMPUTED_VALUE"""),"spat trees")</f>
        <v>spat trees</v>
      </c>
      <c r="I217" s="15">
        <f>IFERROR(__xludf.DUMMYFUNCTION("""COMPUTED_VALUE"""),0.7083333333321207)</f>
        <v>0.7083333333</v>
      </c>
      <c r="J217" s="16">
        <f>IFERROR(__xludf.DUMMYFUNCTION("""COMPUTED_VALUE"""),43467.77083333333)</f>
        <v>43467.77083</v>
      </c>
      <c r="K217" t="str">
        <f>IFERROR(__xludf.DUMMYFUNCTION("""COMPUTED_VALUE"""),"20ft Sea Ark FL5351SJ UNF 2015")</f>
        <v>20ft Sea Ark FL5351SJ UNF 2015</v>
      </c>
      <c r="M217" t="str">
        <f>IFERROR(__xludf.DUMMYFUNCTION("""COMPUTED_VALUE"""),"Ford F150 2008 - DEP18041 (SWMP Thing)")</f>
        <v>Ford F150 2008 - DEP18041 (SWMP Thing)</v>
      </c>
      <c r="N217" t="str">
        <f>IFERROR(__xludf.DUMMYFUNCTION("""COMPUTED_VALUE"""),"Pam Marcum, (480) 332-5414, Remo Mondazzi")</f>
        <v>Pam Marcum, (480) 332-5414, Remo Mondazzi</v>
      </c>
      <c r="P217" t="str">
        <f>IFERROR(__xludf.DUMMYFUNCTION("""COMPUTED_VALUE"""),"Pam")</f>
        <v>Pam</v>
      </c>
      <c r="Q217" t="str">
        <f>IFERROR(__xludf.DUMMYFUNCTION("""COMPUTED_VALUE"""),"Good")</f>
        <v>Good</v>
      </c>
      <c r="R217" t="str">
        <f>IFERROR(__xludf.DUMMYFUNCTION("""COMPUTED_VALUE"""),"Good")</f>
        <v>Good</v>
      </c>
      <c r="S217" t="str">
        <f>IFERROR(__xludf.DUMMYFUNCTION("""COMPUTED_VALUE"""),"Good")</f>
        <v>Good</v>
      </c>
      <c r="T217" t="str">
        <f>IFERROR(__xludf.DUMMYFUNCTION("""COMPUTED_VALUE"""),"Good")</f>
        <v>Good</v>
      </c>
      <c r="U217" t="str">
        <f>IFERROR(__xludf.DUMMYFUNCTION("""COMPUTED_VALUE"""),"Good")</f>
        <v>Good</v>
      </c>
      <c r="V217" t="str">
        <f>IFERROR(__xludf.DUMMYFUNCTION("""COMPUTED_VALUE"""),"Good")</f>
        <v>Good</v>
      </c>
      <c r="W217" t="str">
        <f>IFERROR(__xludf.DUMMYFUNCTION("""COMPUTED_VALUE"""),"Good")</f>
        <v>Good</v>
      </c>
      <c r="X217" t="str">
        <f>IFERROR(__xludf.DUMMYFUNCTION("""COMPUTED_VALUE"""),"Good")</f>
        <v>Good</v>
      </c>
      <c r="Y217" t="str">
        <f>IFERROR(__xludf.DUMMYFUNCTION("""COMPUTED_VALUE"""),"Good")</f>
        <v>Good</v>
      </c>
      <c r="Z217" t="str">
        <f>IFERROR(__xludf.DUMMYFUNCTION("""COMPUTED_VALUE"""),"Good")</f>
        <v>Good</v>
      </c>
      <c r="AA217" t="str">
        <f>IFERROR(__xludf.DUMMYFUNCTION("""COMPUTED_VALUE"""),"Good")</f>
        <v>Good</v>
      </c>
      <c r="AB217" t="str">
        <f>IFERROR(__xludf.DUMMYFUNCTION("""COMPUTED_VALUE"""),"Good")</f>
        <v>Good</v>
      </c>
      <c r="AC217" t="str">
        <f>IFERROR(__xludf.DUMMYFUNCTION("""COMPUTED_VALUE"""),"Good")</f>
        <v>Good</v>
      </c>
      <c r="AE217" s="11"/>
      <c r="AF217" t="s">
        <v>218</v>
      </c>
      <c r="AG217" s="17" t="s">
        <v>43</v>
      </c>
      <c r="AH217" s="12">
        <v>1440.0</v>
      </c>
      <c r="AI217" s="12" t="s">
        <v>597</v>
      </c>
      <c r="AJ217" s="19" t="s">
        <v>598</v>
      </c>
      <c r="AK217" s="20" t="str">
        <f>HYPERLINK("https://docs.google.com/document/d/11wDe1iSta-uPiSj3aBwpM_PUcVB86619YC5CLL_mQ-I/edit?usp=drivesdk","Pamela Marcum - 1/2/2019 10:00 AM")</f>
        <v>Pamela Marcum - 1/2/2019 10:00 AM</v>
      </c>
      <c r="AL217" s="12" t="s">
        <v>599</v>
      </c>
    </row>
    <row r="218">
      <c r="A218" s="10">
        <f>IFERROR(__xludf.DUMMYFUNCTION("""COMPUTED_VALUE"""),43467.78624292823)</f>
        <v>43467.78624</v>
      </c>
      <c r="B218" s="11" t="str">
        <f>IFERROR(__xludf.DUMMYFUNCTION("""COMPUTED_VALUE"""),"Pamela Marcum")</f>
        <v>Pamela Marcum</v>
      </c>
      <c r="C218" t="str">
        <f>IFERROR(__xludf.DUMMYFUNCTION("""COMPUTED_VALUE"""),"Pamela.Marcum@dep.state.fl.us")</f>
        <v>Pamela.Marcum@dep.state.fl.us</v>
      </c>
      <c r="D218" t="str">
        <f>IFERROR(__xludf.DUMMYFUNCTION("""COMPUTED_VALUE"""),"Research/Nikki")</f>
        <v>Research/Nikki</v>
      </c>
      <c r="E218" t="str">
        <f>IFERROR(__xludf.DUMMYFUNCTION("""COMPUTED_VALUE"""),"Lighthouse 0930, Shore Dr 1130")</f>
        <v>Lighthouse 0930, Shore Dr 1130</v>
      </c>
      <c r="F218" s="13">
        <f>IFERROR(__xludf.DUMMYFUNCTION("""COMPUTED_VALUE"""),0.3958333333321207)</f>
        <v>0.3958333333</v>
      </c>
      <c r="G218" s="14">
        <f>IFERROR(__xludf.DUMMYFUNCTION("""COMPUTED_VALUE"""),43468.0)</f>
        <v>43468</v>
      </c>
      <c r="H218" t="str">
        <f>IFERROR(__xludf.DUMMYFUNCTION("""COMPUTED_VALUE"""),"Salt Run &amp; St. Aug Kimbro sites")</f>
        <v>Salt Run &amp; St. Aug Kimbro sites</v>
      </c>
      <c r="I218" s="15">
        <f>IFERROR(__xludf.DUMMYFUNCTION("""COMPUTED_VALUE"""),0.5625)</f>
        <v>0.5625</v>
      </c>
      <c r="J218" s="16">
        <f>IFERROR(__xludf.DUMMYFUNCTION("""COMPUTED_VALUE"""),43468.58333333333)</f>
        <v>43468.58333</v>
      </c>
      <c r="K218" t="str">
        <f>IFERROR(__xludf.DUMMYFUNCTION("""COMPUTED_VALUE"""),"20ft Sea Ark FL5351SJ UNF 2015")</f>
        <v>20ft Sea Ark FL5351SJ UNF 2015</v>
      </c>
      <c r="M218" t="str">
        <f>IFERROR(__xludf.DUMMYFUNCTION("""COMPUTED_VALUE"""),"Ford F150 2008 - DEP18041 (SWMP Thing)")</f>
        <v>Ford F150 2008 - DEP18041 (SWMP Thing)</v>
      </c>
      <c r="N218" t="str">
        <f>IFERROR(__xludf.DUMMYFUNCTION("""COMPUTED_VALUE"""),"Pam Marcum, (480) 332-5414")</f>
        <v>Pam Marcum, (480) 332-5414</v>
      </c>
      <c r="O218" t="str">
        <f>IFERROR(__xludf.DUMMYFUNCTION("""COMPUTED_VALUE"""),"Nicole Peckham, Adrienne Breef-Pilz")</f>
        <v>Nicole Peckham, Adrienne Breef-Pilz</v>
      </c>
      <c r="P218" t="str">
        <f>IFERROR(__xludf.DUMMYFUNCTION("""COMPUTED_VALUE"""),"Pam")</f>
        <v>Pam</v>
      </c>
      <c r="Q218" t="str">
        <f>IFERROR(__xludf.DUMMYFUNCTION("""COMPUTED_VALUE"""),"Good")</f>
        <v>Good</v>
      </c>
      <c r="R218" t="str">
        <f>IFERROR(__xludf.DUMMYFUNCTION("""COMPUTED_VALUE"""),"Good")</f>
        <v>Good</v>
      </c>
      <c r="S218" t="str">
        <f>IFERROR(__xludf.DUMMYFUNCTION("""COMPUTED_VALUE"""),"Good")</f>
        <v>Good</v>
      </c>
      <c r="T218" t="str">
        <f>IFERROR(__xludf.DUMMYFUNCTION("""COMPUTED_VALUE"""),"Good")</f>
        <v>Good</v>
      </c>
      <c r="U218" t="str">
        <f>IFERROR(__xludf.DUMMYFUNCTION("""COMPUTED_VALUE"""),"Good")</f>
        <v>Good</v>
      </c>
      <c r="V218" t="str">
        <f>IFERROR(__xludf.DUMMYFUNCTION("""COMPUTED_VALUE"""),"Good")</f>
        <v>Good</v>
      </c>
      <c r="W218" t="str">
        <f>IFERROR(__xludf.DUMMYFUNCTION("""COMPUTED_VALUE"""),"Good")</f>
        <v>Good</v>
      </c>
      <c r="X218" t="str">
        <f>IFERROR(__xludf.DUMMYFUNCTION("""COMPUTED_VALUE"""),"Good")</f>
        <v>Good</v>
      </c>
      <c r="Y218" t="str">
        <f>IFERROR(__xludf.DUMMYFUNCTION("""COMPUTED_VALUE"""),"Good")</f>
        <v>Good</v>
      </c>
      <c r="Z218" t="str">
        <f>IFERROR(__xludf.DUMMYFUNCTION("""COMPUTED_VALUE"""),"Good")</f>
        <v>Good</v>
      </c>
      <c r="AA218" t="str">
        <f>IFERROR(__xludf.DUMMYFUNCTION("""COMPUTED_VALUE"""),"Good")</f>
        <v>Good</v>
      </c>
      <c r="AB218" t="str">
        <f>IFERROR(__xludf.DUMMYFUNCTION("""COMPUTED_VALUE"""),"Good")</f>
        <v>Good</v>
      </c>
      <c r="AC218" t="str">
        <f>IFERROR(__xludf.DUMMYFUNCTION("""COMPUTED_VALUE"""),"Good")</f>
        <v>Good</v>
      </c>
      <c r="AE218" s="11"/>
      <c r="AF218" t="s">
        <v>218</v>
      </c>
      <c r="AG218" s="17" t="s">
        <v>128</v>
      </c>
      <c r="AH218" s="12">
        <v>1445.0</v>
      </c>
      <c r="AI218" s="12" t="s">
        <v>600</v>
      </c>
      <c r="AJ218" s="19" t="s">
        <v>601</v>
      </c>
      <c r="AK218" s="20" t="str">
        <f>HYPERLINK("https://docs.google.com/document/d/16OYOj5TIsxB7aLpe8-WmMHmeLPl3WJceZcqhaNcR8ug/edit?usp=drivesdk","Pamela Marcum - 1/3/2019 9:30 AM")</f>
        <v>Pamela Marcum - 1/3/2019 9:30 AM</v>
      </c>
      <c r="AL218" s="12" t="s">
        <v>602</v>
      </c>
    </row>
    <row r="219">
      <c r="A219" s="10">
        <f>IFERROR(__xludf.DUMMYFUNCTION("""COMPUTED_VALUE"""),43469.34359679398)</f>
        <v>43469.3436</v>
      </c>
      <c r="B219" s="11" t="str">
        <f>IFERROR(__xludf.DUMMYFUNCTION("""COMPUTED_VALUE"""),"James Tomazinis")</f>
        <v>James Tomazinis</v>
      </c>
      <c r="C219" t="str">
        <f>IFERROR(__xludf.DUMMYFUNCTION("""COMPUTED_VALUE"""),"james.tomazinis@floridadep.gov")</f>
        <v>james.tomazinis@floridadep.gov</v>
      </c>
      <c r="D219" t="str">
        <f>IFERROR(__xludf.DUMMYFUNCTION("""COMPUTED_VALUE"""),"Stewardship (Aquatic)")</f>
        <v>Stewardship (Aquatic)</v>
      </c>
      <c r="E219" t="str">
        <f>IFERROR(__xludf.DUMMYFUNCTION("""COMPUTED_VALUE"""),"Aunt Kates")</f>
        <v>Aunt Kates</v>
      </c>
      <c r="F219" s="13">
        <f>IFERROR(__xludf.DUMMYFUNCTION("""COMPUTED_VALUE"""),0.375)</f>
        <v>0.375</v>
      </c>
      <c r="G219" s="14">
        <f>IFERROR(__xludf.DUMMYFUNCTION("""COMPUTED_VALUE"""),43469.0)</f>
        <v>43469</v>
      </c>
      <c r="H219" t="str">
        <f>IFERROR(__xludf.DUMMYFUNCTION("""COMPUTED_VALUE"""),"Tolomato River near airport")</f>
        <v>Tolomato River near airport</v>
      </c>
      <c r="I219" s="15">
        <f>IFERROR(__xludf.DUMMYFUNCTION("""COMPUTED_VALUE"""),0.5208333333321207)</f>
        <v>0.5208333333</v>
      </c>
      <c r="J219" s="16"/>
      <c r="K219" t="str">
        <f>IFERROR(__xludf.DUMMYFUNCTION("""COMPUTED_VALUE"""),"23ft Skiff (Bertha) FL7972LJ DEP07613")</f>
        <v>23ft Skiff (Bertha) FL7972LJ DEP07613</v>
      </c>
      <c r="M219" t="str">
        <f>IFERROR(__xludf.DUMMYFUNCTION("""COMPUTED_VALUE"""),"Ford F150 2015 (White) - DEP21448")</f>
        <v>Ford F150 2015 (White) - DEP21448</v>
      </c>
      <c r="N219" t="str">
        <f>IFERROR(__xludf.DUMMYFUNCTION("""COMPUTED_VALUE"""),"Jimmy Tomazinis, (904) 547-0094, Ben Mowbray, (407) 962-8782")</f>
        <v>Jimmy Tomazinis, (904) 547-0094, Ben Mowbray, (407) 962-8782</v>
      </c>
      <c r="O219" t="str">
        <f>IFERROR(__xludf.DUMMYFUNCTION("""COMPUTED_VALUE"""),"Benjamin Mowbray, (407) 962-8782, Gabriela Canas, (904) 891-9743, Ed McGinley")</f>
        <v>Benjamin Mowbray, (407) 962-8782, Gabriela Canas, (904) 891-9743, Ed McGinley</v>
      </c>
      <c r="P219" t="str">
        <f>IFERROR(__xludf.DUMMYFUNCTION("""COMPUTED_VALUE"""),"Jimmy")</f>
        <v>Jimmy</v>
      </c>
      <c r="Q219" t="str">
        <f>IFERROR(__xludf.DUMMYFUNCTION("""COMPUTED_VALUE"""),"Good")</f>
        <v>Good</v>
      </c>
      <c r="R219" t="str">
        <f>IFERROR(__xludf.DUMMYFUNCTION("""COMPUTED_VALUE"""),"Good")</f>
        <v>Good</v>
      </c>
      <c r="S219" t="str">
        <f>IFERROR(__xludf.DUMMYFUNCTION("""COMPUTED_VALUE"""),"Good")</f>
        <v>Good</v>
      </c>
      <c r="T219" t="str">
        <f>IFERROR(__xludf.DUMMYFUNCTION("""COMPUTED_VALUE"""),"Good")</f>
        <v>Good</v>
      </c>
      <c r="U219" t="str">
        <f>IFERROR(__xludf.DUMMYFUNCTION("""COMPUTED_VALUE"""),"Good")</f>
        <v>Good</v>
      </c>
      <c r="V219" t="str">
        <f>IFERROR(__xludf.DUMMYFUNCTION("""COMPUTED_VALUE"""),"Good")</f>
        <v>Good</v>
      </c>
      <c r="W219" t="str">
        <f>IFERROR(__xludf.DUMMYFUNCTION("""COMPUTED_VALUE"""),"Good")</f>
        <v>Good</v>
      </c>
      <c r="X219" t="str">
        <f>IFERROR(__xludf.DUMMYFUNCTION("""COMPUTED_VALUE"""),"Good")</f>
        <v>Good</v>
      </c>
      <c r="Y219" t="str">
        <f>IFERROR(__xludf.DUMMYFUNCTION("""COMPUTED_VALUE"""),"Good")</f>
        <v>Good</v>
      </c>
      <c r="Z219" t="str">
        <f>IFERROR(__xludf.DUMMYFUNCTION("""COMPUTED_VALUE"""),"Good")</f>
        <v>Good</v>
      </c>
      <c r="AA219" t="str">
        <f>IFERROR(__xludf.DUMMYFUNCTION("""COMPUTED_VALUE"""),"Good")</f>
        <v>Good</v>
      </c>
      <c r="AB219" t="str">
        <f>IFERROR(__xludf.DUMMYFUNCTION("""COMPUTED_VALUE"""),"Good")</f>
        <v>Good</v>
      </c>
      <c r="AC219" t="str">
        <f>IFERROR(__xludf.DUMMYFUNCTION("""COMPUTED_VALUE"""),"Good")</f>
        <v>Good</v>
      </c>
      <c r="AE219" s="11"/>
      <c r="AF219" t="s">
        <v>32</v>
      </c>
      <c r="AG219" s="17" t="s">
        <v>128</v>
      </c>
      <c r="AH219" s="12">
        <v>1255.0</v>
      </c>
      <c r="AI219" s="12" t="s">
        <v>603</v>
      </c>
      <c r="AJ219" s="19" t="s">
        <v>604</v>
      </c>
      <c r="AK219" s="20" t="str">
        <f>HYPERLINK("https://docs.google.com/document/d/16SdYODC-uCZ2zFLn33qfp7Qjty_GYbog-ssGQaMREx8/edit?usp=drivesdk","James Tomazinis - 1/4/2019 9:00 AM")</f>
        <v>James Tomazinis - 1/4/2019 9:00 AM</v>
      </c>
      <c r="AL219" s="12" t="s">
        <v>605</v>
      </c>
    </row>
    <row r="220">
      <c r="A220" s="10">
        <f>IFERROR(__xludf.DUMMYFUNCTION("""COMPUTED_VALUE"""),43469.414208009264)</f>
        <v>43469.41421</v>
      </c>
      <c r="B220" s="11" t="str">
        <f>IFERROR(__xludf.DUMMYFUNCTION("""COMPUTED_VALUE"""),"Pamela Marcum")</f>
        <v>Pamela Marcum</v>
      </c>
      <c r="C220" t="str">
        <f>IFERROR(__xludf.DUMMYFUNCTION("""COMPUTED_VALUE"""),"Pamela.Marcum@dep.state.fl.us")</f>
        <v>Pamela.Marcum@dep.state.fl.us</v>
      </c>
      <c r="D220" t="str">
        <f>IFERROR(__xludf.DUMMYFUNCTION("""COMPUTED_VALUE"""),"Research/Nikki")</f>
        <v>Research/Nikki</v>
      </c>
      <c r="E220" t="str">
        <f>IFERROR(__xludf.DUMMYFUNCTION("""COMPUTED_VALUE"""),"Shore Dr 10am, Aunt Kate's 11am")</f>
        <v>Shore Dr 10am, Aunt Kate's 11am</v>
      </c>
      <c r="F220" s="13">
        <f>IFERROR(__xludf.DUMMYFUNCTION("""COMPUTED_VALUE"""),0.4166666666678793)</f>
        <v>0.4166666667</v>
      </c>
      <c r="G220" s="14">
        <f>IFERROR(__xludf.DUMMYFUNCTION("""COMPUTED_VALUE"""),43469.0)</f>
        <v>43469</v>
      </c>
      <c r="H220" t="str">
        <f>IFERROR(__xludf.DUMMYFUNCTION("""COMPUTED_VALUE"""),"Northern Kimbro sites")</f>
        <v>Northern Kimbro sites</v>
      </c>
      <c r="I220" s="15">
        <f>IFERROR(__xludf.DUMMYFUNCTION("""COMPUTED_VALUE"""),0.625)</f>
        <v>0.625</v>
      </c>
      <c r="J220" s="16">
        <f>IFERROR(__xludf.DUMMYFUNCTION("""COMPUTED_VALUE"""),43469.64583333333)</f>
        <v>43469.64583</v>
      </c>
      <c r="K220" t="str">
        <f>IFERROR(__xludf.DUMMYFUNCTION("""COMPUTED_VALUE"""),"20ft Sea Ark FL5351SJ UNF 2015")</f>
        <v>20ft Sea Ark FL5351SJ UNF 2015</v>
      </c>
      <c r="M220" t="str">
        <f>IFERROR(__xludf.DUMMYFUNCTION("""COMPUTED_VALUE"""),"Ford F150 2008 - DEP18041 (SWMP Thing)")</f>
        <v>Ford F150 2008 - DEP18041 (SWMP Thing)</v>
      </c>
      <c r="N220" t="str">
        <f>IFERROR(__xludf.DUMMYFUNCTION("""COMPUTED_VALUE"""),"Pam Marcum, (480) 332-5414")</f>
        <v>Pam Marcum, (480) 332-5414</v>
      </c>
      <c r="O220" t="str">
        <f>IFERROR(__xludf.DUMMYFUNCTION("""COMPUTED_VALUE"""),"Adrienne Breef-Pilz, Nicoloe Peckham")</f>
        <v>Adrienne Breef-Pilz, Nicoloe Peckham</v>
      </c>
      <c r="P220" t="str">
        <f>IFERROR(__xludf.DUMMYFUNCTION("""COMPUTED_VALUE"""),"Pam")</f>
        <v>Pam</v>
      </c>
      <c r="Q220" t="str">
        <f>IFERROR(__xludf.DUMMYFUNCTION("""COMPUTED_VALUE"""),"Good")</f>
        <v>Good</v>
      </c>
      <c r="R220" t="str">
        <f>IFERROR(__xludf.DUMMYFUNCTION("""COMPUTED_VALUE"""),"Good")</f>
        <v>Good</v>
      </c>
      <c r="S220" t="str">
        <f>IFERROR(__xludf.DUMMYFUNCTION("""COMPUTED_VALUE"""),"Good")</f>
        <v>Good</v>
      </c>
      <c r="T220" t="str">
        <f>IFERROR(__xludf.DUMMYFUNCTION("""COMPUTED_VALUE"""),"Good")</f>
        <v>Good</v>
      </c>
      <c r="U220" t="str">
        <f>IFERROR(__xludf.DUMMYFUNCTION("""COMPUTED_VALUE"""),"Good")</f>
        <v>Good</v>
      </c>
      <c r="V220" t="str">
        <f>IFERROR(__xludf.DUMMYFUNCTION("""COMPUTED_VALUE"""),"Good")</f>
        <v>Good</v>
      </c>
      <c r="W220" t="str">
        <f>IFERROR(__xludf.DUMMYFUNCTION("""COMPUTED_VALUE"""),"Good")</f>
        <v>Good</v>
      </c>
      <c r="X220" t="str">
        <f>IFERROR(__xludf.DUMMYFUNCTION("""COMPUTED_VALUE"""),"Good")</f>
        <v>Good</v>
      </c>
      <c r="Y220" t="str">
        <f>IFERROR(__xludf.DUMMYFUNCTION("""COMPUTED_VALUE"""),"Good")</f>
        <v>Good</v>
      </c>
      <c r="Z220" t="str">
        <f>IFERROR(__xludf.DUMMYFUNCTION("""COMPUTED_VALUE"""),"Good")</f>
        <v>Good</v>
      </c>
      <c r="AA220" t="str">
        <f>IFERROR(__xludf.DUMMYFUNCTION("""COMPUTED_VALUE"""),"Good")</f>
        <v>Good</v>
      </c>
      <c r="AB220" t="str">
        <f>IFERROR(__xludf.DUMMYFUNCTION("""COMPUTED_VALUE"""),"Good")</f>
        <v>Good</v>
      </c>
      <c r="AC220" t="str">
        <f>IFERROR(__xludf.DUMMYFUNCTION("""COMPUTED_VALUE"""),"Good")</f>
        <v>Good</v>
      </c>
      <c r="AE220" s="11"/>
      <c r="AF220" t="s">
        <v>218</v>
      </c>
      <c r="AG220" s="17" t="s">
        <v>128</v>
      </c>
      <c r="AI220" s="12" t="s">
        <v>606</v>
      </c>
      <c r="AJ220" s="19" t="s">
        <v>607</v>
      </c>
      <c r="AK220" s="20" t="str">
        <f>HYPERLINK("https://docs.google.com/document/d/1p7s5sR34YXc9wg1z-_VVivHlRGZkuTUZxMHhBUHtCco/edit?usp=drivesdk","Pamela Marcum - 1/4/2019 10:00 AM")</f>
        <v>Pamela Marcum - 1/4/2019 10:00 AM</v>
      </c>
      <c r="AL220" s="12" t="s">
        <v>608</v>
      </c>
    </row>
    <row r="221">
      <c r="A221" s="10">
        <f>IFERROR(__xludf.DUMMYFUNCTION("""COMPUTED_VALUE"""),43472.65924579861)</f>
        <v>43472.65925</v>
      </c>
      <c r="B221" s="11" t="str">
        <f>IFERROR(__xludf.DUMMYFUNCTION("""COMPUTED_VALUE"""),"Silas Tanner")</f>
        <v>Silas Tanner</v>
      </c>
      <c r="C221" t="str">
        <f>IFERROR(__xludf.DUMMYFUNCTION("""COMPUTED_VALUE"""),"silas.tanner@floridadep.gov")</f>
        <v>silas.tanner@floridadep.gov</v>
      </c>
      <c r="D221" t="str">
        <f>IFERROR(__xludf.DUMMYFUNCTION("""COMPUTED_VALUE"""),"Research/Nikki")</f>
        <v>Research/Nikki</v>
      </c>
      <c r="E221" t="str">
        <f>IFERROR(__xludf.DUMMYFUNCTION("""COMPUTED_VALUE"""),"Vilano Landing")</f>
        <v>Vilano Landing</v>
      </c>
      <c r="F221" s="13">
        <f>IFERROR(__xludf.DUMMYFUNCTION("""COMPUTED_VALUE"""),0.3645833333321207)</f>
        <v>0.3645833333</v>
      </c>
      <c r="G221" s="14">
        <f>IFERROR(__xludf.DUMMYFUNCTION("""COMPUTED_VALUE"""),43473.0)</f>
        <v>43473</v>
      </c>
      <c r="H221" t="str">
        <f>IFERROR(__xludf.DUMMYFUNCTION("""COMPUTED_VALUE"""),"ICW: SWMP Stations")</f>
        <v>ICW: SWMP Stations</v>
      </c>
      <c r="I221" s="15">
        <f>IFERROR(__xludf.DUMMYFUNCTION("""COMPUTED_VALUE"""),0.53125)</f>
        <v>0.53125</v>
      </c>
      <c r="J221" s="16">
        <f>IFERROR(__xludf.DUMMYFUNCTION("""COMPUTED_VALUE"""),43473.54166666667)</f>
        <v>43473.54167</v>
      </c>
      <c r="K221" t="str">
        <f>IFERROR(__xludf.DUMMYFUNCTION("""COMPUTED_VALUE"""),"20ft Sea Ark FL5351SJ UNF 2015")</f>
        <v>20ft Sea Ark FL5351SJ UNF 2015</v>
      </c>
      <c r="M221" t="str">
        <f>IFERROR(__xludf.DUMMYFUNCTION("""COMPUTED_VALUE"""),"Ford F250 2017 (Moby Dix) - DEP0021578")</f>
        <v>Ford F250 2017 (Moby Dix) - DEP0021578</v>
      </c>
      <c r="N221" t="str">
        <f>IFERROR(__xludf.DUMMYFUNCTION("""COMPUTED_VALUE"""),"Silas Tanner, (904) 483-8423, Remo Mondazi")</f>
        <v>Silas Tanner, (904) 483-8423, Remo Mondazi</v>
      </c>
      <c r="P221" t="str">
        <f>IFERROR(__xludf.DUMMYFUNCTION("""COMPUTED_VALUE"""),"S. Tanner")</f>
        <v>S. Tanner</v>
      </c>
      <c r="Q221" t="str">
        <f>IFERROR(__xludf.DUMMYFUNCTION("""COMPUTED_VALUE"""),"Good")</f>
        <v>Good</v>
      </c>
      <c r="R221" t="str">
        <f>IFERROR(__xludf.DUMMYFUNCTION("""COMPUTED_VALUE"""),"Good")</f>
        <v>Good</v>
      </c>
      <c r="S221" t="str">
        <f>IFERROR(__xludf.DUMMYFUNCTION("""COMPUTED_VALUE"""),"Good")</f>
        <v>Good</v>
      </c>
      <c r="T221" t="str">
        <f>IFERROR(__xludf.DUMMYFUNCTION("""COMPUTED_VALUE"""),"Good")</f>
        <v>Good</v>
      </c>
      <c r="U221" t="str">
        <f>IFERROR(__xludf.DUMMYFUNCTION("""COMPUTED_VALUE"""),"Good")</f>
        <v>Good</v>
      </c>
      <c r="V221" t="str">
        <f>IFERROR(__xludf.DUMMYFUNCTION("""COMPUTED_VALUE"""),"Good")</f>
        <v>Good</v>
      </c>
      <c r="W221" t="str">
        <f>IFERROR(__xludf.DUMMYFUNCTION("""COMPUTED_VALUE"""),"Good")</f>
        <v>Good</v>
      </c>
      <c r="X221" t="str">
        <f>IFERROR(__xludf.DUMMYFUNCTION("""COMPUTED_VALUE"""),"Good")</f>
        <v>Good</v>
      </c>
      <c r="Y221" t="str">
        <f>IFERROR(__xludf.DUMMYFUNCTION("""COMPUTED_VALUE"""),"Good")</f>
        <v>Good</v>
      </c>
      <c r="Z221" t="str">
        <f>IFERROR(__xludf.DUMMYFUNCTION("""COMPUTED_VALUE"""),"Good")</f>
        <v>Good</v>
      </c>
      <c r="AA221" t="str">
        <f>IFERROR(__xludf.DUMMYFUNCTION("""COMPUTED_VALUE"""),"Good")</f>
        <v>Good</v>
      </c>
      <c r="AB221" t="str">
        <f>IFERROR(__xludf.DUMMYFUNCTION("""COMPUTED_VALUE"""),"Good")</f>
        <v>Good</v>
      </c>
      <c r="AC221" t="str">
        <f>IFERROR(__xludf.DUMMYFUNCTION("""COMPUTED_VALUE"""),"Good")</f>
        <v>Good</v>
      </c>
      <c r="AE221" s="11"/>
      <c r="AF221" t="s">
        <v>218</v>
      </c>
      <c r="AG221" s="17" t="s">
        <v>18</v>
      </c>
      <c r="AH221" s="12">
        <v>1220.0</v>
      </c>
      <c r="AI221" s="12" t="s">
        <v>609</v>
      </c>
      <c r="AJ221" s="19" t="s">
        <v>610</v>
      </c>
      <c r="AK221" s="20" t="str">
        <f>HYPERLINK("https://docs.google.com/document/d/1w5yvrJDRg-YgyWDyeVMe6dpoKT5A2GMePvS1bvcmC00/edit?usp=drivesdk","Silas Tanner - 1/8/2019 8:45 AM")</f>
        <v>Silas Tanner - 1/8/2019 8:45 AM</v>
      </c>
      <c r="AL221" s="12" t="s">
        <v>611</v>
      </c>
    </row>
    <row r="222">
      <c r="A222" s="10">
        <f>IFERROR(__xludf.DUMMYFUNCTION("""COMPUTED_VALUE"""),43474.34273142361)</f>
        <v>43474.34273</v>
      </c>
      <c r="B222" s="11" t="str">
        <f>IFERROR(__xludf.DUMMYFUNCTION("""COMPUTED_VALUE"""),"James Tomazinis")</f>
        <v>James Tomazinis</v>
      </c>
      <c r="C222" t="str">
        <f>IFERROR(__xludf.DUMMYFUNCTION("""COMPUTED_VALUE"""),"james.tomazinis@floridadep.gov")</f>
        <v>james.tomazinis@floridadep.gov</v>
      </c>
      <c r="D222" t="str">
        <f>IFERROR(__xludf.DUMMYFUNCTION("""COMPUTED_VALUE"""),"Stewardship (Aquatic)")</f>
        <v>Stewardship (Aquatic)</v>
      </c>
      <c r="E222" t="str">
        <f>IFERROR(__xludf.DUMMYFUNCTION("""COMPUTED_VALUE"""),"Vilano")</f>
        <v>Vilano</v>
      </c>
      <c r="F222" s="13">
        <f>IFERROR(__xludf.DUMMYFUNCTION("""COMPUTED_VALUE"""),0.375)</f>
        <v>0.375</v>
      </c>
      <c r="G222" s="14">
        <f>IFERROR(__xludf.DUMMYFUNCTION("""COMPUTED_VALUE"""),43474.0)</f>
        <v>43474</v>
      </c>
      <c r="H222" t="str">
        <f>IFERROR(__xludf.DUMMYFUNCTION("""COMPUTED_VALUE"""),"Tolomato River Nekton Sites")</f>
        <v>Tolomato River Nekton Sites</v>
      </c>
      <c r="I222" s="15">
        <f>IFERROR(__xludf.DUMMYFUNCTION("""COMPUTED_VALUE"""),0.6979166666678793)</f>
        <v>0.6979166667</v>
      </c>
      <c r="J222" s="16"/>
      <c r="K222" t="str">
        <f>IFERROR(__xludf.DUMMYFUNCTION("""COMPUTED_VALUE"""),"23ft Skiff (Bertha) FL7972LJ DEP07613")</f>
        <v>23ft Skiff (Bertha) FL7972LJ DEP07613</v>
      </c>
      <c r="M222" t="str">
        <f>IFERROR(__xludf.DUMMYFUNCTION("""COMPUTED_VALUE"""),"Ford F150 2015 (White) - DEP21448")</f>
        <v>Ford F150 2015 (White) - DEP21448</v>
      </c>
      <c r="N222" t="str">
        <f>IFERROR(__xludf.DUMMYFUNCTION("""COMPUTED_VALUE"""),"Jimmy Tomazinis, (904) 547-0094")</f>
        <v>Jimmy Tomazinis, (904) 547-0094</v>
      </c>
      <c r="O222" t="str">
        <f>IFERROR(__xludf.DUMMYFUNCTION("""COMPUTED_VALUE"""),"Doug Plishka, Jeff Finnan, Jim Cedarburg")</f>
        <v>Doug Plishka, Jeff Finnan, Jim Cedarburg</v>
      </c>
      <c r="P222" t="str">
        <f>IFERROR(__xludf.DUMMYFUNCTION("""COMPUTED_VALUE"""),"Jimmy")</f>
        <v>Jimmy</v>
      </c>
      <c r="Q222" t="str">
        <f>IFERROR(__xludf.DUMMYFUNCTION("""COMPUTED_VALUE"""),"Good")</f>
        <v>Good</v>
      </c>
      <c r="R222" t="str">
        <f>IFERROR(__xludf.DUMMYFUNCTION("""COMPUTED_VALUE"""),"Good")</f>
        <v>Good</v>
      </c>
      <c r="S222" t="str">
        <f>IFERROR(__xludf.DUMMYFUNCTION("""COMPUTED_VALUE"""),"Good")</f>
        <v>Good</v>
      </c>
      <c r="T222" t="str">
        <f>IFERROR(__xludf.DUMMYFUNCTION("""COMPUTED_VALUE"""),"Good")</f>
        <v>Good</v>
      </c>
      <c r="U222" t="str">
        <f>IFERROR(__xludf.DUMMYFUNCTION("""COMPUTED_VALUE"""),"Good")</f>
        <v>Good</v>
      </c>
      <c r="V222" t="str">
        <f>IFERROR(__xludf.DUMMYFUNCTION("""COMPUTED_VALUE"""),"Good")</f>
        <v>Good</v>
      </c>
      <c r="W222" t="str">
        <f>IFERROR(__xludf.DUMMYFUNCTION("""COMPUTED_VALUE"""),"Good")</f>
        <v>Good</v>
      </c>
      <c r="X222" t="str">
        <f>IFERROR(__xludf.DUMMYFUNCTION("""COMPUTED_VALUE"""),"Good")</f>
        <v>Good</v>
      </c>
      <c r="Y222" t="str">
        <f>IFERROR(__xludf.DUMMYFUNCTION("""COMPUTED_VALUE"""),"Good")</f>
        <v>Good</v>
      </c>
      <c r="Z222" t="str">
        <f>IFERROR(__xludf.DUMMYFUNCTION("""COMPUTED_VALUE"""),"Good")</f>
        <v>Good</v>
      </c>
      <c r="AA222" t="str">
        <f>IFERROR(__xludf.DUMMYFUNCTION("""COMPUTED_VALUE"""),"Good")</f>
        <v>Good</v>
      </c>
      <c r="AB222" t="str">
        <f>IFERROR(__xludf.DUMMYFUNCTION("""COMPUTED_VALUE"""),"Good")</f>
        <v>Good</v>
      </c>
      <c r="AC222" t="str">
        <f>IFERROR(__xludf.DUMMYFUNCTION("""COMPUTED_VALUE"""),"Good")</f>
        <v>Good</v>
      </c>
      <c r="AE222" s="11"/>
      <c r="AF222" t="s">
        <v>32</v>
      </c>
      <c r="AG222" s="17" t="s">
        <v>225</v>
      </c>
      <c r="AH222" s="12" t="s">
        <v>282</v>
      </c>
      <c r="AI222" s="12" t="s">
        <v>612</v>
      </c>
      <c r="AJ222" s="19" t="s">
        <v>613</v>
      </c>
      <c r="AK222" s="20" t="str">
        <f>HYPERLINK("https://docs.google.com/document/d/1UTMHhAq_kXygMb9yCTHtxEDXQXCiJxKdNDQMS38t11M/edit?usp=drivesdk","James Tomazinis - 1/9/2019 9:00 AM")</f>
        <v>James Tomazinis - 1/9/2019 9:00 AM</v>
      </c>
      <c r="AL222" s="12" t="s">
        <v>614</v>
      </c>
    </row>
    <row r="223">
      <c r="A223" s="10">
        <f>IFERROR(__xludf.DUMMYFUNCTION("""COMPUTED_VALUE"""),43475.36164498843)</f>
        <v>43475.36164</v>
      </c>
      <c r="B223" s="11" t="str">
        <f>IFERROR(__xludf.DUMMYFUNCTION("""COMPUTED_VALUE"""),"Silas Tanner")</f>
        <v>Silas Tanner</v>
      </c>
      <c r="C223" t="str">
        <f>IFERROR(__xludf.DUMMYFUNCTION("""COMPUTED_VALUE"""),"silas.tanner@floridadep.gov")</f>
        <v>silas.tanner@floridadep.gov</v>
      </c>
      <c r="D223" t="str">
        <f>IFERROR(__xludf.DUMMYFUNCTION("""COMPUTED_VALUE"""),"Research/Nikki")</f>
        <v>Research/Nikki</v>
      </c>
      <c r="E223" t="str">
        <f>IFERROR(__xludf.DUMMYFUNCTION("""COMPUTED_VALUE"""),"Bings")</f>
        <v>Bings</v>
      </c>
      <c r="F223" s="13">
        <f>IFERROR(__xludf.DUMMYFUNCTION("""COMPUTED_VALUE"""),0.3645833333321207)</f>
        <v>0.3645833333</v>
      </c>
      <c r="G223" s="14">
        <f>IFERROR(__xludf.DUMMYFUNCTION("""COMPUTED_VALUE"""),43475.0)</f>
        <v>43475</v>
      </c>
      <c r="H223" t="str">
        <f>IFERROR(__xludf.DUMMYFUNCTION("""COMPUTED_VALUE"""),"ICW Bings Kimbo sites")</f>
        <v>ICW Bings Kimbo sites</v>
      </c>
      <c r="I223" s="15">
        <f>IFERROR(__xludf.DUMMYFUNCTION("""COMPUTED_VALUE"""),0.5416666666678793)</f>
        <v>0.5416666667</v>
      </c>
      <c r="J223" s="16">
        <f>IFERROR(__xludf.DUMMYFUNCTION("""COMPUTED_VALUE"""),43475.66666666667)</f>
        <v>43475.66667</v>
      </c>
      <c r="K223" t="str">
        <f>IFERROR(__xludf.DUMMYFUNCTION("""COMPUTED_VALUE"""),"20ft Sea Ark FL5351SJ UNF 2015")</f>
        <v>20ft Sea Ark FL5351SJ UNF 2015</v>
      </c>
      <c r="M223" t="str">
        <f>IFERROR(__xludf.DUMMYFUNCTION("""COMPUTED_VALUE"""),"Ford F150 2008 - DEP18041 (SWMP Thing)")</f>
        <v>Ford F150 2008 - DEP18041 (SWMP Thing)</v>
      </c>
      <c r="N223" t="str">
        <f>IFERROR(__xludf.DUMMYFUNCTION("""COMPUTED_VALUE"""),"Pam Marcum, (480) 332-5414, Silas Tanner, (904) 483-8423")</f>
        <v>Pam Marcum, (480) 332-5414, Silas Tanner, (904) 483-8423</v>
      </c>
      <c r="O223" t="str">
        <f>IFERROR(__xludf.DUMMYFUNCTION("""COMPUTED_VALUE"""),"Kimbro group")</f>
        <v>Kimbro group</v>
      </c>
      <c r="P223" t="str">
        <f>IFERROR(__xludf.DUMMYFUNCTION("""COMPUTED_VALUE"""),"Tanner")</f>
        <v>Tanner</v>
      </c>
      <c r="Q223" t="str">
        <f>IFERROR(__xludf.DUMMYFUNCTION("""COMPUTED_VALUE"""),"Good")</f>
        <v>Good</v>
      </c>
      <c r="R223" t="str">
        <f>IFERROR(__xludf.DUMMYFUNCTION("""COMPUTED_VALUE"""),"Good")</f>
        <v>Good</v>
      </c>
      <c r="S223" t="str">
        <f>IFERROR(__xludf.DUMMYFUNCTION("""COMPUTED_VALUE"""),"Good")</f>
        <v>Good</v>
      </c>
      <c r="T223" t="str">
        <f>IFERROR(__xludf.DUMMYFUNCTION("""COMPUTED_VALUE"""),"Good")</f>
        <v>Good</v>
      </c>
      <c r="U223" t="str">
        <f>IFERROR(__xludf.DUMMYFUNCTION("""COMPUTED_VALUE"""),"Good")</f>
        <v>Good</v>
      </c>
      <c r="V223" t="str">
        <f>IFERROR(__xludf.DUMMYFUNCTION("""COMPUTED_VALUE"""),"Good")</f>
        <v>Good</v>
      </c>
      <c r="W223" t="str">
        <f>IFERROR(__xludf.DUMMYFUNCTION("""COMPUTED_VALUE"""),"Good")</f>
        <v>Good</v>
      </c>
      <c r="X223" t="str">
        <f>IFERROR(__xludf.DUMMYFUNCTION("""COMPUTED_VALUE"""),"Good")</f>
        <v>Good</v>
      </c>
      <c r="Y223" t="str">
        <f>IFERROR(__xludf.DUMMYFUNCTION("""COMPUTED_VALUE"""),"Good")</f>
        <v>Good</v>
      </c>
      <c r="Z223" t="str">
        <f>IFERROR(__xludf.DUMMYFUNCTION("""COMPUTED_VALUE"""),"Good")</f>
        <v>Good</v>
      </c>
      <c r="AA223" t="str">
        <f>IFERROR(__xludf.DUMMYFUNCTION("""COMPUTED_VALUE"""),"Good")</f>
        <v>Good</v>
      </c>
      <c r="AB223" t="str">
        <f>IFERROR(__xludf.DUMMYFUNCTION("""COMPUTED_VALUE"""),"Good")</f>
        <v>Good</v>
      </c>
      <c r="AC223" t="str">
        <f>IFERROR(__xludf.DUMMYFUNCTION("""COMPUTED_VALUE"""),"Good")</f>
        <v>Good</v>
      </c>
      <c r="AE223" s="11"/>
      <c r="AF223" t="s">
        <v>218</v>
      </c>
      <c r="AG223" s="17" t="s">
        <v>18</v>
      </c>
      <c r="AH223" s="12">
        <v>1105.0</v>
      </c>
      <c r="AI223" s="12" t="s">
        <v>615</v>
      </c>
      <c r="AJ223" s="19" t="s">
        <v>616</v>
      </c>
      <c r="AK223" s="20" t="str">
        <f>HYPERLINK("https://docs.google.com/document/d/1SXZqdzN-q45bqHiSwks60gp_1yChmg6o0A3CtR_bRFY/edit?usp=drivesdk","Silas Tanner - 1/10/2019 8:45 AM")</f>
        <v>Silas Tanner - 1/10/2019 8:45 AM</v>
      </c>
      <c r="AL223" s="12" t="s">
        <v>617</v>
      </c>
    </row>
    <row r="224">
      <c r="A224" s="10">
        <f>IFERROR(__xludf.DUMMYFUNCTION("""COMPUTED_VALUE"""),43475.36341305555)</f>
        <v>43475.36341</v>
      </c>
      <c r="B224" s="11" t="str">
        <f>IFERROR(__xludf.DUMMYFUNCTION("""COMPUTED_VALUE"""),"Ben Mowbray")</f>
        <v>Ben Mowbray</v>
      </c>
      <c r="C224" t="str">
        <f>IFERROR(__xludf.DUMMYFUNCTION("""COMPUTED_VALUE"""),"ben.mowbray@dep.state.fl.us")</f>
        <v>ben.mowbray@dep.state.fl.us</v>
      </c>
      <c r="D224" t="str">
        <f>IFERROR(__xludf.DUMMYFUNCTION("""COMPUTED_VALUE"""),"Research/Nikki")</f>
        <v>Research/Nikki</v>
      </c>
      <c r="E224" t="str">
        <f>IFERROR(__xludf.DUMMYFUNCTION("""COMPUTED_VALUE"""),"Aunt Kate's")</f>
        <v>Aunt Kate's</v>
      </c>
      <c r="F224" s="13">
        <f>IFERROR(__xludf.DUMMYFUNCTION("""COMPUTED_VALUE"""),0.3958333333321207)</f>
        <v>0.3958333333</v>
      </c>
      <c r="G224" s="14">
        <f>IFERROR(__xludf.DUMMYFUNCTION("""COMPUTED_VALUE"""),43475.0)</f>
        <v>43475</v>
      </c>
      <c r="H224" t="str">
        <f>IFERROR(__xludf.DUMMYFUNCTION("""COMPUTED_VALUE"""),"Guana Peninsula")</f>
        <v>Guana Peninsula</v>
      </c>
      <c r="I224" s="15">
        <f>IFERROR(__xludf.DUMMYFUNCTION("""COMPUTED_VALUE"""),0.6666666666678793)</f>
        <v>0.6666666667</v>
      </c>
      <c r="J224" s="16">
        <f>IFERROR(__xludf.DUMMYFUNCTION("""COMPUTED_VALUE"""),43475.694444444445)</f>
        <v>43475.69444</v>
      </c>
      <c r="K224" t="str">
        <f>IFERROR(__xludf.DUMMYFUNCTION("""COMPUTED_VALUE"""),"F 20ft Sea Ark (Easy 200) FL8534PY DEP21451")</f>
        <v>F 20ft Sea Ark (Easy 200) FL8534PY DEP21451</v>
      </c>
      <c r="M224" t="str">
        <f>IFERROR(__xludf.DUMMYFUNCTION("""COMPUTED_VALUE"""),"Ford F250 2017 (Moby Dix) - DEP0021578")</f>
        <v>Ford F250 2017 (Moby Dix) - DEP0021578</v>
      </c>
      <c r="N224" t="str">
        <f>IFERROR(__xludf.DUMMYFUNCTION("""COMPUTED_VALUE"""),"Ben Mowbray, (407) 962-8782")</f>
        <v>Ben Mowbray, (407) 962-8782</v>
      </c>
      <c r="O224" t="str">
        <f>IFERROR(__xludf.DUMMYFUNCTION("""COMPUTED_VALUE"""),"Mike Dickson")</f>
        <v>Mike Dickson</v>
      </c>
      <c r="P224" t="str">
        <f>IFERROR(__xludf.DUMMYFUNCTION("""COMPUTED_VALUE"""),"Ben")</f>
        <v>Ben</v>
      </c>
      <c r="Q224" t="str">
        <f>IFERROR(__xludf.DUMMYFUNCTION("""COMPUTED_VALUE"""),"Good")</f>
        <v>Good</v>
      </c>
      <c r="R224" t="str">
        <f>IFERROR(__xludf.DUMMYFUNCTION("""COMPUTED_VALUE"""),"Good")</f>
        <v>Good</v>
      </c>
      <c r="S224" t="str">
        <f>IFERROR(__xludf.DUMMYFUNCTION("""COMPUTED_VALUE"""),"Good")</f>
        <v>Good</v>
      </c>
      <c r="T224" t="str">
        <f>IFERROR(__xludf.DUMMYFUNCTION("""COMPUTED_VALUE"""),"Good")</f>
        <v>Good</v>
      </c>
      <c r="U224" t="str">
        <f>IFERROR(__xludf.DUMMYFUNCTION("""COMPUTED_VALUE"""),"Good")</f>
        <v>Good</v>
      </c>
      <c r="V224" t="str">
        <f>IFERROR(__xludf.DUMMYFUNCTION("""COMPUTED_VALUE"""),"Good")</f>
        <v>Good</v>
      </c>
      <c r="W224" t="str">
        <f>IFERROR(__xludf.DUMMYFUNCTION("""COMPUTED_VALUE"""),"Good")</f>
        <v>Good</v>
      </c>
      <c r="X224" t="str">
        <f>IFERROR(__xludf.DUMMYFUNCTION("""COMPUTED_VALUE"""),"Good")</f>
        <v>Good</v>
      </c>
      <c r="Y224" t="str">
        <f>IFERROR(__xludf.DUMMYFUNCTION("""COMPUTED_VALUE"""),"Good")</f>
        <v>Good</v>
      </c>
      <c r="Z224" t="str">
        <f>IFERROR(__xludf.DUMMYFUNCTION("""COMPUTED_VALUE"""),"Good")</f>
        <v>Good</v>
      </c>
      <c r="AA224" t="str">
        <f>IFERROR(__xludf.DUMMYFUNCTION("""COMPUTED_VALUE"""),"Good")</f>
        <v>Good</v>
      </c>
      <c r="AB224" t="str">
        <f>IFERROR(__xludf.DUMMYFUNCTION("""COMPUTED_VALUE"""),"Good")</f>
        <v>Good</v>
      </c>
      <c r="AC224" t="str">
        <f>IFERROR(__xludf.DUMMYFUNCTION("""COMPUTED_VALUE"""),"Good")</f>
        <v>Good</v>
      </c>
      <c r="AE224" s="11"/>
      <c r="AF224" t="s">
        <v>218</v>
      </c>
      <c r="AG224" s="17" t="s">
        <v>18</v>
      </c>
      <c r="AH224" s="12">
        <v>1000.0</v>
      </c>
      <c r="AI224" s="12" t="s">
        <v>618</v>
      </c>
      <c r="AJ224" s="19" t="s">
        <v>619</v>
      </c>
      <c r="AK224" s="20" t="str">
        <f>HYPERLINK("https://docs.google.com/document/d/1gVI_jfcOWjzZEQMF4gbfgFQynt0Z5DO6MONlYJj8nUU/edit?usp=drivesdk","Ben Mowbray - 1/10/2019 9:30 AM")</f>
        <v>Ben Mowbray - 1/10/2019 9:30 AM</v>
      </c>
      <c r="AL224" s="12" t="s">
        <v>620</v>
      </c>
    </row>
    <row r="225">
      <c r="A225" s="10">
        <f>IFERROR(__xludf.DUMMYFUNCTION("""COMPUTED_VALUE"""),43476.586862372686)</f>
        <v>43476.58686</v>
      </c>
      <c r="B225" s="11" t="str">
        <f>IFERROR(__xludf.DUMMYFUNCTION("""COMPUTED_VALUE"""),"james tomazinis")</f>
        <v>james tomazinis</v>
      </c>
      <c r="C225" t="str">
        <f>IFERROR(__xludf.DUMMYFUNCTION("""COMPUTED_VALUE"""),"james.tomazinis@floridadep.gov")</f>
        <v>james.tomazinis@floridadep.gov</v>
      </c>
      <c r="D225" t="str">
        <f>IFERROR(__xludf.DUMMYFUNCTION("""COMPUTED_VALUE"""),"Stewardship (Aquatic)")</f>
        <v>Stewardship (Aquatic)</v>
      </c>
      <c r="E225" t="str">
        <f>IFERROR(__xludf.DUMMYFUNCTION("""COMPUTED_VALUE"""),"Guana Dam")</f>
        <v>Guana Dam</v>
      </c>
      <c r="F225" s="13">
        <f>IFERROR(__xludf.DUMMYFUNCTION("""COMPUTED_VALUE"""),0.6041666666678793)</f>
        <v>0.6041666667</v>
      </c>
      <c r="G225" s="14">
        <f>IFERROR(__xludf.DUMMYFUNCTION("""COMPUTED_VALUE"""),43476.0)</f>
        <v>43476</v>
      </c>
      <c r="H225" t="str">
        <f>IFERROR(__xludf.DUMMYFUNCTION("""COMPUTED_VALUE"""),"Guana River")</f>
        <v>Guana River</v>
      </c>
      <c r="I225" s="15">
        <f>IFERROR(__xludf.DUMMYFUNCTION("""COMPUTED_VALUE"""),0.6458333333321207)</f>
        <v>0.6458333333</v>
      </c>
      <c r="J225" s="16"/>
      <c r="K225" t="str">
        <f>IFERROR(__xludf.DUMMYFUNCTION("""COMPUTED_VALUE"""),"Kayak(s)")</f>
        <v>Kayak(s)</v>
      </c>
      <c r="L225">
        <f>IFERROR(__xludf.DUMMYFUNCTION("""COMPUTED_VALUE"""),1.0)</f>
        <v>1</v>
      </c>
      <c r="M225" t="str">
        <f>IFERROR(__xludf.DUMMYFUNCTION("""COMPUTED_VALUE"""),"Ford F150 2015 (White) - DEP21448")</f>
        <v>Ford F150 2015 (White) - DEP21448</v>
      </c>
      <c r="N225" t="str">
        <f>IFERROR(__xludf.DUMMYFUNCTION("""COMPUTED_VALUE"""),"Jimmy Tomazinis, (904) 547-0094")</f>
        <v>Jimmy Tomazinis, (904) 547-0094</v>
      </c>
      <c r="P225" t="str">
        <f>IFERROR(__xludf.DUMMYFUNCTION("""COMPUTED_VALUE"""),"jimmy")</f>
        <v>jimmy</v>
      </c>
      <c r="Q225" t="str">
        <f>IFERROR(__xludf.DUMMYFUNCTION("""COMPUTED_VALUE"""),"Good")</f>
        <v>Good</v>
      </c>
      <c r="R225" t="str">
        <f>IFERROR(__xludf.DUMMYFUNCTION("""COMPUTED_VALUE"""),"Good")</f>
        <v>Good</v>
      </c>
      <c r="S225" t="str">
        <f>IFERROR(__xludf.DUMMYFUNCTION("""COMPUTED_VALUE"""),"Good")</f>
        <v>Good</v>
      </c>
      <c r="T225" t="str">
        <f>IFERROR(__xludf.DUMMYFUNCTION("""COMPUTED_VALUE"""),"Good")</f>
        <v>Good</v>
      </c>
      <c r="U225" t="str">
        <f>IFERROR(__xludf.DUMMYFUNCTION("""COMPUTED_VALUE"""),"Good")</f>
        <v>Good</v>
      </c>
      <c r="V225" t="str">
        <f>IFERROR(__xludf.DUMMYFUNCTION("""COMPUTED_VALUE"""),"Good")</f>
        <v>Good</v>
      </c>
      <c r="W225" t="str">
        <f>IFERROR(__xludf.DUMMYFUNCTION("""COMPUTED_VALUE"""),"Good")</f>
        <v>Good</v>
      </c>
      <c r="X225" t="str">
        <f>IFERROR(__xludf.DUMMYFUNCTION("""COMPUTED_VALUE"""),"Good")</f>
        <v>Good</v>
      </c>
      <c r="Y225" t="str">
        <f>IFERROR(__xludf.DUMMYFUNCTION("""COMPUTED_VALUE"""),"Good")</f>
        <v>Good</v>
      </c>
      <c r="Z225" t="str">
        <f>IFERROR(__xludf.DUMMYFUNCTION("""COMPUTED_VALUE"""),"Good")</f>
        <v>Good</v>
      </c>
      <c r="AA225" t="str">
        <f>IFERROR(__xludf.DUMMYFUNCTION("""COMPUTED_VALUE"""),"Good")</f>
        <v>Good</v>
      </c>
      <c r="AB225" t="str">
        <f>IFERROR(__xludf.DUMMYFUNCTION("""COMPUTED_VALUE"""),"Good")</f>
        <v>Good</v>
      </c>
      <c r="AC225" t="str">
        <f>IFERROR(__xludf.DUMMYFUNCTION("""COMPUTED_VALUE"""),"Good")</f>
        <v>Good</v>
      </c>
      <c r="AE225" s="11"/>
      <c r="AF225" t="s">
        <v>32</v>
      </c>
      <c r="AG225" s="17" t="s">
        <v>128</v>
      </c>
      <c r="AH225" s="12">
        <v>1430.0</v>
      </c>
      <c r="AI225" s="12" t="s">
        <v>621</v>
      </c>
      <c r="AJ225" s="19" t="s">
        <v>622</v>
      </c>
      <c r="AK225" s="20" t="str">
        <f>HYPERLINK("https://docs.google.com/document/d/1IaxkgNOqPzkSPHLaQxOsCa-xiQoIeRtfPOqC3I0c1oI/edit?usp=drivesdk","james tomazinis - 1/11/2019 2:30 PM")</f>
        <v>james tomazinis - 1/11/2019 2:30 PM</v>
      </c>
      <c r="AL225" s="12" t="s">
        <v>623</v>
      </c>
    </row>
    <row r="226">
      <c r="A226" s="10">
        <f>IFERROR(__xludf.DUMMYFUNCTION("""COMPUTED_VALUE"""),43476.66709524305)</f>
        <v>43476.6671</v>
      </c>
      <c r="B226" s="11" t="str">
        <f>IFERROR(__xludf.DUMMYFUNCTION("""COMPUTED_VALUE"""),"Ben Mowbray")</f>
        <v>Ben Mowbray</v>
      </c>
      <c r="C226" t="str">
        <f>IFERROR(__xludf.DUMMYFUNCTION("""COMPUTED_VALUE"""),"ben.mowbray@dep.state.fl.us")</f>
        <v>ben.mowbray@dep.state.fl.us</v>
      </c>
      <c r="D226" t="str">
        <f>IFERROR(__xludf.DUMMYFUNCTION("""COMPUTED_VALUE"""),"Research/Shannon")</f>
        <v>Research/Shannon</v>
      </c>
      <c r="E226" t="str">
        <f>IFERROR(__xludf.DUMMYFUNCTION("""COMPUTED_VALUE"""),"Douglas Crane")</f>
        <v>Douglas Crane</v>
      </c>
      <c r="F226" s="13">
        <f>IFERROR(__xludf.DUMMYFUNCTION("""COMPUTED_VALUE"""),0.4444444444452529)</f>
        <v>0.4444444444</v>
      </c>
      <c r="G226" s="14">
        <f>IFERROR(__xludf.DUMMYFUNCTION("""COMPUTED_VALUE"""),43476.0)</f>
        <v>43476</v>
      </c>
      <c r="H226" t="str">
        <f>IFERROR(__xludf.DUMMYFUNCTION("""COMPUTED_VALUE"""),"Chapman Middle Site")</f>
        <v>Chapman Middle Site</v>
      </c>
      <c r="I226" s="15">
        <f>IFERROR(__xludf.DUMMYFUNCTION("""COMPUTED_VALUE"""),0.625)</f>
        <v>0.625</v>
      </c>
      <c r="J226" s="16">
        <f>IFERROR(__xludf.DUMMYFUNCTION("""COMPUTED_VALUE"""),43476.66666666667)</f>
        <v>43476.66667</v>
      </c>
      <c r="K226" t="str">
        <f>IFERROR(__xludf.DUMMYFUNCTION("""COMPUTED_VALUE"""),"20ft Sea Ark FL5351SJ UNF 2015")</f>
        <v>20ft Sea Ark FL5351SJ UNF 2015</v>
      </c>
      <c r="M226" t="str">
        <f>IFERROR(__xludf.DUMMYFUNCTION("""COMPUTED_VALUE"""),"Ford F250 2017 (Moby Dix) - DEP0021578")</f>
        <v>Ford F250 2017 (Moby Dix) - DEP0021578</v>
      </c>
      <c r="N226" t="str">
        <f>IFERROR(__xludf.DUMMYFUNCTION("""COMPUTED_VALUE"""),"Ben Mowbray, (407) 962-8782, Gabriela Canas, (904) 891-9743")</f>
        <v>Ben Mowbray, (407) 962-8782, Gabriela Canas, (904) 891-9743</v>
      </c>
      <c r="O226" t="str">
        <f>IFERROR(__xludf.DUMMYFUNCTION("""COMPUTED_VALUE"""),"Matt Sturchio, Allee, Alicia Bishop")</f>
        <v>Matt Sturchio, Allee, Alicia Bishop</v>
      </c>
      <c r="P226" t="str">
        <f>IFERROR(__xludf.DUMMYFUNCTION("""COMPUTED_VALUE"""),"Ben")</f>
        <v>Ben</v>
      </c>
      <c r="Q226" t="str">
        <f>IFERROR(__xludf.DUMMYFUNCTION("""COMPUTED_VALUE"""),"Good")</f>
        <v>Good</v>
      </c>
      <c r="R226" t="str">
        <f>IFERROR(__xludf.DUMMYFUNCTION("""COMPUTED_VALUE"""),"Good")</f>
        <v>Good</v>
      </c>
      <c r="S226" t="str">
        <f>IFERROR(__xludf.DUMMYFUNCTION("""COMPUTED_VALUE"""),"Good")</f>
        <v>Good</v>
      </c>
      <c r="T226" t="str">
        <f>IFERROR(__xludf.DUMMYFUNCTION("""COMPUTED_VALUE"""),"Good")</f>
        <v>Good</v>
      </c>
      <c r="U226" t="str">
        <f>IFERROR(__xludf.DUMMYFUNCTION("""COMPUTED_VALUE"""),"Good")</f>
        <v>Good</v>
      </c>
      <c r="V226" t="str">
        <f>IFERROR(__xludf.DUMMYFUNCTION("""COMPUTED_VALUE"""),"Good")</f>
        <v>Good</v>
      </c>
      <c r="W226" t="str">
        <f>IFERROR(__xludf.DUMMYFUNCTION("""COMPUTED_VALUE"""),"Good")</f>
        <v>Good</v>
      </c>
      <c r="X226" t="str">
        <f>IFERROR(__xludf.DUMMYFUNCTION("""COMPUTED_VALUE"""),"Good")</f>
        <v>Good</v>
      </c>
      <c r="Y226" t="str">
        <f>IFERROR(__xludf.DUMMYFUNCTION("""COMPUTED_VALUE"""),"Good")</f>
        <v>Good</v>
      </c>
      <c r="Z226" t="str">
        <f>IFERROR(__xludf.DUMMYFUNCTION("""COMPUTED_VALUE"""),"Good")</f>
        <v>Good</v>
      </c>
      <c r="AA226" t="str">
        <f>IFERROR(__xludf.DUMMYFUNCTION("""COMPUTED_VALUE"""),"Good")</f>
        <v>Good</v>
      </c>
      <c r="AB226" t="str">
        <f>IFERROR(__xludf.DUMMYFUNCTION("""COMPUTED_VALUE"""),"Good")</f>
        <v>Good</v>
      </c>
      <c r="AC226" t="str">
        <f>IFERROR(__xludf.DUMMYFUNCTION("""COMPUTED_VALUE"""),"Good")</f>
        <v>Good</v>
      </c>
      <c r="AE226" s="11"/>
      <c r="AF226" t="s">
        <v>269</v>
      </c>
      <c r="AG226" s="17" t="s">
        <v>624</v>
      </c>
      <c r="AH226" s="12">
        <v>1430.0</v>
      </c>
      <c r="AI226" s="12" t="s">
        <v>625</v>
      </c>
      <c r="AJ226" s="19" t="s">
        <v>626</v>
      </c>
      <c r="AK226" s="20" t="str">
        <f>HYPERLINK("https://docs.google.com/document/d/17RQ4Ys5vhUgH_js1ld3jCjcGkUV1G8rZmkNP458_zYM/edit?usp=drivesdk","Ben Mowbray - 1/11/2019 10:40 AM")</f>
        <v>Ben Mowbray - 1/11/2019 10:40 AM</v>
      </c>
      <c r="AL226" s="12" t="s">
        <v>627</v>
      </c>
    </row>
    <row r="227">
      <c r="A227" s="10">
        <f>IFERROR(__xludf.DUMMYFUNCTION("""COMPUTED_VALUE"""),43479.28802346065)</f>
        <v>43479.28802</v>
      </c>
      <c r="B227" s="11" t="str">
        <f>IFERROR(__xludf.DUMMYFUNCTION("""COMPUTED_VALUE"""),"Pamela Marcum")</f>
        <v>Pamela Marcum</v>
      </c>
      <c r="C227" t="str">
        <f>IFERROR(__xludf.DUMMYFUNCTION("""COMPUTED_VALUE"""),"Pamela.Marcum@dep.state.fl.us")</f>
        <v>Pamela.Marcum@dep.state.fl.us</v>
      </c>
      <c r="D227" t="str">
        <f>IFERROR(__xludf.DUMMYFUNCTION("""COMPUTED_VALUE"""),"Research/Nikki")</f>
        <v>Research/Nikki</v>
      </c>
      <c r="E227" t="str">
        <f>IFERROR(__xludf.DUMMYFUNCTION("""COMPUTED_VALUE"""),"Green Rd")</f>
        <v>Green Rd</v>
      </c>
      <c r="F227" s="13">
        <f>IFERROR(__xludf.DUMMYFUNCTION("""COMPUTED_VALUE"""),0.3229166666678793)</f>
        <v>0.3229166667</v>
      </c>
      <c r="G227" s="14">
        <f>IFERROR(__xludf.DUMMYFUNCTION("""COMPUTED_VALUE"""),43479.0)</f>
        <v>43479</v>
      </c>
      <c r="H227" t="str">
        <f>IFERROR(__xludf.DUMMYFUNCTION("""COMPUTED_VALUE"""),"Devils Elbow")</f>
        <v>Devils Elbow</v>
      </c>
      <c r="I227" s="15">
        <f>IFERROR(__xludf.DUMMYFUNCTION("""COMPUTED_VALUE"""),0.5)</f>
        <v>0.5</v>
      </c>
      <c r="J227" s="16">
        <f>IFERROR(__xludf.DUMMYFUNCTION("""COMPUTED_VALUE"""),43479.54166666667)</f>
        <v>43479.54167</v>
      </c>
      <c r="K227" t="str">
        <f>IFERROR(__xludf.DUMMYFUNCTION("""COMPUTED_VALUE"""),"20ft Sea Ark FL5351SJ UNF 2015")</f>
        <v>20ft Sea Ark FL5351SJ UNF 2015</v>
      </c>
      <c r="M227" t="str">
        <f>IFERROR(__xludf.DUMMYFUNCTION("""COMPUTED_VALUE"""),"Ford F150 2008 - DEP18041 (SWMP Thing)")</f>
        <v>Ford F150 2008 - DEP18041 (SWMP Thing)</v>
      </c>
      <c r="N227" t="str">
        <f>IFERROR(__xludf.DUMMYFUNCTION("""COMPUTED_VALUE"""),"Pam Marcum, (480) 332-5414, Silas Tanner, (904) 483-8423")</f>
        <v>Pam Marcum, (480) 332-5414, Silas Tanner, (904) 483-8423</v>
      </c>
      <c r="O227" t="str">
        <f>IFERROR(__xludf.DUMMYFUNCTION("""COMPUTED_VALUE"""),"Jeff Finnan")</f>
        <v>Jeff Finnan</v>
      </c>
      <c r="P227" t="str">
        <f>IFERROR(__xludf.DUMMYFUNCTION("""COMPUTED_VALUE"""),"Pam")</f>
        <v>Pam</v>
      </c>
      <c r="Q227" t="str">
        <f>IFERROR(__xludf.DUMMYFUNCTION("""COMPUTED_VALUE"""),"Good")</f>
        <v>Good</v>
      </c>
      <c r="R227" t="str">
        <f>IFERROR(__xludf.DUMMYFUNCTION("""COMPUTED_VALUE"""),"Good")</f>
        <v>Good</v>
      </c>
      <c r="S227" t="str">
        <f>IFERROR(__xludf.DUMMYFUNCTION("""COMPUTED_VALUE"""),"Good")</f>
        <v>Good</v>
      </c>
      <c r="T227" t="str">
        <f>IFERROR(__xludf.DUMMYFUNCTION("""COMPUTED_VALUE"""),"Good")</f>
        <v>Good</v>
      </c>
      <c r="U227" t="str">
        <f>IFERROR(__xludf.DUMMYFUNCTION("""COMPUTED_VALUE"""),"Good")</f>
        <v>Good</v>
      </c>
      <c r="V227" t="str">
        <f>IFERROR(__xludf.DUMMYFUNCTION("""COMPUTED_VALUE"""),"Good")</f>
        <v>Good</v>
      </c>
      <c r="W227" t="str">
        <f>IFERROR(__xludf.DUMMYFUNCTION("""COMPUTED_VALUE"""),"Good")</f>
        <v>Good</v>
      </c>
      <c r="X227" t="str">
        <f>IFERROR(__xludf.DUMMYFUNCTION("""COMPUTED_VALUE"""),"Good")</f>
        <v>Good</v>
      </c>
      <c r="Y227" t="str">
        <f>IFERROR(__xludf.DUMMYFUNCTION("""COMPUTED_VALUE"""),"Good")</f>
        <v>Good</v>
      </c>
      <c r="Z227" t="str">
        <f>IFERROR(__xludf.DUMMYFUNCTION("""COMPUTED_VALUE"""),"Good")</f>
        <v>Good</v>
      </c>
      <c r="AA227" t="str">
        <f>IFERROR(__xludf.DUMMYFUNCTION("""COMPUTED_VALUE"""),"Good")</f>
        <v>Good</v>
      </c>
      <c r="AB227" t="str">
        <f>IFERROR(__xludf.DUMMYFUNCTION("""COMPUTED_VALUE"""),"Good")</f>
        <v>Good</v>
      </c>
      <c r="AC227" t="str">
        <f>IFERROR(__xludf.DUMMYFUNCTION("""COMPUTED_VALUE"""),"Good")</f>
        <v>Good</v>
      </c>
      <c r="AE227" s="11"/>
      <c r="AF227" t="s">
        <v>218</v>
      </c>
      <c r="AG227" s="17" t="s">
        <v>18</v>
      </c>
      <c r="AH227" s="12">
        <v>1105.0</v>
      </c>
      <c r="AI227" s="12" t="s">
        <v>628</v>
      </c>
      <c r="AJ227" s="19" t="s">
        <v>629</v>
      </c>
      <c r="AK227" s="20" t="str">
        <f>HYPERLINK("https://docs.google.com/document/d/1sp3x5m3NjyONG81qm62pZZCQIhwJORfCMNu2kAoMkJc/edit?usp=drivesdk","Pamela Marcum - 1/14/2019 7:45 AM")</f>
        <v>Pamela Marcum - 1/14/2019 7:45 AM</v>
      </c>
      <c r="AL227" s="12" t="s">
        <v>630</v>
      </c>
    </row>
    <row r="228">
      <c r="A228" s="10">
        <f>IFERROR(__xludf.DUMMYFUNCTION("""COMPUTED_VALUE"""),43480.36710870371)</f>
        <v>43480.36711</v>
      </c>
      <c r="B228" s="11" t="str">
        <f>IFERROR(__xludf.DUMMYFUNCTION("""COMPUTED_VALUE"""),"Pamela Marcum")</f>
        <v>Pamela Marcum</v>
      </c>
      <c r="C228" t="str">
        <f>IFERROR(__xludf.DUMMYFUNCTION("""COMPUTED_VALUE"""),"pamela.marcum@dep.state.fl.us")</f>
        <v>pamela.marcum@dep.state.fl.us</v>
      </c>
      <c r="D228" t="str">
        <f>IFERROR(__xludf.DUMMYFUNCTION("""COMPUTED_VALUE"""),"Research/Nikki")</f>
        <v>Research/Nikki</v>
      </c>
      <c r="E228" t="str">
        <f>IFERROR(__xludf.DUMMYFUNCTION("""COMPUTED_VALUE"""),"Aunt Kate")</f>
        <v>Aunt Kate</v>
      </c>
      <c r="F228" s="13">
        <f>IFERROR(__xludf.DUMMYFUNCTION("""COMPUTED_VALUE"""),0.3645833333321207)</f>
        <v>0.3645833333</v>
      </c>
      <c r="G228" s="14">
        <f>IFERROR(__xludf.DUMMYFUNCTION("""COMPUTED_VALUE"""),43480.0)</f>
        <v>43480</v>
      </c>
      <c r="H228" t="str">
        <f>IFERROR(__xludf.DUMMYFUNCTION("""COMPUTED_VALUE"""),"Tolomato")</f>
        <v>Tolomato</v>
      </c>
      <c r="I228" s="15">
        <f>IFERROR(__xludf.DUMMYFUNCTION("""COMPUTED_VALUE"""),0.5)</f>
        <v>0.5</v>
      </c>
      <c r="J228" s="16">
        <f>IFERROR(__xludf.DUMMYFUNCTION("""COMPUTED_VALUE"""),43480.02083333333)</f>
        <v>43480.02083</v>
      </c>
      <c r="K228" t="str">
        <f>IFERROR(__xludf.DUMMYFUNCTION("""COMPUTED_VALUE"""),"F 20ft Sea Ark (Easy 200) FL8534PY DEP21451")</f>
        <v>F 20ft Sea Ark (Easy 200) FL8534PY DEP21451</v>
      </c>
      <c r="M228" t="str">
        <f>IFERROR(__xludf.DUMMYFUNCTION("""COMPUTED_VALUE"""),"Ford F150 2015 (White) - DEP21448")</f>
        <v>Ford F150 2015 (White) - DEP21448</v>
      </c>
      <c r="N228" t="str">
        <f>IFERROR(__xludf.DUMMYFUNCTION("""COMPUTED_VALUE"""),"Pam Marcum, (480) 332-5414")</f>
        <v>Pam Marcum, (480) 332-5414</v>
      </c>
      <c r="O228" t="str">
        <f>IFERROR(__xludf.DUMMYFUNCTION("""COMPUTED_VALUE"""),"Jessica clark, lewis turner, Patrician, Brittany")</f>
        <v>Jessica clark, lewis turner, Patrician, Brittany</v>
      </c>
      <c r="P228" t="str">
        <f>IFERROR(__xludf.DUMMYFUNCTION("""COMPUTED_VALUE"""),"Pam")</f>
        <v>Pam</v>
      </c>
      <c r="Q228" t="str">
        <f>IFERROR(__xludf.DUMMYFUNCTION("""COMPUTED_VALUE"""),"Good")</f>
        <v>Good</v>
      </c>
      <c r="R228" t="str">
        <f>IFERROR(__xludf.DUMMYFUNCTION("""COMPUTED_VALUE"""),"Good")</f>
        <v>Good</v>
      </c>
      <c r="S228" t="str">
        <f>IFERROR(__xludf.DUMMYFUNCTION("""COMPUTED_VALUE"""),"Good")</f>
        <v>Good</v>
      </c>
      <c r="T228" t="str">
        <f>IFERROR(__xludf.DUMMYFUNCTION("""COMPUTED_VALUE"""),"Good")</f>
        <v>Good</v>
      </c>
      <c r="U228" t="str">
        <f>IFERROR(__xludf.DUMMYFUNCTION("""COMPUTED_VALUE"""),"Good")</f>
        <v>Good</v>
      </c>
      <c r="V228" t="str">
        <f>IFERROR(__xludf.DUMMYFUNCTION("""COMPUTED_VALUE"""),"Good")</f>
        <v>Good</v>
      </c>
      <c r="W228" t="str">
        <f>IFERROR(__xludf.DUMMYFUNCTION("""COMPUTED_VALUE"""),"Good")</f>
        <v>Good</v>
      </c>
      <c r="X228" t="str">
        <f>IFERROR(__xludf.DUMMYFUNCTION("""COMPUTED_VALUE"""),"Good")</f>
        <v>Good</v>
      </c>
      <c r="Y228" t="str">
        <f>IFERROR(__xludf.DUMMYFUNCTION("""COMPUTED_VALUE"""),"Good")</f>
        <v>Good</v>
      </c>
      <c r="Z228" t="str">
        <f>IFERROR(__xludf.DUMMYFUNCTION("""COMPUTED_VALUE"""),"Good")</f>
        <v>Good</v>
      </c>
      <c r="AA228" t="str">
        <f>IFERROR(__xludf.DUMMYFUNCTION("""COMPUTED_VALUE"""),"Good")</f>
        <v>Good</v>
      </c>
      <c r="AB228" t="str">
        <f>IFERROR(__xludf.DUMMYFUNCTION("""COMPUTED_VALUE"""),"Good")</f>
        <v>Good</v>
      </c>
      <c r="AC228" t="str">
        <f>IFERROR(__xludf.DUMMYFUNCTION("""COMPUTED_VALUE"""),"Good")</f>
        <v>Good</v>
      </c>
      <c r="AE228" s="11"/>
      <c r="AF228" t="s">
        <v>218</v>
      </c>
      <c r="AG228" s="17" t="s">
        <v>18</v>
      </c>
      <c r="AH228" s="12">
        <v>1150.0</v>
      </c>
      <c r="AI228" s="12" t="s">
        <v>631</v>
      </c>
      <c r="AJ228" s="19" t="s">
        <v>632</v>
      </c>
      <c r="AK228" s="20" t="str">
        <f>HYPERLINK("https://docs.google.com/document/d/1-LNoiYtth3TFidddGkp-DIB0m_Gtbagw1nKdq4vBdXE/edit?usp=drivesdk","Pamela Marcum - 1/15/2019 8:45 AM")</f>
        <v>Pamela Marcum - 1/15/2019 8:45 AM</v>
      </c>
      <c r="AL228" s="12" t="s">
        <v>633</v>
      </c>
    </row>
    <row r="229">
      <c r="A229" s="10">
        <f>IFERROR(__xludf.DUMMYFUNCTION("""COMPUTED_VALUE"""),43480.36710870371)</f>
        <v>43480.36711</v>
      </c>
      <c r="B229" s="11" t="str">
        <f>IFERROR(__xludf.DUMMYFUNCTION("""COMPUTED_VALUE"""),"Silas Tanner")</f>
        <v>Silas Tanner</v>
      </c>
      <c r="C229" t="str">
        <f>IFERROR(__xludf.DUMMYFUNCTION("""COMPUTED_VALUE"""),"silas.tanner@dep.state.fl.us")</f>
        <v>silas.tanner@dep.state.fl.us</v>
      </c>
      <c r="D229" t="str">
        <f>IFERROR(__xludf.DUMMYFUNCTION("""COMPUTED_VALUE"""),"Research/Nikki")</f>
        <v>Research/Nikki</v>
      </c>
      <c r="E229" t="str">
        <f>IFERROR(__xludf.DUMMYFUNCTION("""COMPUTED_VALUE"""),"Aunt Kate")</f>
        <v>Aunt Kate</v>
      </c>
      <c r="F229" s="13">
        <f>IFERROR(__xludf.DUMMYFUNCTION("""COMPUTED_VALUE"""),0.3645833333321207)</f>
        <v>0.3645833333</v>
      </c>
      <c r="G229" s="14">
        <f>IFERROR(__xludf.DUMMYFUNCTION("""COMPUTED_VALUE"""),43480.0)</f>
        <v>43480</v>
      </c>
      <c r="H229" t="str">
        <f>IFERROR(__xludf.DUMMYFUNCTION("""COMPUTED_VALUE"""),"Tolomato")</f>
        <v>Tolomato</v>
      </c>
      <c r="I229" s="15">
        <f>IFERROR(__xludf.DUMMYFUNCTION("""COMPUTED_VALUE"""),0.5)</f>
        <v>0.5</v>
      </c>
      <c r="J229" s="16">
        <f>IFERROR(__xludf.DUMMYFUNCTION("""COMPUTED_VALUE"""),43480.02083333333)</f>
        <v>43480.02083</v>
      </c>
      <c r="K229" t="str">
        <f>IFERROR(__xludf.DUMMYFUNCTION("""COMPUTED_VALUE"""),"23ft Skiff (Bertha) FL7972LJ DEP07613")</f>
        <v>23ft Skiff (Bertha) FL7972LJ DEP07613</v>
      </c>
      <c r="M229" t="str">
        <f>IFERROR(__xludf.DUMMYFUNCTION("""COMPUTED_VALUE"""),"Ford F250 2017 (Moby Dix) - DEP0021578")</f>
        <v>Ford F250 2017 (Moby Dix) - DEP0021578</v>
      </c>
      <c r="N229" t="str">
        <f>IFERROR(__xludf.DUMMYFUNCTION("""COMPUTED_VALUE"""),"Silas Tanner, (904) 483-8423, Remo Mondazi")</f>
        <v>Silas Tanner, (904) 483-8423, Remo Mondazi</v>
      </c>
      <c r="O229" t="str">
        <f>IFERROR(__xludf.DUMMYFUNCTION("""COMPUTED_VALUE"""),"Allee Knoll, Cathy, Mary, Aaron")</f>
        <v>Allee Knoll, Cathy, Mary, Aaron</v>
      </c>
      <c r="P229" t="str">
        <f>IFERROR(__xludf.DUMMYFUNCTION("""COMPUTED_VALUE"""),"Silas")</f>
        <v>Silas</v>
      </c>
      <c r="Q229" t="str">
        <f>IFERROR(__xludf.DUMMYFUNCTION("""COMPUTED_VALUE"""),"Good")</f>
        <v>Good</v>
      </c>
      <c r="R229" t="str">
        <f>IFERROR(__xludf.DUMMYFUNCTION("""COMPUTED_VALUE"""),"Good")</f>
        <v>Good</v>
      </c>
      <c r="S229" t="str">
        <f>IFERROR(__xludf.DUMMYFUNCTION("""COMPUTED_VALUE"""),"Good")</f>
        <v>Good</v>
      </c>
      <c r="T229" t="str">
        <f>IFERROR(__xludf.DUMMYFUNCTION("""COMPUTED_VALUE"""),"Good")</f>
        <v>Good</v>
      </c>
      <c r="U229" t="str">
        <f>IFERROR(__xludf.DUMMYFUNCTION("""COMPUTED_VALUE"""),"Good")</f>
        <v>Good</v>
      </c>
      <c r="V229" t="str">
        <f>IFERROR(__xludf.DUMMYFUNCTION("""COMPUTED_VALUE"""),"Good")</f>
        <v>Good</v>
      </c>
      <c r="W229" t="str">
        <f>IFERROR(__xludf.DUMMYFUNCTION("""COMPUTED_VALUE"""),"Good")</f>
        <v>Good</v>
      </c>
      <c r="X229" t="str">
        <f>IFERROR(__xludf.DUMMYFUNCTION("""COMPUTED_VALUE"""),"Good")</f>
        <v>Good</v>
      </c>
      <c r="Y229" t="str">
        <f>IFERROR(__xludf.DUMMYFUNCTION("""COMPUTED_VALUE"""),"Good")</f>
        <v>Good</v>
      </c>
      <c r="Z229" t="str">
        <f>IFERROR(__xludf.DUMMYFUNCTION("""COMPUTED_VALUE"""),"Good")</f>
        <v>Good</v>
      </c>
      <c r="AA229" t="str">
        <f>IFERROR(__xludf.DUMMYFUNCTION("""COMPUTED_VALUE"""),"Good")</f>
        <v>Good</v>
      </c>
      <c r="AB229" t="str">
        <f>IFERROR(__xludf.DUMMYFUNCTION("""COMPUTED_VALUE"""),"Good")</f>
        <v>Good</v>
      </c>
      <c r="AC229" t="str">
        <f>IFERROR(__xludf.DUMMYFUNCTION("""COMPUTED_VALUE"""),"Good")</f>
        <v>Good</v>
      </c>
      <c r="AE229" s="11"/>
      <c r="AF229" t="s">
        <v>218</v>
      </c>
      <c r="AG229" s="17" t="s">
        <v>128</v>
      </c>
      <c r="AH229" s="12">
        <v>1100.0</v>
      </c>
      <c r="AI229" s="12" t="s">
        <v>634</v>
      </c>
      <c r="AJ229" s="19" t="s">
        <v>635</v>
      </c>
      <c r="AK229" s="20" t="str">
        <f>HYPERLINK("https://docs.google.com/document/d/1BlhUooj52_5Yvz462SxTIX6_-Pjdb3OHBRmrvl_Ls6A/edit?usp=drivesdk","Silas Tanner - 1/15/2019 8:45 AM")</f>
        <v>Silas Tanner - 1/15/2019 8:45 AM</v>
      </c>
      <c r="AL229" s="12" t="s">
        <v>636</v>
      </c>
    </row>
    <row r="230">
      <c r="A230" s="10">
        <f>IFERROR(__xludf.DUMMYFUNCTION("""COMPUTED_VALUE"""),43481.28886030092)</f>
        <v>43481.28886</v>
      </c>
      <c r="B230" s="11" t="str">
        <f>IFERROR(__xludf.DUMMYFUNCTION("""COMPUTED_VALUE"""),"Pamela Marcum")</f>
        <v>Pamela Marcum</v>
      </c>
      <c r="C230" t="str">
        <f>IFERROR(__xludf.DUMMYFUNCTION("""COMPUTED_VALUE"""),"Pamela.Marcum@dep.state.fl.us")</f>
        <v>Pamela.Marcum@dep.state.fl.us</v>
      </c>
      <c r="D230" t="str">
        <f>IFERROR(__xludf.DUMMYFUNCTION("""COMPUTED_VALUE"""),"Research/Nikki")</f>
        <v>Research/Nikki</v>
      </c>
      <c r="E230" t="str">
        <f>IFERROR(__xludf.DUMMYFUNCTION("""COMPUTED_VALUE"""),"Aunt Kate's")</f>
        <v>Aunt Kate's</v>
      </c>
      <c r="F230" s="13">
        <f>IFERROR(__xludf.DUMMYFUNCTION("""COMPUTED_VALUE"""),0.3541666666678793)</f>
        <v>0.3541666667</v>
      </c>
      <c r="G230" s="14">
        <f>IFERROR(__xludf.DUMMYFUNCTION("""COMPUTED_VALUE"""),43481.0)</f>
        <v>43481</v>
      </c>
      <c r="H230" t="str">
        <f>IFERROR(__xludf.DUMMYFUNCTION("""COMPUTED_VALUE"""),"Tolomato/Guana Rivers")</f>
        <v>Tolomato/Guana Rivers</v>
      </c>
      <c r="I230" s="15">
        <f>IFERROR(__xludf.DUMMYFUNCTION("""COMPUTED_VALUE"""),0.5)</f>
        <v>0.5</v>
      </c>
      <c r="J230" s="16">
        <f>IFERROR(__xludf.DUMMYFUNCTION("""COMPUTED_VALUE"""),43481.52083333333)</f>
        <v>43481.52083</v>
      </c>
      <c r="K230" t="str">
        <f>IFERROR(__xludf.DUMMYFUNCTION("""COMPUTED_VALUE"""),"20ft Sea Ark FL5351SJ UNF 2015")</f>
        <v>20ft Sea Ark FL5351SJ UNF 2015</v>
      </c>
      <c r="M230" t="str">
        <f>IFERROR(__xludf.DUMMYFUNCTION("""COMPUTED_VALUE"""),"Ford F150 2008 - DEP18041 (SWMP Thing)")</f>
        <v>Ford F150 2008 - DEP18041 (SWMP Thing)</v>
      </c>
      <c r="N230" t="str">
        <f>IFERROR(__xludf.DUMMYFUNCTION("""COMPUTED_VALUE"""),"Pam Marcum, (480) 332-5414")</f>
        <v>Pam Marcum, (480) 332-5414</v>
      </c>
      <c r="O230" t="str">
        <f>IFERROR(__xludf.DUMMYFUNCTION("""COMPUTED_VALUE"""),"Jeff Finnan, Terri Calleson")</f>
        <v>Jeff Finnan, Terri Calleson</v>
      </c>
      <c r="P230" t="str">
        <f>IFERROR(__xludf.DUMMYFUNCTION("""COMPUTED_VALUE"""),"Pam")</f>
        <v>Pam</v>
      </c>
      <c r="Q230" t="str">
        <f>IFERROR(__xludf.DUMMYFUNCTION("""COMPUTED_VALUE"""),"Good")</f>
        <v>Good</v>
      </c>
      <c r="R230" t="str">
        <f>IFERROR(__xludf.DUMMYFUNCTION("""COMPUTED_VALUE"""),"Good")</f>
        <v>Good</v>
      </c>
      <c r="S230" t="str">
        <f>IFERROR(__xludf.DUMMYFUNCTION("""COMPUTED_VALUE"""),"Good")</f>
        <v>Good</v>
      </c>
      <c r="T230" t="str">
        <f>IFERROR(__xludf.DUMMYFUNCTION("""COMPUTED_VALUE"""),"Good")</f>
        <v>Good</v>
      </c>
      <c r="U230" t="str">
        <f>IFERROR(__xludf.DUMMYFUNCTION("""COMPUTED_VALUE"""),"Good")</f>
        <v>Good</v>
      </c>
      <c r="V230" t="str">
        <f>IFERROR(__xludf.DUMMYFUNCTION("""COMPUTED_VALUE"""),"Good")</f>
        <v>Good</v>
      </c>
      <c r="W230" t="str">
        <f>IFERROR(__xludf.DUMMYFUNCTION("""COMPUTED_VALUE"""),"Good")</f>
        <v>Good</v>
      </c>
      <c r="X230" t="str">
        <f>IFERROR(__xludf.DUMMYFUNCTION("""COMPUTED_VALUE"""),"Good")</f>
        <v>Good</v>
      </c>
      <c r="Y230" t="str">
        <f>IFERROR(__xludf.DUMMYFUNCTION("""COMPUTED_VALUE"""),"Good")</f>
        <v>Good</v>
      </c>
      <c r="Z230" t="str">
        <f>IFERROR(__xludf.DUMMYFUNCTION("""COMPUTED_VALUE"""),"Good")</f>
        <v>Good</v>
      </c>
      <c r="AA230" t="str">
        <f>IFERROR(__xludf.DUMMYFUNCTION("""COMPUTED_VALUE"""),"Good")</f>
        <v>Good</v>
      </c>
      <c r="AB230" t="str">
        <f>IFERROR(__xludf.DUMMYFUNCTION("""COMPUTED_VALUE"""),"Good")</f>
        <v>Good</v>
      </c>
      <c r="AC230" t="str">
        <f>IFERROR(__xludf.DUMMYFUNCTION("""COMPUTED_VALUE"""),"Good")</f>
        <v>Good</v>
      </c>
      <c r="AE230" s="11"/>
      <c r="AF230" t="s">
        <v>218</v>
      </c>
      <c r="AG230" s="17" t="s">
        <v>225</v>
      </c>
      <c r="AH230" s="12" t="s">
        <v>282</v>
      </c>
      <c r="AI230" s="12" t="s">
        <v>637</v>
      </c>
      <c r="AJ230" s="19" t="s">
        <v>638</v>
      </c>
      <c r="AK230" s="20" t="str">
        <f>HYPERLINK("https://docs.google.com/document/d/1wCwibueR_wcJviqe1JCJpLlTRhJP87kkXm9YSbcKdXU/edit?usp=drivesdk","Pamela Marcum - 1/16/2019 8:30 AM")</f>
        <v>Pamela Marcum - 1/16/2019 8:30 AM</v>
      </c>
      <c r="AL230" s="12" t="s">
        <v>639</v>
      </c>
    </row>
    <row r="231">
      <c r="A231" s="10">
        <f>IFERROR(__xludf.DUMMYFUNCTION("""COMPUTED_VALUE"""),43481.391982534726)</f>
        <v>43481.39198</v>
      </c>
      <c r="B231" s="11" t="str">
        <f>IFERROR(__xludf.DUMMYFUNCTION("""COMPUTED_VALUE"""),"Pam")</f>
        <v>Pam</v>
      </c>
      <c r="C231" t="str">
        <f>IFERROR(__xludf.DUMMYFUNCTION("""COMPUTED_VALUE"""),"pamela.marcum@dep.state.fl.us")</f>
        <v>pamela.marcum@dep.state.fl.us</v>
      </c>
      <c r="D231" t="str">
        <f>IFERROR(__xludf.DUMMYFUNCTION("""COMPUTED_VALUE"""),"Research/Nikki")</f>
        <v>Research/Nikki</v>
      </c>
      <c r="E231" t="str">
        <f>IFERROR(__xludf.DUMMYFUNCTION("""COMPUTED_VALUE"""),"Aunt kates")</f>
        <v>Aunt kates</v>
      </c>
      <c r="F231" s="13">
        <f>IFERROR(__xludf.DUMMYFUNCTION("""COMPUTED_VALUE"""),0.3854166666678793)</f>
        <v>0.3854166667</v>
      </c>
      <c r="G231" s="14">
        <f>IFERROR(__xludf.DUMMYFUNCTION("""COMPUTED_VALUE"""),43481.0)</f>
        <v>43481</v>
      </c>
      <c r="H231" t="str">
        <f>IFERROR(__xludf.DUMMYFUNCTION("""COMPUTED_VALUE"""),"Tolomato")</f>
        <v>Tolomato</v>
      </c>
      <c r="I231" s="15">
        <f>IFERROR(__xludf.DUMMYFUNCTION("""COMPUTED_VALUE"""),0.5)</f>
        <v>0.5</v>
      </c>
      <c r="J231" s="16">
        <f>IFERROR(__xludf.DUMMYFUNCTION("""COMPUTED_VALUE"""),43481.02083333333)</f>
        <v>43481.02083</v>
      </c>
      <c r="K231" t="str">
        <f>IFERROR(__xludf.DUMMYFUNCTION("""COMPUTED_VALUE"""),"23ft Skiff (Bertha) FL7972LJ DEP07613")</f>
        <v>23ft Skiff (Bertha) FL7972LJ DEP07613</v>
      </c>
      <c r="M231" t="str">
        <f>IFERROR(__xludf.DUMMYFUNCTION("""COMPUTED_VALUE"""),"Ford F150 2008 - DEP18041 (SWMP Thing)")</f>
        <v>Ford F150 2008 - DEP18041 (SWMP Thing)</v>
      </c>
      <c r="N231" t="str">
        <f>IFERROR(__xludf.DUMMYFUNCTION("""COMPUTED_VALUE"""),"Pam Marcum, (480) 332-5414")</f>
        <v>Pam Marcum, (480) 332-5414</v>
      </c>
      <c r="O231" t="str">
        <f>IFERROR(__xludf.DUMMYFUNCTION("""COMPUTED_VALUE"""),"Jeff finnan, terri")</f>
        <v>Jeff finnan, terri</v>
      </c>
      <c r="P231" t="str">
        <f>IFERROR(__xludf.DUMMYFUNCTION("""COMPUTED_VALUE"""),"Pam")</f>
        <v>Pam</v>
      </c>
      <c r="Q231" t="str">
        <f>IFERROR(__xludf.DUMMYFUNCTION("""COMPUTED_VALUE"""),"Good")</f>
        <v>Good</v>
      </c>
      <c r="R231" t="str">
        <f>IFERROR(__xludf.DUMMYFUNCTION("""COMPUTED_VALUE"""),"Good")</f>
        <v>Good</v>
      </c>
      <c r="S231" t="str">
        <f>IFERROR(__xludf.DUMMYFUNCTION("""COMPUTED_VALUE"""),"Good")</f>
        <v>Good</v>
      </c>
      <c r="T231" t="str">
        <f>IFERROR(__xludf.DUMMYFUNCTION("""COMPUTED_VALUE"""),"Good")</f>
        <v>Good</v>
      </c>
      <c r="U231" t="str">
        <f>IFERROR(__xludf.DUMMYFUNCTION("""COMPUTED_VALUE"""),"Good")</f>
        <v>Good</v>
      </c>
      <c r="V231" t="str">
        <f>IFERROR(__xludf.DUMMYFUNCTION("""COMPUTED_VALUE"""),"Good")</f>
        <v>Good</v>
      </c>
      <c r="W231" t="str">
        <f>IFERROR(__xludf.DUMMYFUNCTION("""COMPUTED_VALUE"""),"Good")</f>
        <v>Good</v>
      </c>
      <c r="X231" t="str">
        <f>IFERROR(__xludf.DUMMYFUNCTION("""COMPUTED_VALUE"""),"Good")</f>
        <v>Good</v>
      </c>
      <c r="Y231" t="str">
        <f>IFERROR(__xludf.DUMMYFUNCTION("""COMPUTED_VALUE"""),"Good")</f>
        <v>Good</v>
      </c>
      <c r="Z231" t="str">
        <f>IFERROR(__xludf.DUMMYFUNCTION("""COMPUTED_VALUE"""),"Good")</f>
        <v>Good</v>
      </c>
      <c r="AA231" t="str">
        <f>IFERROR(__xludf.DUMMYFUNCTION("""COMPUTED_VALUE"""),"Good")</f>
        <v>Good</v>
      </c>
      <c r="AB231" t="str">
        <f>IFERROR(__xludf.DUMMYFUNCTION("""COMPUTED_VALUE"""),"Good")</f>
        <v>Good</v>
      </c>
      <c r="AC231" t="str">
        <f>IFERROR(__xludf.DUMMYFUNCTION("""COMPUTED_VALUE"""),"Good")</f>
        <v>Good</v>
      </c>
      <c r="AE231" s="11"/>
      <c r="AF231" t="s">
        <v>218</v>
      </c>
      <c r="AG231" s="17" t="s">
        <v>18</v>
      </c>
      <c r="AH231" s="12">
        <v>1200.0</v>
      </c>
      <c r="AI231" s="12" t="s">
        <v>640</v>
      </c>
      <c r="AJ231" s="19" t="s">
        <v>641</v>
      </c>
      <c r="AK231" s="20" t="str">
        <f>HYPERLINK("https://docs.google.com/document/d/1ashMolhPpUl0A5fQ5JeXWD9xog1UFTWMtXS3rIJnr9I/edit?usp=drivesdk","Pam - 1/16/2019 9:15 AM")</f>
        <v>Pam - 1/16/2019 9:15 AM</v>
      </c>
      <c r="AL231" s="12" t="s">
        <v>642</v>
      </c>
    </row>
    <row r="232">
      <c r="A232" s="10">
        <f>IFERROR(__xludf.DUMMYFUNCTION("""COMPUTED_VALUE"""),43482.43853009259)</f>
        <v>43482.43853</v>
      </c>
      <c r="B232" s="11" t="str">
        <f>IFERROR(__xludf.DUMMYFUNCTION("""COMPUTED_VALUE"""),"Pam")</f>
        <v>Pam</v>
      </c>
      <c r="C232" t="str">
        <f>IFERROR(__xludf.DUMMYFUNCTION("""COMPUTED_VALUE"""),"pamela.marcum@dep.state.fl.us")</f>
        <v>pamela.marcum@dep.state.fl.us</v>
      </c>
      <c r="D232" t="str">
        <f>IFERROR(__xludf.DUMMYFUNCTION("""COMPUTED_VALUE"""),"Research/Shannon")</f>
        <v>Research/Shannon</v>
      </c>
      <c r="E232" t="str">
        <f>IFERROR(__xludf.DUMMYFUNCTION("""COMPUTED_VALUE"""),"Aunt kates")</f>
        <v>Aunt kates</v>
      </c>
      <c r="F232" s="13">
        <f>IFERROR(__xludf.DUMMYFUNCTION("""COMPUTED_VALUE"""),0.3541666666678793)</f>
        <v>0.3541666667</v>
      </c>
      <c r="G232" s="14">
        <f>IFERROR(__xludf.DUMMYFUNCTION("""COMPUTED_VALUE"""),43482.0)</f>
        <v>43482</v>
      </c>
      <c r="H232" t="str">
        <f>IFERROR(__xludf.DUMMYFUNCTION("""COMPUTED_VALUE"""),"Tolomato")</f>
        <v>Tolomato</v>
      </c>
      <c r="I232" s="15">
        <f>IFERROR(__xludf.DUMMYFUNCTION("""COMPUTED_VALUE"""),0.5)</f>
        <v>0.5</v>
      </c>
      <c r="J232" s="16">
        <f>IFERROR(__xludf.DUMMYFUNCTION("""COMPUTED_VALUE"""),43482.0)</f>
        <v>43482</v>
      </c>
      <c r="K232" t="str">
        <f>IFERROR(__xludf.DUMMYFUNCTION("""COMPUTED_VALUE"""),"23ft Skiff (Bertha) FL7972LJ DEP07613")</f>
        <v>23ft Skiff (Bertha) FL7972LJ DEP07613</v>
      </c>
      <c r="M232" t="str">
        <f>IFERROR(__xludf.DUMMYFUNCTION("""COMPUTED_VALUE"""),"Ford F150 2008 - DEP18041 (SWMP Thing)")</f>
        <v>Ford F150 2008 - DEP18041 (SWMP Thing)</v>
      </c>
      <c r="N232" t="str">
        <f>IFERROR(__xludf.DUMMYFUNCTION("""COMPUTED_VALUE"""),"Pam Marcum, (480) 332-5414")</f>
        <v>Pam Marcum, (480) 332-5414</v>
      </c>
      <c r="O232" t="str">
        <f>IFERROR(__xludf.DUMMYFUNCTION("""COMPUTED_VALUE"""),"Collin, Remo")</f>
        <v>Collin, Remo</v>
      </c>
      <c r="P232" t="str">
        <f>IFERROR(__xludf.DUMMYFUNCTION("""COMPUTED_VALUE"""),"Pam")</f>
        <v>Pam</v>
      </c>
      <c r="Q232" t="str">
        <f>IFERROR(__xludf.DUMMYFUNCTION("""COMPUTED_VALUE"""),"Good")</f>
        <v>Good</v>
      </c>
      <c r="R232" t="str">
        <f>IFERROR(__xludf.DUMMYFUNCTION("""COMPUTED_VALUE"""),"Good")</f>
        <v>Good</v>
      </c>
      <c r="S232" t="str">
        <f>IFERROR(__xludf.DUMMYFUNCTION("""COMPUTED_VALUE"""),"Good")</f>
        <v>Good</v>
      </c>
      <c r="T232" t="str">
        <f>IFERROR(__xludf.DUMMYFUNCTION("""COMPUTED_VALUE"""),"Good")</f>
        <v>Good</v>
      </c>
      <c r="U232" t="str">
        <f>IFERROR(__xludf.DUMMYFUNCTION("""COMPUTED_VALUE"""),"Good")</f>
        <v>Good</v>
      </c>
      <c r="V232" t="str">
        <f>IFERROR(__xludf.DUMMYFUNCTION("""COMPUTED_VALUE"""),"Good")</f>
        <v>Good</v>
      </c>
      <c r="W232" t="str">
        <f>IFERROR(__xludf.DUMMYFUNCTION("""COMPUTED_VALUE"""),"Good")</f>
        <v>Good</v>
      </c>
      <c r="X232" t="str">
        <f>IFERROR(__xludf.DUMMYFUNCTION("""COMPUTED_VALUE"""),"Good")</f>
        <v>Good</v>
      </c>
      <c r="Y232" t="str">
        <f>IFERROR(__xludf.DUMMYFUNCTION("""COMPUTED_VALUE"""),"Good")</f>
        <v>Good</v>
      </c>
      <c r="Z232" t="str">
        <f>IFERROR(__xludf.DUMMYFUNCTION("""COMPUTED_VALUE"""),"Good")</f>
        <v>Good</v>
      </c>
      <c r="AA232" t="str">
        <f>IFERROR(__xludf.DUMMYFUNCTION("""COMPUTED_VALUE"""),"Good")</f>
        <v>Good</v>
      </c>
      <c r="AB232" t="str">
        <f>IFERROR(__xludf.DUMMYFUNCTION("""COMPUTED_VALUE"""),"Good")</f>
        <v>Good</v>
      </c>
      <c r="AC232" t="str">
        <f>IFERROR(__xludf.DUMMYFUNCTION("""COMPUTED_VALUE"""),"Good")</f>
        <v>Good</v>
      </c>
      <c r="AE232" s="11"/>
      <c r="AF232" t="s">
        <v>269</v>
      </c>
      <c r="AG232" s="17" t="s">
        <v>643</v>
      </c>
      <c r="AH232" s="12">
        <v>1219.0</v>
      </c>
      <c r="AI232" s="12" t="s">
        <v>644</v>
      </c>
      <c r="AJ232" s="19" t="s">
        <v>645</v>
      </c>
      <c r="AK232" s="20" t="str">
        <f>HYPERLINK("https://docs.google.com/document/d/1ySIzZqkUgYZOnUT2s6MMktH4mDF9DGVF0uvVl5xf4BM/edit?usp=drivesdk","Pam - 1/17/2019 8:30 AM")</f>
        <v>Pam - 1/17/2019 8:30 AM</v>
      </c>
      <c r="AL232" s="12" t="s">
        <v>646</v>
      </c>
    </row>
    <row r="233">
      <c r="A233" s="10">
        <f>IFERROR(__xludf.DUMMYFUNCTION("""COMPUTED_VALUE"""),43483.43867501158)</f>
        <v>43483.43868</v>
      </c>
      <c r="B233" s="11" t="str">
        <f>IFERROR(__xludf.DUMMYFUNCTION("""COMPUTED_VALUE"""),"Pam Marcum")</f>
        <v>Pam Marcum</v>
      </c>
      <c r="C233" t="str">
        <f>IFERROR(__xludf.DUMMYFUNCTION("""COMPUTED_VALUE"""),"Pamela.Marcum@dep.state.fl.us")</f>
        <v>Pamela.Marcum@dep.state.fl.us</v>
      </c>
      <c r="D233" t="str">
        <f>IFERROR(__xludf.DUMMYFUNCTION("""COMPUTED_VALUE"""),"Research/Nikki")</f>
        <v>Research/Nikki</v>
      </c>
      <c r="E233" t="str">
        <f>IFERROR(__xludf.DUMMYFUNCTION("""COMPUTED_VALUE"""),"Aunt Kate's")</f>
        <v>Aunt Kate's</v>
      </c>
      <c r="F233" s="13">
        <f>IFERROR(__xludf.DUMMYFUNCTION("""COMPUTED_VALUE"""),0.4479166666678793)</f>
        <v>0.4479166667</v>
      </c>
      <c r="G233" s="14">
        <f>IFERROR(__xludf.DUMMYFUNCTION("""COMPUTED_VALUE"""),43483.0)</f>
        <v>43483</v>
      </c>
      <c r="H233" t="str">
        <f>IFERROR(__xludf.DUMMYFUNCTION("""COMPUTED_VALUE"""),"Guana River")</f>
        <v>Guana River</v>
      </c>
      <c r="I233" s="15">
        <f>IFERROR(__xludf.DUMMYFUNCTION("""COMPUTED_VALUE"""),0.5416666666678793)</f>
        <v>0.5416666667</v>
      </c>
      <c r="J233" s="16">
        <f>IFERROR(__xludf.DUMMYFUNCTION("""COMPUTED_VALUE"""),43483.5625)</f>
        <v>43483.5625</v>
      </c>
      <c r="K233" t="str">
        <f>IFERROR(__xludf.DUMMYFUNCTION("""COMPUTED_VALUE"""),"23ft Skiff (Bertha) FL7972LJ DEP07613")</f>
        <v>23ft Skiff (Bertha) FL7972LJ DEP07613</v>
      </c>
      <c r="M233" t="str">
        <f>IFERROR(__xludf.DUMMYFUNCTION("""COMPUTED_VALUE"""),"Ford F150 2008 - DEP18041 (SWMP Thing)")</f>
        <v>Ford F150 2008 - DEP18041 (SWMP Thing)</v>
      </c>
      <c r="N233" t="str">
        <f>IFERROR(__xludf.DUMMYFUNCTION("""COMPUTED_VALUE"""),"Pam Marcum, (480) 332-5414")</f>
        <v>Pam Marcum, (480) 332-5414</v>
      </c>
      <c r="O233" t="str">
        <f>IFERROR(__xludf.DUMMYFUNCTION("""COMPUTED_VALUE"""),"Connor Kellie, Vicki MacDonald, Barry MacDonald, Jeff Finnan")</f>
        <v>Connor Kellie, Vicki MacDonald, Barry MacDonald, Jeff Finnan</v>
      </c>
      <c r="P233" t="str">
        <f>IFERROR(__xludf.DUMMYFUNCTION("""COMPUTED_VALUE"""),"Pam")</f>
        <v>Pam</v>
      </c>
      <c r="Q233" t="str">
        <f>IFERROR(__xludf.DUMMYFUNCTION("""COMPUTED_VALUE"""),"Good")</f>
        <v>Good</v>
      </c>
      <c r="R233" t="str">
        <f>IFERROR(__xludf.DUMMYFUNCTION("""COMPUTED_VALUE"""),"Good")</f>
        <v>Good</v>
      </c>
      <c r="S233" t="str">
        <f>IFERROR(__xludf.DUMMYFUNCTION("""COMPUTED_VALUE"""),"Good")</f>
        <v>Good</v>
      </c>
      <c r="T233" t="str">
        <f>IFERROR(__xludf.DUMMYFUNCTION("""COMPUTED_VALUE"""),"Good")</f>
        <v>Good</v>
      </c>
      <c r="U233" t="str">
        <f>IFERROR(__xludf.DUMMYFUNCTION("""COMPUTED_VALUE"""),"Good")</f>
        <v>Good</v>
      </c>
      <c r="V233" t="str">
        <f>IFERROR(__xludf.DUMMYFUNCTION("""COMPUTED_VALUE"""),"Good")</f>
        <v>Good</v>
      </c>
      <c r="W233" t="str">
        <f>IFERROR(__xludf.DUMMYFUNCTION("""COMPUTED_VALUE"""),"Good")</f>
        <v>Good</v>
      </c>
      <c r="X233" t="str">
        <f>IFERROR(__xludf.DUMMYFUNCTION("""COMPUTED_VALUE"""),"Good")</f>
        <v>Good</v>
      </c>
      <c r="Y233" t="str">
        <f>IFERROR(__xludf.DUMMYFUNCTION("""COMPUTED_VALUE"""),"Good")</f>
        <v>Good</v>
      </c>
      <c r="Z233" t="str">
        <f>IFERROR(__xludf.DUMMYFUNCTION("""COMPUTED_VALUE"""),"Good")</f>
        <v>Good</v>
      </c>
      <c r="AA233" t="str">
        <f>IFERROR(__xludf.DUMMYFUNCTION("""COMPUTED_VALUE"""),"Good")</f>
        <v>Good</v>
      </c>
      <c r="AB233" t="str">
        <f>IFERROR(__xludf.DUMMYFUNCTION("""COMPUTED_VALUE"""),"Good")</f>
        <v>Good</v>
      </c>
      <c r="AC233" t="str">
        <f>IFERROR(__xludf.DUMMYFUNCTION("""COMPUTED_VALUE"""),"Good")</f>
        <v>Good</v>
      </c>
      <c r="AE233" s="11"/>
      <c r="AF233" t="s">
        <v>218</v>
      </c>
      <c r="AG233" s="17" t="s">
        <v>43</v>
      </c>
      <c r="AH233" s="12">
        <v>1345.0</v>
      </c>
      <c r="AI233" s="12" t="s">
        <v>647</v>
      </c>
      <c r="AJ233" s="19" t="s">
        <v>648</v>
      </c>
      <c r="AK233" s="20" t="str">
        <f>HYPERLINK("https://docs.google.com/document/d/1BNVX05cr1434PSG7V5_vi5xdcMP9K4I0Om0n38jVaK0/edit?usp=drivesdk","Pam Marcum - 1/18/2019 10:45 AM")</f>
        <v>Pam Marcum - 1/18/2019 10:45 AM</v>
      </c>
      <c r="AL233" s="12" t="s">
        <v>649</v>
      </c>
    </row>
    <row r="234">
      <c r="A234" s="10">
        <f>IFERROR(__xludf.DUMMYFUNCTION("""COMPUTED_VALUE"""),43483.446238819444)</f>
        <v>43483.44624</v>
      </c>
      <c r="B234" s="11" t="str">
        <f>IFERROR(__xludf.DUMMYFUNCTION("""COMPUTED_VALUE"""),"Shannon")</f>
        <v>Shannon</v>
      </c>
      <c r="C234" t="str">
        <f>IFERROR(__xludf.DUMMYFUNCTION("""COMPUTED_VALUE"""),"shannon.dunnigan@floridadep.gov")</f>
        <v>shannon.dunnigan@floridadep.gov</v>
      </c>
      <c r="D234" t="str">
        <f>IFERROR(__xludf.DUMMYFUNCTION("""COMPUTED_VALUE"""),"Research/Nikki")</f>
        <v>Research/Nikki</v>
      </c>
      <c r="E234" t="str">
        <f>IFERROR(__xludf.DUMMYFUNCTION("""COMPUTED_VALUE"""),"Aunt Kate’s")</f>
        <v>Aunt Kate’s</v>
      </c>
      <c r="F234" s="13">
        <f>IFERROR(__xludf.DUMMYFUNCTION("""COMPUTED_VALUE"""),0.4583333333321207)</f>
        <v>0.4583333333</v>
      </c>
      <c r="G234" s="14">
        <f>IFERROR(__xludf.DUMMYFUNCTION("""COMPUTED_VALUE"""),43483.0)</f>
        <v>43483</v>
      </c>
      <c r="H234" t="str">
        <f>IFERROR(__xludf.DUMMYFUNCTION("""COMPUTED_VALUE"""),"Tolomato")</f>
        <v>Tolomato</v>
      </c>
      <c r="I234" s="15">
        <f>IFERROR(__xludf.DUMMYFUNCTION("""COMPUTED_VALUE"""),0.5833333333321207)</f>
        <v>0.5833333333</v>
      </c>
      <c r="J234" s="16">
        <f>IFERROR(__xludf.DUMMYFUNCTION("""COMPUTED_VALUE"""),43483.625)</f>
        <v>43483.625</v>
      </c>
      <c r="K234" t="str">
        <f>IFERROR(__xludf.DUMMYFUNCTION("""COMPUTED_VALUE"""),"F 20ft Sea Ark (Easy 200) FL8534PY DEP21451")</f>
        <v>F 20ft Sea Ark (Easy 200) FL8534PY DEP21451</v>
      </c>
      <c r="M234" t="str">
        <f>IFERROR(__xludf.DUMMYFUNCTION("""COMPUTED_VALUE"""),"Ford F250 2017 (Moby Dix) - DEP0021578")</f>
        <v>Ford F250 2017 (Moby Dix) - DEP0021578</v>
      </c>
      <c r="N234" t="str">
        <f>IFERROR(__xludf.DUMMYFUNCTION("""COMPUTED_VALUE"""),"Nikki Dix, (352) 219-4079, Shannon Dunnigan, (803) 727-5734")</f>
        <v>Nikki Dix, (352) 219-4079, Shannon Dunnigan, (803) 727-5734</v>
      </c>
      <c r="P234" t="str">
        <f>IFERROR(__xludf.DUMMYFUNCTION("""COMPUTED_VALUE"""),"Shannon")</f>
        <v>Shannon</v>
      </c>
      <c r="Q234" t="str">
        <f>IFERROR(__xludf.DUMMYFUNCTION("""COMPUTED_VALUE"""),"Good")</f>
        <v>Good</v>
      </c>
      <c r="R234" t="str">
        <f>IFERROR(__xludf.DUMMYFUNCTION("""COMPUTED_VALUE"""),"Good")</f>
        <v>Good</v>
      </c>
      <c r="S234" t="str">
        <f>IFERROR(__xludf.DUMMYFUNCTION("""COMPUTED_VALUE"""),"Good")</f>
        <v>Good</v>
      </c>
      <c r="T234" t="str">
        <f>IFERROR(__xludf.DUMMYFUNCTION("""COMPUTED_VALUE"""),"Good")</f>
        <v>Good</v>
      </c>
      <c r="U234" t="str">
        <f>IFERROR(__xludf.DUMMYFUNCTION("""COMPUTED_VALUE"""),"Good")</f>
        <v>Good</v>
      </c>
      <c r="V234" t="str">
        <f>IFERROR(__xludf.DUMMYFUNCTION("""COMPUTED_VALUE"""),"Good")</f>
        <v>Good</v>
      </c>
      <c r="W234" t="str">
        <f>IFERROR(__xludf.DUMMYFUNCTION("""COMPUTED_VALUE"""),"Good")</f>
        <v>Good</v>
      </c>
      <c r="X234" t="str">
        <f>IFERROR(__xludf.DUMMYFUNCTION("""COMPUTED_VALUE"""),"Good")</f>
        <v>Good</v>
      </c>
      <c r="Y234" t="str">
        <f>IFERROR(__xludf.DUMMYFUNCTION("""COMPUTED_VALUE"""),"Good")</f>
        <v>Good</v>
      </c>
      <c r="Z234" t="str">
        <f>IFERROR(__xludf.DUMMYFUNCTION("""COMPUTED_VALUE"""),"Good")</f>
        <v>Good</v>
      </c>
      <c r="AA234" t="str">
        <f>IFERROR(__xludf.DUMMYFUNCTION("""COMPUTED_VALUE"""),"Good")</f>
        <v>Good</v>
      </c>
      <c r="AB234" t="str">
        <f>IFERROR(__xludf.DUMMYFUNCTION("""COMPUTED_VALUE"""),"Good")</f>
        <v>Good</v>
      </c>
      <c r="AC234" t="str">
        <f>IFERROR(__xludf.DUMMYFUNCTION("""COMPUTED_VALUE"""),"Good")</f>
        <v>Good</v>
      </c>
      <c r="AE234" s="11"/>
      <c r="AF234" t="s">
        <v>218</v>
      </c>
      <c r="AG234" s="17" t="s">
        <v>56</v>
      </c>
      <c r="AH234" s="12" t="s">
        <v>282</v>
      </c>
      <c r="AI234" s="12" t="s">
        <v>650</v>
      </c>
      <c r="AJ234" s="19" t="s">
        <v>651</v>
      </c>
      <c r="AK234" s="20" t="str">
        <f>HYPERLINK("https://docs.google.com/document/d/1y2UDORHMpvgGxnWKusUow10nn0yr4r-KxQFkrbWVVDg/edit?usp=drivesdk","Shannon - 1/18/2019 11:00 AM")</f>
        <v>Shannon - 1/18/2019 11:00 AM</v>
      </c>
      <c r="AL234" s="12" t="s">
        <v>652</v>
      </c>
    </row>
    <row r="235">
      <c r="A235" s="10">
        <f>IFERROR(__xludf.DUMMYFUNCTION("""COMPUTED_VALUE"""),43483.4528569213)</f>
        <v>43483.45286</v>
      </c>
      <c r="B235" s="11" t="str">
        <f>IFERROR(__xludf.DUMMYFUNCTION("""COMPUTED_VALUE"""),"Shannon")</f>
        <v>Shannon</v>
      </c>
      <c r="C235" t="str">
        <f>IFERROR(__xludf.DUMMYFUNCTION("""COMPUTED_VALUE"""),"shannon.dunnigan@floridadep.gov")</f>
        <v>shannon.dunnigan@floridadep.gov</v>
      </c>
      <c r="D235" t="str">
        <f>IFERROR(__xludf.DUMMYFUNCTION("""COMPUTED_VALUE"""),"Research/Nikki")</f>
        <v>Research/Nikki</v>
      </c>
      <c r="E235" t="str">
        <f>IFERROR(__xludf.DUMMYFUNCTION("""COMPUTED_VALUE"""),"Kates")</f>
        <v>Kates</v>
      </c>
      <c r="F235" s="13">
        <f>IFERROR(__xludf.DUMMYFUNCTION("""COMPUTED_VALUE"""),0.4583333333321207)</f>
        <v>0.4583333333</v>
      </c>
      <c r="G235" s="14">
        <f>IFERROR(__xludf.DUMMYFUNCTION("""COMPUTED_VALUE"""),43484.0)</f>
        <v>43484</v>
      </c>
      <c r="H235" t="str">
        <f>IFERROR(__xludf.DUMMYFUNCTION("""COMPUTED_VALUE"""),"Tolomato")</f>
        <v>Tolomato</v>
      </c>
      <c r="I235" s="15">
        <f>IFERROR(__xludf.DUMMYFUNCTION("""COMPUTED_VALUE"""),0.5)</f>
        <v>0.5</v>
      </c>
      <c r="J235" s="16">
        <f>IFERROR(__xludf.DUMMYFUNCTION("""COMPUTED_VALUE"""),43483.50069444445)</f>
        <v>43483.50069</v>
      </c>
      <c r="K235" t="str">
        <f>IFERROR(__xludf.DUMMYFUNCTION("""COMPUTED_VALUE"""),"F 20ft Sea Ark (Easy 200) FL8534PY DEP21451")</f>
        <v>F 20ft Sea Ark (Easy 200) FL8534PY DEP21451</v>
      </c>
      <c r="M235" t="str">
        <f>IFERROR(__xludf.DUMMYFUNCTION("""COMPUTED_VALUE"""),"Ford F250 2017 (Moby Dix) - DEP0021578")</f>
        <v>Ford F250 2017 (Moby Dix) - DEP0021578</v>
      </c>
      <c r="N235" t="str">
        <f>IFERROR(__xludf.DUMMYFUNCTION("""COMPUTED_VALUE"""),"Nikki Dix, (352) 219-4079, Shannon Dunnigan, (803) 727-5734")</f>
        <v>Nikki Dix, (352) 219-4079, Shannon Dunnigan, (803) 727-5734</v>
      </c>
      <c r="P235" t="str">
        <f>IFERROR(__xludf.DUMMYFUNCTION("""COMPUTED_VALUE"""),"Shannon")</f>
        <v>Shannon</v>
      </c>
      <c r="Q235" t="str">
        <f>IFERROR(__xludf.DUMMYFUNCTION("""COMPUTED_VALUE"""),"Good")</f>
        <v>Good</v>
      </c>
      <c r="R235" t="str">
        <f>IFERROR(__xludf.DUMMYFUNCTION("""COMPUTED_VALUE"""),"Good")</f>
        <v>Good</v>
      </c>
      <c r="S235" t="str">
        <f>IFERROR(__xludf.DUMMYFUNCTION("""COMPUTED_VALUE"""),"Good")</f>
        <v>Good</v>
      </c>
      <c r="T235" t="str">
        <f>IFERROR(__xludf.DUMMYFUNCTION("""COMPUTED_VALUE"""),"Good")</f>
        <v>Good</v>
      </c>
      <c r="U235" t="str">
        <f>IFERROR(__xludf.DUMMYFUNCTION("""COMPUTED_VALUE"""),"Good")</f>
        <v>Good</v>
      </c>
      <c r="V235" t="str">
        <f>IFERROR(__xludf.DUMMYFUNCTION("""COMPUTED_VALUE"""),"Good")</f>
        <v>Good</v>
      </c>
      <c r="W235" t="str">
        <f>IFERROR(__xludf.DUMMYFUNCTION("""COMPUTED_VALUE"""),"Good")</f>
        <v>Good</v>
      </c>
      <c r="X235" t="str">
        <f>IFERROR(__xludf.DUMMYFUNCTION("""COMPUTED_VALUE"""),"Good")</f>
        <v>Good</v>
      </c>
      <c r="Y235" t="str">
        <f>IFERROR(__xludf.DUMMYFUNCTION("""COMPUTED_VALUE"""),"Good")</f>
        <v>Good</v>
      </c>
      <c r="Z235" t="str">
        <f>IFERROR(__xludf.DUMMYFUNCTION("""COMPUTED_VALUE"""),"Good")</f>
        <v>Good</v>
      </c>
      <c r="AA235" t="str">
        <f>IFERROR(__xludf.DUMMYFUNCTION("""COMPUTED_VALUE"""),"Good")</f>
        <v>Good</v>
      </c>
      <c r="AB235" t="str">
        <f>IFERROR(__xludf.DUMMYFUNCTION("""COMPUTED_VALUE"""),"Good")</f>
        <v>Good</v>
      </c>
      <c r="AC235" t="str">
        <f>IFERROR(__xludf.DUMMYFUNCTION("""COMPUTED_VALUE"""),"Good")</f>
        <v>Good</v>
      </c>
      <c r="AE235" s="11"/>
      <c r="AF235" t="s">
        <v>218</v>
      </c>
      <c r="AG235" s="17" t="s">
        <v>56</v>
      </c>
      <c r="AH235" s="12" t="s">
        <v>282</v>
      </c>
      <c r="AI235" s="12" t="s">
        <v>653</v>
      </c>
      <c r="AJ235" s="19" t="s">
        <v>654</v>
      </c>
      <c r="AK235" s="20" t="str">
        <f>HYPERLINK("https://docs.google.com/document/d/14yTxW_f-O_a2XG44MuzS7iWl79ZZNjt9kb-KH_PVWqg/edit?usp=drivesdk","Shannon - 1/19/2019 11:00 AM")</f>
        <v>Shannon - 1/19/2019 11:00 AM</v>
      </c>
      <c r="AL235" s="12" t="s">
        <v>655</v>
      </c>
    </row>
    <row r="236">
      <c r="A236" s="10">
        <f>IFERROR(__xludf.DUMMYFUNCTION("""COMPUTED_VALUE"""),43483.510741157406)</f>
        <v>43483.51074</v>
      </c>
      <c r="B236" s="11" t="str">
        <f>IFERROR(__xludf.DUMMYFUNCTION("""COMPUTED_VALUE"""),"Kenneth is testing Hi Everyone!")</f>
        <v>Kenneth is testing Hi Everyone!</v>
      </c>
      <c r="C236" t="str">
        <f>IFERROR(__xludf.DUMMYFUNCTION("""COMPUTED_VALUE"""),"kennethcrainer@gmail.com")</f>
        <v>kennethcrainer@gmail.com</v>
      </c>
      <c r="D236" t="str">
        <f>IFERROR(__xludf.DUMMYFUNCTION("""COMPUTED_VALUE"""),"Research/Nikki")</f>
        <v>Research/Nikki</v>
      </c>
      <c r="E236" t="str">
        <f>IFERROR(__xludf.DUMMYFUNCTION("""COMPUTED_VALUE"""),"Aunt Kate's")</f>
        <v>Aunt Kate's</v>
      </c>
      <c r="F236" s="13">
        <f>IFERROR(__xludf.DUMMYFUNCTION("""COMPUTED_VALUE"""),0.3541666666678793)</f>
        <v>0.3541666667</v>
      </c>
      <c r="G236" s="14">
        <f>IFERROR(__xludf.DUMMYFUNCTION("""COMPUTED_VALUE"""),43483.0)</f>
        <v>43483</v>
      </c>
      <c r="H236" t="str">
        <f>IFERROR(__xludf.DUMMYFUNCTION("""COMPUTED_VALUE"""),"North Guana River")</f>
        <v>North Guana River</v>
      </c>
      <c r="I236" s="15">
        <f>IFERROR(__xludf.DUMMYFUNCTION("""COMPUTED_VALUE"""),0.5)</f>
        <v>0.5</v>
      </c>
      <c r="J236" s="16">
        <f>IFERROR(__xludf.DUMMYFUNCTION("""COMPUTED_VALUE"""),43483.70833333333)</f>
        <v>43483.70833</v>
      </c>
      <c r="K236" t="str">
        <f>IFERROR(__xludf.DUMMYFUNCTION("""COMPUTED_VALUE"""),"F 20ft Sea Ark (Easy 200) FL8534PY DEP21451")</f>
        <v>F 20ft Sea Ark (Easy 200) FL8534PY DEP21451</v>
      </c>
      <c r="L236">
        <f>IFERROR(__xludf.DUMMYFUNCTION("""COMPUTED_VALUE"""),2.0)</f>
        <v>2</v>
      </c>
      <c r="M236" t="str">
        <f>IFERROR(__xludf.DUMMYFUNCTION("""COMPUTED_VALUE"""),"Ford F250 2017 (Moby Dix) - DEP0021578")</f>
        <v>Ford F250 2017 (Moby Dix) - DEP0021578</v>
      </c>
      <c r="N236" t="str">
        <f>IFERROR(__xludf.DUMMYFUNCTION("""COMPUTED_VALUE"""),"Nikki Dix, (352) 219-4079, Kenneth Rainer, (936) 499-1853")</f>
        <v>Nikki Dix, (352) 219-4079, Kenneth Rainer, (936) 499-1853</v>
      </c>
      <c r="O236" t="str">
        <f>IFERROR(__xludf.DUMMYFUNCTION("""COMPUTED_VALUE"""),"Benjamin Mowbray, (407) 962-8782, Kenneth Rainer, (936) 499-1853")</f>
        <v>Benjamin Mowbray, (407) 962-8782, Kenneth Rainer, (936) 499-1853</v>
      </c>
      <c r="P236" t="str">
        <f>IFERROR(__xludf.DUMMYFUNCTION("""COMPUTED_VALUE"""),"Captain Kenneth")</f>
        <v>Captain Kenneth</v>
      </c>
      <c r="Q236" t="str">
        <f>IFERROR(__xludf.DUMMYFUNCTION("""COMPUTED_VALUE"""),"Good")</f>
        <v>Good</v>
      </c>
      <c r="R236" t="str">
        <f>IFERROR(__xludf.DUMMYFUNCTION("""COMPUTED_VALUE"""),"Good")</f>
        <v>Good</v>
      </c>
      <c r="S236" t="str">
        <f>IFERROR(__xludf.DUMMYFUNCTION("""COMPUTED_VALUE"""),"Good")</f>
        <v>Good</v>
      </c>
      <c r="T236" t="str">
        <f>IFERROR(__xludf.DUMMYFUNCTION("""COMPUTED_VALUE"""),"Good")</f>
        <v>Good</v>
      </c>
      <c r="U236" t="str">
        <f>IFERROR(__xludf.DUMMYFUNCTION("""COMPUTED_VALUE"""),"Good")</f>
        <v>Good</v>
      </c>
      <c r="V236" t="str">
        <f>IFERROR(__xludf.DUMMYFUNCTION("""COMPUTED_VALUE"""),"Good")</f>
        <v>Good</v>
      </c>
      <c r="W236" t="str">
        <f>IFERROR(__xludf.DUMMYFUNCTION("""COMPUTED_VALUE"""),"Good")</f>
        <v>Good</v>
      </c>
      <c r="X236" t="str">
        <f>IFERROR(__xludf.DUMMYFUNCTION("""COMPUTED_VALUE"""),"Good")</f>
        <v>Good</v>
      </c>
      <c r="Y236" t="str">
        <f>IFERROR(__xludf.DUMMYFUNCTION("""COMPUTED_VALUE"""),"Good")</f>
        <v>Good</v>
      </c>
      <c r="Z236" t="str">
        <f>IFERROR(__xludf.DUMMYFUNCTION("""COMPUTED_VALUE"""),"Good")</f>
        <v>Good</v>
      </c>
      <c r="AA236" t="str">
        <f>IFERROR(__xludf.DUMMYFUNCTION("""COMPUTED_VALUE"""),"Good")</f>
        <v>Good</v>
      </c>
      <c r="AB236" t="str">
        <f>IFERROR(__xludf.DUMMYFUNCTION("""COMPUTED_VALUE"""),"Good")</f>
        <v>Good</v>
      </c>
      <c r="AC236" t="str">
        <f>IFERROR(__xludf.DUMMYFUNCTION("""COMPUTED_VALUE"""),"Good")</f>
        <v>Good</v>
      </c>
      <c r="AD236" t="str">
        <f>IFERROR(__xludf.DUMMYFUNCTION("""COMPUTED_VALUE"""),"It's beautiful -- shame this is only a test")</f>
        <v>It's beautiful -- shame this is only a test</v>
      </c>
      <c r="AE236" s="11" t="str">
        <f>IFERROR(__xludf.DUMMYFUNCTION("""COMPUTED_VALUE"""),"nuisance flooding all over")</f>
        <v>nuisance flooding all over</v>
      </c>
      <c r="AF236" t="s">
        <v>218</v>
      </c>
      <c r="AG236" s="17" t="s">
        <v>56</v>
      </c>
      <c r="AH236" s="12" t="s">
        <v>282</v>
      </c>
      <c r="AI236" s="12" t="s">
        <v>656</v>
      </c>
      <c r="AJ236" s="19" t="s">
        <v>657</v>
      </c>
      <c r="AK236" s="20" t="str">
        <f>HYPERLINK("https://docs.google.com/document/d/1Sid9zj_P_dXtirRpSMOa44APDNbBmBxfUhLaW12NacM/edit?usp=drivesdk","Kenneth is testing Hi Everyone! - 1/18/2019 8:30 AM")</f>
        <v>Kenneth is testing Hi Everyone! - 1/18/2019 8:30 AM</v>
      </c>
      <c r="AL236" s="12" t="s">
        <v>658</v>
      </c>
    </row>
    <row r="237">
      <c r="A237" s="10">
        <f>IFERROR(__xludf.DUMMYFUNCTION("""COMPUTED_VALUE"""),43486.64180710648)</f>
        <v>43486.64181</v>
      </c>
      <c r="B237" s="11" t="str">
        <f>IFERROR(__xludf.DUMMYFUNCTION("""COMPUTED_VALUE"""),"James Tomazinis")</f>
        <v>James Tomazinis</v>
      </c>
      <c r="C237" t="str">
        <f>IFERROR(__xludf.DUMMYFUNCTION("""COMPUTED_VALUE"""),"james.tomazinis@floridadep.gov")</f>
        <v>james.tomazinis@floridadep.gov</v>
      </c>
      <c r="D237" t="str">
        <f>IFERROR(__xludf.DUMMYFUNCTION("""COMPUTED_VALUE"""),"Stewardship (Aquatic)")</f>
        <v>Stewardship (Aquatic)</v>
      </c>
      <c r="E237" t="str">
        <f>IFERROR(__xludf.DUMMYFUNCTION("""COMPUTED_VALUE"""),"Guana Dam")</f>
        <v>Guana Dam</v>
      </c>
      <c r="F237" s="13">
        <f>IFERROR(__xludf.DUMMYFUNCTION("""COMPUTED_VALUE"""),0.4270833333321207)</f>
        <v>0.4270833333</v>
      </c>
      <c r="G237" s="14">
        <f>IFERROR(__xludf.DUMMYFUNCTION("""COMPUTED_VALUE"""),43487.0)</f>
        <v>43487</v>
      </c>
      <c r="H237" t="str">
        <f>IFERROR(__xludf.DUMMYFUNCTION("""COMPUTED_VALUE"""),"Guana River WQ sites")</f>
        <v>Guana River WQ sites</v>
      </c>
      <c r="I237" s="15">
        <f>IFERROR(__xludf.DUMMYFUNCTION("""COMPUTED_VALUE"""),0.47222222222262644)</f>
        <v>0.4722222222</v>
      </c>
      <c r="J237" s="16"/>
      <c r="K237" t="str">
        <f>IFERROR(__xludf.DUMMYFUNCTION("""COMPUTED_VALUE"""),"Jon Boat FL0484NP DEP06819")</f>
        <v>Jon Boat FL0484NP DEP06819</v>
      </c>
      <c r="M237" t="str">
        <f>IFERROR(__xludf.DUMMYFUNCTION("""COMPUTED_VALUE"""),"Ford F150 2015 (White) - DEP21448")</f>
        <v>Ford F150 2015 (White) - DEP21448</v>
      </c>
      <c r="N237" t="str">
        <f>IFERROR(__xludf.DUMMYFUNCTION("""COMPUTED_VALUE"""),"Jimmy Tomazinis, (904) 547-0094")</f>
        <v>Jimmy Tomazinis, (904) 547-0094</v>
      </c>
      <c r="O237" t="str">
        <f>IFERROR(__xludf.DUMMYFUNCTION("""COMPUTED_VALUE"""),"Jessica Lee")</f>
        <v>Jessica Lee</v>
      </c>
      <c r="P237" t="str">
        <f>IFERROR(__xludf.DUMMYFUNCTION("""COMPUTED_VALUE"""),"Jimmy")</f>
        <v>Jimmy</v>
      </c>
      <c r="Q237" t="str">
        <f>IFERROR(__xludf.DUMMYFUNCTION("""COMPUTED_VALUE"""),"Good")</f>
        <v>Good</v>
      </c>
      <c r="R237" t="str">
        <f>IFERROR(__xludf.DUMMYFUNCTION("""COMPUTED_VALUE"""),"Good")</f>
        <v>Good</v>
      </c>
      <c r="S237" t="str">
        <f>IFERROR(__xludf.DUMMYFUNCTION("""COMPUTED_VALUE"""),"Good")</f>
        <v>Good</v>
      </c>
      <c r="T237" t="str">
        <f>IFERROR(__xludf.DUMMYFUNCTION("""COMPUTED_VALUE"""),"Good")</f>
        <v>Good</v>
      </c>
      <c r="U237" t="str">
        <f>IFERROR(__xludf.DUMMYFUNCTION("""COMPUTED_VALUE"""),"Good")</f>
        <v>Good</v>
      </c>
      <c r="V237" t="str">
        <f>IFERROR(__xludf.DUMMYFUNCTION("""COMPUTED_VALUE"""),"Good")</f>
        <v>Good</v>
      </c>
      <c r="W237" t="str">
        <f>IFERROR(__xludf.DUMMYFUNCTION("""COMPUTED_VALUE"""),"Good")</f>
        <v>Good</v>
      </c>
      <c r="X237" t="str">
        <f>IFERROR(__xludf.DUMMYFUNCTION("""COMPUTED_VALUE"""),"Good")</f>
        <v>Good</v>
      </c>
      <c r="Y237" t="str">
        <f>IFERROR(__xludf.DUMMYFUNCTION("""COMPUTED_VALUE"""),"Good")</f>
        <v>Good</v>
      </c>
      <c r="Z237" t="str">
        <f>IFERROR(__xludf.DUMMYFUNCTION("""COMPUTED_VALUE"""),"Good")</f>
        <v>Good</v>
      </c>
      <c r="AA237" t="str">
        <f>IFERROR(__xludf.DUMMYFUNCTION("""COMPUTED_VALUE"""),"Good")</f>
        <v>Good</v>
      </c>
      <c r="AB237" t="str">
        <f>IFERROR(__xludf.DUMMYFUNCTION("""COMPUTED_VALUE"""),"Good")</f>
        <v>Good</v>
      </c>
      <c r="AC237" t="str">
        <f>IFERROR(__xludf.DUMMYFUNCTION("""COMPUTED_VALUE"""),"Good")</f>
        <v>Good</v>
      </c>
      <c r="AE237" s="11"/>
      <c r="AF237" t="s">
        <v>32</v>
      </c>
      <c r="AG237" s="17" t="s">
        <v>18</v>
      </c>
      <c r="AH237" s="12">
        <v>1220.0</v>
      </c>
      <c r="AI237" s="12" t="s">
        <v>659</v>
      </c>
      <c r="AJ237" s="19" t="s">
        <v>660</v>
      </c>
      <c r="AK237" s="20" t="str">
        <f>HYPERLINK("https://docs.google.com/document/d/1XZEg-gWWPTOj9opQYdpz_9DxyzyU6y5Gp45RZpWYD4Q/edit?usp=drivesdk","James Tomazinis - 1/22/2019 10:15 AM")</f>
        <v>James Tomazinis - 1/22/2019 10:15 AM</v>
      </c>
      <c r="AL237" s="12" t="s">
        <v>661</v>
      </c>
    </row>
    <row r="238">
      <c r="A238" s="10">
        <f>IFERROR(__xludf.DUMMYFUNCTION("""COMPUTED_VALUE"""),43487.33102319444)</f>
        <v>43487.33102</v>
      </c>
      <c r="B238" s="11" t="str">
        <f>IFERROR(__xludf.DUMMYFUNCTION("""COMPUTED_VALUE"""),"Silas Tanner")</f>
        <v>Silas Tanner</v>
      </c>
      <c r="C238" t="str">
        <f>IFERROR(__xludf.DUMMYFUNCTION("""COMPUTED_VALUE"""),"Silas.Tanner@floridadep.gov")</f>
        <v>Silas.Tanner@floridadep.gov</v>
      </c>
      <c r="D238" t="str">
        <f>IFERROR(__xludf.DUMMYFUNCTION("""COMPUTED_VALUE"""),"Research/Nikki")</f>
        <v>Research/Nikki</v>
      </c>
      <c r="E238" t="str">
        <f>IFERROR(__xludf.DUMMYFUNCTION("""COMPUTED_VALUE"""),"Vilano Landing")</f>
        <v>Vilano Landing</v>
      </c>
      <c r="F238" s="13">
        <f>IFERROR(__xludf.DUMMYFUNCTION("""COMPUTED_VALUE"""),0.34027777777737356)</f>
        <v>0.3402777778</v>
      </c>
      <c r="G238" s="14">
        <f>IFERROR(__xludf.DUMMYFUNCTION("""COMPUTED_VALUE"""),43487.0)</f>
        <v>43487</v>
      </c>
      <c r="H238" t="str">
        <f>IFERROR(__xludf.DUMMYFUNCTION("""COMPUTED_VALUE"""),"ICW SWMP sites")</f>
        <v>ICW SWMP sites</v>
      </c>
      <c r="I238" s="15">
        <f>IFERROR(__xludf.DUMMYFUNCTION("""COMPUTED_VALUE"""),0.5416666666678793)</f>
        <v>0.5416666667</v>
      </c>
      <c r="J238" s="16">
        <f>IFERROR(__xludf.DUMMYFUNCTION("""COMPUTED_VALUE"""),43487.5625)</f>
        <v>43487.5625</v>
      </c>
      <c r="K238" t="str">
        <f>IFERROR(__xludf.DUMMYFUNCTION("""COMPUTED_VALUE"""),"23ft Skiff (Bertha) FL7972LJ DEP07613")</f>
        <v>23ft Skiff (Bertha) FL7972LJ DEP07613</v>
      </c>
      <c r="M238" t="str">
        <f>IFERROR(__xludf.DUMMYFUNCTION("""COMPUTED_VALUE"""),"Ford F150 2008 - DEP18041 (SWMP Thing)")</f>
        <v>Ford F150 2008 - DEP18041 (SWMP Thing)</v>
      </c>
      <c r="N238" t="str">
        <f>IFERROR(__xludf.DUMMYFUNCTION("""COMPUTED_VALUE"""),"Nikki Dix, (352) 219-4079, Silas Tanner, (904) 483-8423, Ben Mowbray, (407) 962-8782")</f>
        <v>Nikki Dix, (352) 219-4079, Silas Tanner, (904) 483-8423, Ben Mowbray, (407) 962-8782</v>
      </c>
      <c r="P238" t="str">
        <f>IFERROR(__xludf.DUMMYFUNCTION("""COMPUTED_VALUE"""),"B. Mowbray")</f>
        <v>B. Mowbray</v>
      </c>
      <c r="Q238" t="str">
        <f>IFERROR(__xludf.DUMMYFUNCTION("""COMPUTED_VALUE"""),"Good")</f>
        <v>Good</v>
      </c>
      <c r="R238" t="str">
        <f>IFERROR(__xludf.DUMMYFUNCTION("""COMPUTED_VALUE"""),"Good")</f>
        <v>Good</v>
      </c>
      <c r="S238" t="str">
        <f>IFERROR(__xludf.DUMMYFUNCTION("""COMPUTED_VALUE"""),"Good")</f>
        <v>Good</v>
      </c>
      <c r="T238" t="str">
        <f>IFERROR(__xludf.DUMMYFUNCTION("""COMPUTED_VALUE"""),"Good")</f>
        <v>Good</v>
      </c>
      <c r="U238" t="str">
        <f>IFERROR(__xludf.DUMMYFUNCTION("""COMPUTED_VALUE"""),"Good")</f>
        <v>Good</v>
      </c>
      <c r="V238" t="str">
        <f>IFERROR(__xludf.DUMMYFUNCTION("""COMPUTED_VALUE"""),"Good")</f>
        <v>Good</v>
      </c>
      <c r="W238" t="str">
        <f>IFERROR(__xludf.DUMMYFUNCTION("""COMPUTED_VALUE"""),"Good")</f>
        <v>Good</v>
      </c>
      <c r="X238" t="str">
        <f>IFERROR(__xludf.DUMMYFUNCTION("""COMPUTED_VALUE"""),"Good")</f>
        <v>Good</v>
      </c>
      <c r="Y238" t="str">
        <f>IFERROR(__xludf.DUMMYFUNCTION("""COMPUTED_VALUE"""),"Good")</f>
        <v>Good</v>
      </c>
      <c r="Z238" t="str">
        <f>IFERROR(__xludf.DUMMYFUNCTION("""COMPUTED_VALUE"""),"Good")</f>
        <v>Good</v>
      </c>
      <c r="AA238" t="str">
        <f>IFERROR(__xludf.DUMMYFUNCTION("""COMPUTED_VALUE"""),"Good")</f>
        <v>Good</v>
      </c>
      <c r="AB238" t="str">
        <f>IFERROR(__xludf.DUMMYFUNCTION("""COMPUTED_VALUE"""),"Good")</f>
        <v>Good</v>
      </c>
      <c r="AC238" t="str">
        <f>IFERROR(__xludf.DUMMYFUNCTION("""COMPUTED_VALUE"""),"Good")</f>
        <v>Good</v>
      </c>
      <c r="AE238" s="11"/>
      <c r="AF238" t="s">
        <v>218</v>
      </c>
      <c r="AG238" s="17" t="s">
        <v>18</v>
      </c>
      <c r="AH238" s="12">
        <v>1305.0</v>
      </c>
      <c r="AI238" s="12" t="s">
        <v>662</v>
      </c>
      <c r="AJ238" s="19" t="s">
        <v>663</v>
      </c>
      <c r="AK238" s="20" t="str">
        <f>HYPERLINK("https://docs.google.com/document/d/14k-y4LM7_8qVmY3d7q2kykDV05hX-vJ64NitEnXnQnc/edit?usp=drivesdk","Silas Tanner - 1/22/2019 8:10 AM")</f>
        <v>Silas Tanner - 1/22/2019 8:10 AM</v>
      </c>
      <c r="AL238" s="12" t="s">
        <v>664</v>
      </c>
    </row>
    <row r="239">
      <c r="A239" s="10">
        <f>IFERROR(__xludf.DUMMYFUNCTION("""COMPUTED_VALUE"""),43488.36185114583)</f>
        <v>43488.36185</v>
      </c>
      <c r="B239" s="11" t="str">
        <f>IFERROR(__xludf.DUMMYFUNCTION("""COMPUTED_VALUE"""),"james tomazinis")</f>
        <v>james tomazinis</v>
      </c>
      <c r="C239" t="str">
        <f>IFERROR(__xludf.DUMMYFUNCTION("""COMPUTED_VALUE"""),"james.tomazinis@dep.state.fl.us")</f>
        <v>james.tomazinis@dep.state.fl.us</v>
      </c>
      <c r="D239" t="str">
        <f>IFERROR(__xludf.DUMMYFUNCTION("""COMPUTED_VALUE"""),"Stewardship (Aquatic)")</f>
        <v>Stewardship (Aquatic)</v>
      </c>
      <c r="E239" t="str">
        <f>IFERROR(__xludf.DUMMYFUNCTION("""COMPUTED_VALUE"""),"Vilano")</f>
        <v>Vilano</v>
      </c>
      <c r="F239" s="13">
        <f>IFERROR(__xludf.DUMMYFUNCTION("""COMPUTED_VALUE"""),0.375)</f>
        <v>0.375</v>
      </c>
      <c r="G239" s="14">
        <f>IFERROR(__xludf.DUMMYFUNCTION("""COMPUTED_VALUE"""),43488.0)</f>
        <v>43488</v>
      </c>
      <c r="H239" t="str">
        <f>IFERROR(__xludf.DUMMYFUNCTION("""COMPUTED_VALUE"""),"Matanzas river nekton sites")</f>
        <v>Matanzas river nekton sites</v>
      </c>
      <c r="I239" s="15">
        <f>IFERROR(__xludf.DUMMYFUNCTION("""COMPUTED_VALUE"""),0.1875)</f>
        <v>0.1875</v>
      </c>
      <c r="J239" s="16"/>
      <c r="K239" t="str">
        <f>IFERROR(__xludf.DUMMYFUNCTION("""COMPUTED_VALUE"""),"23ft Skiff (Bertha) FL7972LJ DEP07613")</f>
        <v>23ft Skiff (Bertha) FL7972LJ DEP07613</v>
      </c>
      <c r="M239" t="str">
        <f>IFERROR(__xludf.DUMMYFUNCTION("""COMPUTED_VALUE"""),"Ford F150 2008 - DEP18041 (SWMP Thing)")</f>
        <v>Ford F150 2008 - DEP18041 (SWMP Thing)</v>
      </c>
      <c r="N239" t="str">
        <f>IFERROR(__xludf.DUMMYFUNCTION("""COMPUTED_VALUE"""),"Jimmy Tomazinis, (904) 547-0094, Rueben Allen")</f>
        <v>Jimmy Tomazinis, (904) 547-0094, Rueben Allen</v>
      </c>
      <c r="O239" t="str">
        <f>IFERROR(__xludf.DUMMYFUNCTION("""COMPUTED_VALUE"""),"Jeff Finnan, Abi Tabor, Cassie Picard")</f>
        <v>Jeff Finnan, Abi Tabor, Cassie Picard</v>
      </c>
      <c r="P239" t="str">
        <f>IFERROR(__xludf.DUMMYFUNCTION("""COMPUTED_VALUE"""),"Jimmy")</f>
        <v>Jimmy</v>
      </c>
      <c r="Q239" t="str">
        <f>IFERROR(__xludf.DUMMYFUNCTION("""COMPUTED_VALUE"""),"Good")</f>
        <v>Good</v>
      </c>
      <c r="R239" t="str">
        <f>IFERROR(__xludf.DUMMYFUNCTION("""COMPUTED_VALUE"""),"Good")</f>
        <v>Good</v>
      </c>
      <c r="S239" t="str">
        <f>IFERROR(__xludf.DUMMYFUNCTION("""COMPUTED_VALUE"""),"Good")</f>
        <v>Good</v>
      </c>
      <c r="T239" t="str">
        <f>IFERROR(__xludf.DUMMYFUNCTION("""COMPUTED_VALUE"""),"Good")</f>
        <v>Good</v>
      </c>
      <c r="U239" t="str">
        <f>IFERROR(__xludf.DUMMYFUNCTION("""COMPUTED_VALUE"""),"Good")</f>
        <v>Good</v>
      </c>
      <c r="V239" t="str">
        <f>IFERROR(__xludf.DUMMYFUNCTION("""COMPUTED_VALUE"""),"Good")</f>
        <v>Good</v>
      </c>
      <c r="W239" t="str">
        <f>IFERROR(__xludf.DUMMYFUNCTION("""COMPUTED_VALUE"""),"Good")</f>
        <v>Good</v>
      </c>
      <c r="X239" t="str">
        <f>IFERROR(__xludf.DUMMYFUNCTION("""COMPUTED_VALUE"""),"Good")</f>
        <v>Good</v>
      </c>
      <c r="Y239" t="str">
        <f>IFERROR(__xludf.DUMMYFUNCTION("""COMPUTED_VALUE"""),"Good")</f>
        <v>Good</v>
      </c>
      <c r="Z239" t="str">
        <f>IFERROR(__xludf.DUMMYFUNCTION("""COMPUTED_VALUE"""),"Good")</f>
        <v>Good</v>
      </c>
      <c r="AA239" t="str">
        <f>IFERROR(__xludf.DUMMYFUNCTION("""COMPUTED_VALUE"""),"Good")</f>
        <v>Good</v>
      </c>
      <c r="AB239" t="str">
        <f>IFERROR(__xludf.DUMMYFUNCTION("""COMPUTED_VALUE"""),"Good")</f>
        <v>Good</v>
      </c>
      <c r="AC239" t="str">
        <f>IFERROR(__xludf.DUMMYFUNCTION("""COMPUTED_VALUE"""),"Good")</f>
        <v>Good</v>
      </c>
      <c r="AE239" s="11"/>
      <c r="AF239" t="s">
        <v>32</v>
      </c>
      <c r="AG239" s="18"/>
      <c r="AI239" s="12" t="s">
        <v>665</v>
      </c>
      <c r="AJ239" s="19" t="s">
        <v>666</v>
      </c>
      <c r="AK239" s="20" t="str">
        <f>HYPERLINK("https://docs.google.com/document/d/1VxyoSgDSUY1xZ5RK1eus2n0CN5AUTnIlYoMgzyp0JHQ/edit?usp=drivesdk","james tomazinis - 1/23/2019 9:00 AM")</f>
        <v>james tomazinis - 1/23/2019 9:00 AM</v>
      </c>
      <c r="AL239" s="12" t="s">
        <v>667</v>
      </c>
    </row>
    <row r="240">
      <c r="A240" s="10">
        <f>IFERROR(__xludf.DUMMYFUNCTION("""COMPUTED_VALUE"""),43489.41586114584)</f>
        <v>43489.41586</v>
      </c>
      <c r="B240" s="11" t="str">
        <f>IFERROR(__xludf.DUMMYFUNCTION("""COMPUTED_VALUE"""),"Pamela Marcum")</f>
        <v>Pamela Marcum</v>
      </c>
      <c r="C240" t="str">
        <f>IFERROR(__xludf.DUMMYFUNCTION("""COMPUTED_VALUE"""),"pamela.marcum@dep.state.fl.us")</f>
        <v>pamela.marcum@dep.state.fl.us</v>
      </c>
      <c r="D240" t="str">
        <f>IFERROR(__xludf.DUMMYFUNCTION("""COMPUTED_VALUE"""),"Administration")</f>
        <v>Administration</v>
      </c>
      <c r="E240" t="str">
        <f>IFERROR(__xludf.DUMMYFUNCTION("""COMPUTED_VALUE"""),"Faver Dykes")</f>
        <v>Faver Dykes</v>
      </c>
      <c r="F240" s="13">
        <f>IFERROR(__xludf.DUMMYFUNCTION("""COMPUTED_VALUE"""),0.4270833333321207)</f>
        <v>0.4270833333</v>
      </c>
      <c r="G240" s="14">
        <f>IFERROR(__xludf.DUMMYFUNCTION("""COMPUTED_VALUE"""),43489.0)</f>
        <v>43489</v>
      </c>
      <c r="H240" t="str">
        <f>IFERROR(__xludf.DUMMYFUNCTION("""COMPUTED_VALUE"""),"Pellicer Creek")</f>
        <v>Pellicer Creek</v>
      </c>
      <c r="I240" s="15">
        <f>IFERROR(__xludf.DUMMYFUNCTION("""COMPUTED_VALUE"""),0.5208333333321207)</f>
        <v>0.5208333333</v>
      </c>
      <c r="J240" s="16">
        <f>IFERROR(__xludf.DUMMYFUNCTION("""COMPUTED_VALUE"""),43489.5625)</f>
        <v>43489.5625</v>
      </c>
      <c r="K240" t="str">
        <f>IFERROR(__xludf.DUMMYFUNCTION("""COMPUTED_VALUE"""),"F 20ft Sea Ark (Easy 200) FL8534PY DEP21451")</f>
        <v>F 20ft Sea Ark (Easy 200) FL8534PY DEP21451</v>
      </c>
      <c r="M240" t="str">
        <f>IFERROR(__xludf.DUMMYFUNCTION("""COMPUTED_VALUE"""),"Ford F250 2017 (Moby Dix) - DEP0021578")</f>
        <v>Ford F250 2017 (Moby Dix) - DEP0021578</v>
      </c>
      <c r="N240" t="str">
        <f>IFERROR(__xludf.DUMMYFUNCTION("""COMPUTED_VALUE"""),"Nikki Dix, (352) 219-4079, Scott Eastman, (904) 501-9267, Pam Marcum, (480) 332-5414, Ben Mowbray, (407) 962-8782")</f>
        <v>Nikki Dix, (352) 219-4079, Scott Eastman, (904) 501-9267, Pam Marcum, (480) 332-5414, Ben Mowbray, (407) 962-8782</v>
      </c>
      <c r="P240" t="str">
        <f>IFERROR(__xludf.DUMMYFUNCTION("""COMPUTED_VALUE"""),"Ben")</f>
        <v>Ben</v>
      </c>
      <c r="Q240" t="str">
        <f>IFERROR(__xludf.DUMMYFUNCTION("""COMPUTED_VALUE"""),"Good")</f>
        <v>Good</v>
      </c>
      <c r="R240" t="str">
        <f>IFERROR(__xludf.DUMMYFUNCTION("""COMPUTED_VALUE"""),"Good")</f>
        <v>Good</v>
      </c>
      <c r="S240" t="str">
        <f>IFERROR(__xludf.DUMMYFUNCTION("""COMPUTED_VALUE"""),"Good")</f>
        <v>Good</v>
      </c>
      <c r="T240" t="str">
        <f>IFERROR(__xludf.DUMMYFUNCTION("""COMPUTED_VALUE"""),"Good")</f>
        <v>Good</v>
      </c>
      <c r="U240" t="str">
        <f>IFERROR(__xludf.DUMMYFUNCTION("""COMPUTED_VALUE"""),"Good")</f>
        <v>Good</v>
      </c>
      <c r="V240" t="str">
        <f>IFERROR(__xludf.DUMMYFUNCTION("""COMPUTED_VALUE"""),"Good")</f>
        <v>Good</v>
      </c>
      <c r="W240" t="str">
        <f>IFERROR(__xludf.DUMMYFUNCTION("""COMPUTED_VALUE"""),"Good")</f>
        <v>Good</v>
      </c>
      <c r="X240" t="str">
        <f>IFERROR(__xludf.DUMMYFUNCTION("""COMPUTED_VALUE"""),"Good")</f>
        <v>Good</v>
      </c>
      <c r="Y240" t="str">
        <f>IFERROR(__xludf.DUMMYFUNCTION("""COMPUTED_VALUE"""),"Good")</f>
        <v>Good</v>
      </c>
      <c r="Z240" t="str">
        <f>IFERROR(__xludf.DUMMYFUNCTION("""COMPUTED_VALUE"""),"Good")</f>
        <v>Good</v>
      </c>
      <c r="AA240" t="str">
        <f>IFERROR(__xludf.DUMMYFUNCTION("""COMPUTED_VALUE"""),"Good")</f>
        <v>Good</v>
      </c>
      <c r="AB240" t="str">
        <f>IFERROR(__xludf.DUMMYFUNCTION("""COMPUTED_VALUE"""),"Good")</f>
        <v>Good</v>
      </c>
      <c r="AC240" t="str">
        <f>IFERROR(__xludf.DUMMYFUNCTION("""COMPUTED_VALUE"""),"Good")</f>
        <v>Good</v>
      </c>
      <c r="AE240" s="11"/>
      <c r="AF240" t="s">
        <v>668</v>
      </c>
      <c r="AG240" s="17" t="s">
        <v>18</v>
      </c>
      <c r="AH240" s="12">
        <v>1250.0</v>
      </c>
      <c r="AI240" s="12" t="s">
        <v>669</v>
      </c>
      <c r="AJ240" s="19" t="s">
        <v>670</v>
      </c>
      <c r="AK240" s="20" t="str">
        <f>HYPERLINK("https://docs.google.com/document/d/1ySdWIilTOg-yyMQjktbgZWwdRIY5MumEp3vG29GzdsE/edit?usp=drivesdk","Pamela Marcum - 1/24/2019 10:15 AM")</f>
        <v>Pamela Marcum - 1/24/2019 10:15 AM</v>
      </c>
      <c r="AL240" s="12" t="s">
        <v>671</v>
      </c>
    </row>
    <row r="241">
      <c r="A241" s="10">
        <f>IFERROR(__xludf.DUMMYFUNCTION("""COMPUTED_VALUE"""),43496.29303943287)</f>
        <v>43496.29304</v>
      </c>
      <c r="B241" s="11" t="str">
        <f>IFERROR(__xludf.DUMMYFUNCTION("""COMPUTED_VALUE"""),"Ben Mowbray")</f>
        <v>Ben Mowbray</v>
      </c>
      <c r="C241" t="str">
        <f>IFERROR(__xludf.DUMMYFUNCTION("""COMPUTED_VALUE"""),"ben.mowbray@dep.state.fl.us")</f>
        <v>ben.mowbray@dep.state.fl.us</v>
      </c>
      <c r="D241" t="str">
        <f>IFERROR(__xludf.DUMMYFUNCTION("""COMPUTED_VALUE"""),"Research/Shannon")</f>
        <v>Research/Shannon</v>
      </c>
      <c r="E241" t="str">
        <f>IFERROR(__xludf.DUMMYFUNCTION("""COMPUTED_VALUE"""),"Light House, Green Rd., Bing's")</f>
        <v>Light House, Green Rd., Bing's</v>
      </c>
      <c r="F241" s="13">
        <f>IFERROR(__xludf.DUMMYFUNCTION("""COMPUTED_VALUE"""),0.4166666666678793)</f>
        <v>0.4166666667</v>
      </c>
      <c r="G241" s="14">
        <f>IFERROR(__xludf.DUMMYFUNCTION("""COMPUTED_VALUE"""),43486.0)</f>
        <v>43486</v>
      </c>
      <c r="H241" t="str">
        <f>IFERROR(__xludf.DUMMYFUNCTION("""COMPUTED_VALUE"""),"Southern Spat Run")</f>
        <v>Southern Spat Run</v>
      </c>
      <c r="I241" s="15">
        <f>IFERROR(__xludf.DUMMYFUNCTION("""COMPUTED_VALUE"""),0.625)</f>
        <v>0.625</v>
      </c>
      <c r="J241" s="16">
        <f>IFERROR(__xludf.DUMMYFUNCTION("""COMPUTED_VALUE"""),43496.70833333333)</f>
        <v>43496.70833</v>
      </c>
      <c r="K241" t="str">
        <f>IFERROR(__xludf.DUMMYFUNCTION("""COMPUTED_VALUE"""),"23ft Skiff (Bertha) FL7972LJ DEP07613")</f>
        <v>23ft Skiff (Bertha) FL7972LJ DEP07613</v>
      </c>
      <c r="M241" t="str">
        <f>IFERROR(__xludf.DUMMYFUNCTION("""COMPUTED_VALUE"""),"Ford F250 2017 (Moby Dix) - DEP0021578")</f>
        <v>Ford F250 2017 (Moby Dix) - DEP0021578</v>
      </c>
      <c r="N241" t="str">
        <f>IFERROR(__xludf.DUMMYFUNCTION("""COMPUTED_VALUE"""),"Ben Mowbray, (407) 962-8782")</f>
        <v>Ben Mowbray, (407) 962-8782</v>
      </c>
      <c r="O241" t="str">
        <f>IFERROR(__xludf.DUMMYFUNCTION("""COMPUTED_VALUE"""),"Greg Wilson")</f>
        <v>Greg Wilson</v>
      </c>
      <c r="P241" t="str">
        <f>IFERROR(__xludf.DUMMYFUNCTION("""COMPUTED_VALUE"""),"Ben")</f>
        <v>Ben</v>
      </c>
      <c r="Q241" t="str">
        <f>IFERROR(__xludf.DUMMYFUNCTION("""COMPUTED_VALUE"""),"Good")</f>
        <v>Good</v>
      </c>
      <c r="R241" t="str">
        <f>IFERROR(__xludf.DUMMYFUNCTION("""COMPUTED_VALUE"""),"Good")</f>
        <v>Good</v>
      </c>
      <c r="S241" t="str">
        <f>IFERROR(__xludf.DUMMYFUNCTION("""COMPUTED_VALUE"""),"Good")</f>
        <v>Good</v>
      </c>
      <c r="T241" t="str">
        <f>IFERROR(__xludf.DUMMYFUNCTION("""COMPUTED_VALUE"""),"Good")</f>
        <v>Good</v>
      </c>
      <c r="U241" t="str">
        <f>IFERROR(__xludf.DUMMYFUNCTION("""COMPUTED_VALUE"""),"Good")</f>
        <v>Good</v>
      </c>
      <c r="V241" t="str">
        <f>IFERROR(__xludf.DUMMYFUNCTION("""COMPUTED_VALUE"""),"Good")</f>
        <v>Good</v>
      </c>
      <c r="W241" t="str">
        <f>IFERROR(__xludf.DUMMYFUNCTION("""COMPUTED_VALUE"""),"Good")</f>
        <v>Good</v>
      </c>
      <c r="X241" t="str">
        <f>IFERROR(__xludf.DUMMYFUNCTION("""COMPUTED_VALUE"""),"Good")</f>
        <v>Good</v>
      </c>
      <c r="Y241" t="str">
        <f>IFERROR(__xludf.DUMMYFUNCTION("""COMPUTED_VALUE"""),"Good")</f>
        <v>Good</v>
      </c>
      <c r="Z241" t="str">
        <f>IFERROR(__xludf.DUMMYFUNCTION("""COMPUTED_VALUE"""),"Good")</f>
        <v>Good</v>
      </c>
      <c r="AA241" t="str">
        <f>IFERROR(__xludf.DUMMYFUNCTION("""COMPUTED_VALUE"""),"Good")</f>
        <v>Good</v>
      </c>
      <c r="AB241" t="str">
        <f>IFERROR(__xludf.DUMMYFUNCTION("""COMPUTED_VALUE"""),"Good")</f>
        <v>Good</v>
      </c>
      <c r="AC241" t="str">
        <f>IFERROR(__xludf.DUMMYFUNCTION("""COMPUTED_VALUE"""),"Good")</f>
        <v>Good</v>
      </c>
      <c r="AE241" s="11"/>
      <c r="AF241" t="s">
        <v>269</v>
      </c>
      <c r="AG241" s="17" t="s">
        <v>43</v>
      </c>
      <c r="AH241" s="12">
        <v>1700.0</v>
      </c>
      <c r="AI241" s="12" t="s">
        <v>672</v>
      </c>
      <c r="AJ241" s="19" t="s">
        <v>673</v>
      </c>
      <c r="AK241" s="20" t="str">
        <f>HYPERLINK("https://docs.google.com/document/d/1CUCpLehHRWB0zqBa_QILwFpQoJRVitx2XHWrEXyFSLw/edit?usp=drivesdk","Ben Mowbray - 1/21/2019 10:00 AM")</f>
        <v>Ben Mowbray - 1/21/2019 10:00 AM</v>
      </c>
      <c r="AL241" s="12" t="s">
        <v>674</v>
      </c>
    </row>
    <row r="242">
      <c r="A242" s="10">
        <f>IFERROR(__xludf.DUMMYFUNCTION("""COMPUTED_VALUE"""),43496.342288113425)</f>
        <v>43496.34229</v>
      </c>
      <c r="B242" s="11" t="str">
        <f>IFERROR(__xludf.DUMMYFUNCTION("""COMPUTED_VALUE"""),"Pamela Marcum")</f>
        <v>Pamela Marcum</v>
      </c>
      <c r="C242" t="str">
        <f>IFERROR(__xludf.DUMMYFUNCTION("""COMPUTED_VALUE"""),"Pamela.Marcum@dep.state.fl.us")</f>
        <v>Pamela.Marcum@dep.state.fl.us</v>
      </c>
      <c r="D242" t="str">
        <f>IFERROR(__xludf.DUMMYFUNCTION("""COMPUTED_VALUE"""),"Research/Nikki")</f>
        <v>Research/Nikki</v>
      </c>
      <c r="E242" t="str">
        <f>IFERROR(__xludf.DUMMYFUNCTION("""COMPUTED_VALUE"""),"Aunt Kate's")</f>
        <v>Aunt Kate's</v>
      </c>
      <c r="F242" s="13">
        <f>IFERROR(__xludf.DUMMYFUNCTION("""COMPUTED_VALUE"""),0.3854166666678793)</f>
        <v>0.3854166667</v>
      </c>
      <c r="G242" s="14">
        <f>IFERROR(__xludf.DUMMYFUNCTION("""COMPUTED_VALUE"""),43496.0)</f>
        <v>43496</v>
      </c>
      <c r="H242" t="str">
        <f>IFERROR(__xludf.DUMMYFUNCTION("""COMPUTED_VALUE"""),"Matanzas and Tolomato Rivers")</f>
        <v>Matanzas and Tolomato Rivers</v>
      </c>
      <c r="I242" s="15">
        <f>IFERROR(__xludf.DUMMYFUNCTION("""COMPUTED_VALUE"""),0.5833333333321207)</f>
        <v>0.5833333333</v>
      </c>
      <c r="J242" s="16">
        <f>IFERROR(__xludf.DUMMYFUNCTION("""COMPUTED_VALUE"""),43496.60416666667)</f>
        <v>43496.60417</v>
      </c>
      <c r="K242" t="str">
        <f>IFERROR(__xludf.DUMMYFUNCTION("""COMPUTED_VALUE"""),"23ft Skiff (Bertha) FL7972LJ DEP07613")</f>
        <v>23ft Skiff (Bertha) FL7972LJ DEP07613</v>
      </c>
      <c r="M242" t="str">
        <f>IFERROR(__xludf.DUMMYFUNCTION("""COMPUTED_VALUE"""),"Ford F250 2017 (Moby Dix) - DEP0021578")</f>
        <v>Ford F250 2017 (Moby Dix) - DEP0021578</v>
      </c>
      <c r="N242" t="str">
        <f>IFERROR(__xludf.DUMMYFUNCTION("""COMPUTED_VALUE"""),"Pam Marcum, (480) 332-5414")</f>
        <v>Pam Marcum, (480) 332-5414</v>
      </c>
      <c r="O242" t="str">
        <f>IFERROR(__xludf.DUMMYFUNCTION("""COMPUTED_VALUE"""),"Nicole Peckham, Adrienne Breef-Pilz")</f>
        <v>Nicole Peckham, Adrienne Breef-Pilz</v>
      </c>
      <c r="P242" t="str">
        <f>IFERROR(__xludf.DUMMYFUNCTION("""COMPUTED_VALUE"""),"Pam")</f>
        <v>Pam</v>
      </c>
      <c r="Q242" t="str">
        <f>IFERROR(__xludf.DUMMYFUNCTION("""COMPUTED_VALUE"""),"Good")</f>
        <v>Good</v>
      </c>
      <c r="R242" t="str">
        <f>IFERROR(__xludf.DUMMYFUNCTION("""COMPUTED_VALUE"""),"Good")</f>
        <v>Good</v>
      </c>
      <c r="S242" t="str">
        <f>IFERROR(__xludf.DUMMYFUNCTION("""COMPUTED_VALUE"""),"Good")</f>
        <v>Good</v>
      </c>
      <c r="T242" t="str">
        <f>IFERROR(__xludf.DUMMYFUNCTION("""COMPUTED_VALUE"""),"Good")</f>
        <v>Good</v>
      </c>
      <c r="U242" t="str">
        <f>IFERROR(__xludf.DUMMYFUNCTION("""COMPUTED_VALUE"""),"Good")</f>
        <v>Good</v>
      </c>
      <c r="V242" t="str">
        <f>IFERROR(__xludf.DUMMYFUNCTION("""COMPUTED_VALUE"""),"Good")</f>
        <v>Good</v>
      </c>
      <c r="W242" t="str">
        <f>IFERROR(__xludf.DUMMYFUNCTION("""COMPUTED_VALUE"""),"Good")</f>
        <v>Good</v>
      </c>
      <c r="X242" t="str">
        <f>IFERROR(__xludf.DUMMYFUNCTION("""COMPUTED_VALUE"""),"Good")</f>
        <v>Good</v>
      </c>
      <c r="Y242" t="str">
        <f>IFERROR(__xludf.DUMMYFUNCTION("""COMPUTED_VALUE"""),"Good")</f>
        <v>Good</v>
      </c>
      <c r="Z242" t="str">
        <f>IFERROR(__xludf.DUMMYFUNCTION("""COMPUTED_VALUE"""),"Good")</f>
        <v>Good</v>
      </c>
      <c r="AA242" t="str">
        <f>IFERROR(__xludf.DUMMYFUNCTION("""COMPUTED_VALUE"""),"Good")</f>
        <v>Good</v>
      </c>
      <c r="AB242" t="str">
        <f>IFERROR(__xludf.DUMMYFUNCTION("""COMPUTED_VALUE"""),"Good")</f>
        <v>Good</v>
      </c>
      <c r="AC242" t="str">
        <f>IFERROR(__xludf.DUMMYFUNCTION("""COMPUTED_VALUE"""),"Good")</f>
        <v>Good</v>
      </c>
      <c r="AE242" s="11"/>
      <c r="AF242" t="s">
        <v>218</v>
      </c>
      <c r="AG242" s="17" t="s">
        <v>18</v>
      </c>
      <c r="AH242" s="12">
        <v>1435.0</v>
      </c>
      <c r="AI242" s="12" t="s">
        <v>675</v>
      </c>
      <c r="AJ242" s="19" t="s">
        <v>676</v>
      </c>
      <c r="AK242" s="20" t="str">
        <f>HYPERLINK("https://docs.google.com/document/d/1GOBsFESX6f9qZ6TPdcc-u6UgUVmptfCcKPpgKqBe1ww/edit?usp=drivesdk","Pamela Marcum - 1/31/2019 9:15 AM")</f>
        <v>Pamela Marcum - 1/31/2019 9:15 AM</v>
      </c>
      <c r="AL242" s="12" t="s">
        <v>677</v>
      </c>
    </row>
    <row r="243">
      <c r="A243" s="10">
        <f>IFERROR(__xludf.DUMMYFUNCTION("""COMPUTED_VALUE"""),43500.33126575231)</f>
        <v>43500.33127</v>
      </c>
      <c r="B243" s="11" t="str">
        <f>IFERROR(__xludf.DUMMYFUNCTION("""COMPUTED_VALUE"""),"James Tomazinis")</f>
        <v>James Tomazinis</v>
      </c>
      <c r="C243" t="str">
        <f>IFERROR(__xludf.DUMMYFUNCTION("""COMPUTED_VALUE"""),"James.tomazinis@floridadep.gov")</f>
        <v>James.tomazinis@floridadep.gov</v>
      </c>
      <c r="D243" t="str">
        <f>IFERROR(__xludf.DUMMYFUNCTION("""COMPUTED_VALUE"""),"Stewardship (Aquatic)")</f>
        <v>Stewardship (Aquatic)</v>
      </c>
      <c r="E243" t="str">
        <f>IFERROR(__xludf.DUMMYFUNCTION("""COMPUTED_VALUE"""),"Guana Dam")</f>
        <v>Guana Dam</v>
      </c>
      <c r="F243" s="13">
        <f>IFERROR(__xludf.DUMMYFUNCTION("""COMPUTED_VALUE"""),0.3854166666678793)</f>
        <v>0.3854166667</v>
      </c>
      <c r="G243" s="14">
        <f>IFERROR(__xludf.DUMMYFUNCTION("""COMPUTED_VALUE"""),43500.0)</f>
        <v>43500</v>
      </c>
      <c r="H243" t="str">
        <f>IFERROR(__xludf.DUMMYFUNCTION("""COMPUTED_VALUE"""),"Guana River WQ sites")</f>
        <v>Guana River WQ sites</v>
      </c>
      <c r="I243" s="15">
        <f>IFERROR(__xludf.DUMMYFUNCTION("""COMPUTED_VALUE"""),0.45138888889050577)</f>
        <v>0.4513888889</v>
      </c>
      <c r="J243" s="16"/>
      <c r="K243" t="str">
        <f>IFERROR(__xludf.DUMMYFUNCTION("""COMPUTED_VALUE"""),"Jon Boat FL0484NP DEP06819")</f>
        <v>Jon Boat FL0484NP DEP06819</v>
      </c>
      <c r="M243" t="str">
        <f>IFERROR(__xludf.DUMMYFUNCTION("""COMPUTED_VALUE"""),"Ford F150 2015 (White) - DEP21448")</f>
        <v>Ford F150 2015 (White) - DEP21448</v>
      </c>
      <c r="N243" t="str">
        <f>IFERROR(__xludf.DUMMYFUNCTION("""COMPUTED_VALUE"""),"Jimmy Tomazinis, (904) 547-0094, Ben Mowbray, (407) 962-8782")</f>
        <v>Jimmy Tomazinis, (904) 547-0094, Ben Mowbray, (407) 962-8782</v>
      </c>
      <c r="O243" t="str">
        <f>IFERROR(__xludf.DUMMYFUNCTION("""COMPUTED_VALUE"""),"Mark Collins")</f>
        <v>Mark Collins</v>
      </c>
      <c r="P243" t="str">
        <f>IFERROR(__xludf.DUMMYFUNCTION("""COMPUTED_VALUE"""),"Jimmy")</f>
        <v>Jimmy</v>
      </c>
      <c r="Q243" t="str">
        <f>IFERROR(__xludf.DUMMYFUNCTION("""COMPUTED_VALUE"""),"Good")</f>
        <v>Good</v>
      </c>
      <c r="R243" t="str">
        <f>IFERROR(__xludf.DUMMYFUNCTION("""COMPUTED_VALUE"""),"Good")</f>
        <v>Good</v>
      </c>
      <c r="S243" t="str">
        <f>IFERROR(__xludf.DUMMYFUNCTION("""COMPUTED_VALUE"""),"Good")</f>
        <v>Good</v>
      </c>
      <c r="T243" t="str">
        <f>IFERROR(__xludf.DUMMYFUNCTION("""COMPUTED_VALUE"""),"Good")</f>
        <v>Good</v>
      </c>
      <c r="U243" t="str">
        <f>IFERROR(__xludf.DUMMYFUNCTION("""COMPUTED_VALUE"""),"Good")</f>
        <v>Good</v>
      </c>
      <c r="V243" t="str">
        <f>IFERROR(__xludf.DUMMYFUNCTION("""COMPUTED_VALUE"""),"Good")</f>
        <v>Good</v>
      </c>
      <c r="W243" t="str">
        <f>IFERROR(__xludf.DUMMYFUNCTION("""COMPUTED_VALUE"""),"Good")</f>
        <v>Good</v>
      </c>
      <c r="X243" t="str">
        <f>IFERROR(__xludf.DUMMYFUNCTION("""COMPUTED_VALUE"""),"Good")</f>
        <v>Good</v>
      </c>
      <c r="Y243" t="str">
        <f>IFERROR(__xludf.DUMMYFUNCTION("""COMPUTED_VALUE"""),"Good")</f>
        <v>Good</v>
      </c>
      <c r="Z243" t="str">
        <f>IFERROR(__xludf.DUMMYFUNCTION("""COMPUTED_VALUE"""),"Good")</f>
        <v>Good</v>
      </c>
      <c r="AA243" t="str">
        <f>IFERROR(__xludf.DUMMYFUNCTION("""COMPUTED_VALUE"""),"Good")</f>
        <v>Good</v>
      </c>
      <c r="AB243" t="str">
        <f>IFERROR(__xludf.DUMMYFUNCTION("""COMPUTED_VALUE"""),"Good")</f>
        <v>Good</v>
      </c>
      <c r="AC243" t="str">
        <f>IFERROR(__xludf.DUMMYFUNCTION("""COMPUTED_VALUE"""),"Good")</f>
        <v>Good</v>
      </c>
      <c r="AE243" s="11"/>
      <c r="AF243" t="s">
        <v>32</v>
      </c>
      <c r="AG243" s="18"/>
      <c r="AI243" s="12" t="s">
        <v>678</v>
      </c>
      <c r="AJ243" s="19" t="s">
        <v>679</v>
      </c>
      <c r="AK243" s="20" t="str">
        <f>HYPERLINK("https://docs.google.com/document/d/1cLJrO_7vYjsC5Las3DO7HiNkHwUoPLtkT1XEBLKwk2I/edit?usp=drivesdk","James Tomazinis - 2/4/2019 9:15 AM")</f>
        <v>James Tomazinis - 2/4/2019 9:15 AM</v>
      </c>
      <c r="AL243" s="12" t="s">
        <v>680</v>
      </c>
    </row>
    <row r="244">
      <c r="A244" s="10">
        <f>IFERROR(__xludf.DUMMYFUNCTION("""COMPUTED_VALUE"""),43501.325073692125)</f>
        <v>43501.32507</v>
      </c>
      <c r="B244" s="11" t="str">
        <f>IFERROR(__xludf.DUMMYFUNCTION("""COMPUTED_VALUE"""),"Silas Tanner")</f>
        <v>Silas Tanner</v>
      </c>
      <c r="C244" t="str">
        <f>IFERROR(__xludf.DUMMYFUNCTION("""COMPUTED_VALUE"""),"silas.tanner@floridadep.gov")</f>
        <v>silas.tanner@floridadep.gov</v>
      </c>
      <c r="D244" t="str">
        <f>IFERROR(__xludf.DUMMYFUNCTION("""COMPUTED_VALUE"""),"Research/Nikki")</f>
        <v>Research/Nikki</v>
      </c>
      <c r="E244" t="str">
        <f>IFERROR(__xludf.DUMMYFUNCTION("""COMPUTED_VALUE"""),"Vilano Landing")</f>
        <v>Vilano Landing</v>
      </c>
      <c r="F244" s="13">
        <f>IFERROR(__xludf.DUMMYFUNCTION("""COMPUTED_VALUE"""),0.3541666666678793)</f>
        <v>0.3541666667</v>
      </c>
      <c r="G244" s="14">
        <f>IFERROR(__xludf.DUMMYFUNCTION("""COMPUTED_VALUE"""),43501.0)</f>
        <v>43501</v>
      </c>
      <c r="H244" t="str">
        <f>IFERROR(__xludf.DUMMYFUNCTION("""COMPUTED_VALUE"""),"ICW - SWMP sites")</f>
        <v>ICW - SWMP sites</v>
      </c>
      <c r="I244" s="15">
        <f>IFERROR(__xludf.DUMMYFUNCTION("""COMPUTED_VALUE"""),0.5625)</f>
        <v>0.5625</v>
      </c>
      <c r="J244" s="16">
        <f>IFERROR(__xludf.DUMMYFUNCTION("""COMPUTED_VALUE"""),43501.57291666667)</f>
        <v>43501.57292</v>
      </c>
      <c r="K244" t="str">
        <f>IFERROR(__xludf.DUMMYFUNCTION("""COMPUTED_VALUE"""),"23ft Skiff (Bertha) FL7972LJ DEP07613")</f>
        <v>23ft Skiff (Bertha) FL7972LJ DEP07613</v>
      </c>
      <c r="M244" t="str">
        <f>IFERROR(__xludf.DUMMYFUNCTION("""COMPUTED_VALUE"""),"Ford F150 2015 (White) - DEP21448")</f>
        <v>Ford F150 2015 (White) - DEP21448</v>
      </c>
      <c r="N244" t="str">
        <f>IFERROR(__xludf.DUMMYFUNCTION("""COMPUTED_VALUE"""),"Silas Tanner, (904) 483-8423, Ben Mowbray, (407) 962-8782")</f>
        <v>Silas Tanner, (904) 483-8423, Ben Mowbray, (407) 962-8782</v>
      </c>
      <c r="O244" t="str">
        <f>IFERROR(__xludf.DUMMYFUNCTION("""COMPUTED_VALUE"""),"Vincent Mcclure")</f>
        <v>Vincent Mcclure</v>
      </c>
      <c r="P244" t="str">
        <f>IFERROR(__xludf.DUMMYFUNCTION("""COMPUTED_VALUE"""),"S. Tanner")</f>
        <v>S. Tanner</v>
      </c>
      <c r="Q244" t="str">
        <f>IFERROR(__xludf.DUMMYFUNCTION("""COMPUTED_VALUE"""),"Good")</f>
        <v>Good</v>
      </c>
      <c r="R244" t="str">
        <f>IFERROR(__xludf.DUMMYFUNCTION("""COMPUTED_VALUE"""),"Good")</f>
        <v>Good</v>
      </c>
      <c r="S244" t="str">
        <f>IFERROR(__xludf.DUMMYFUNCTION("""COMPUTED_VALUE"""),"Good")</f>
        <v>Good</v>
      </c>
      <c r="T244" t="str">
        <f>IFERROR(__xludf.DUMMYFUNCTION("""COMPUTED_VALUE"""),"Good")</f>
        <v>Good</v>
      </c>
      <c r="U244" t="str">
        <f>IFERROR(__xludf.DUMMYFUNCTION("""COMPUTED_VALUE"""),"Good")</f>
        <v>Good</v>
      </c>
      <c r="V244" t="str">
        <f>IFERROR(__xludf.DUMMYFUNCTION("""COMPUTED_VALUE"""),"Good")</f>
        <v>Good</v>
      </c>
      <c r="W244" t="str">
        <f>IFERROR(__xludf.DUMMYFUNCTION("""COMPUTED_VALUE"""),"Good")</f>
        <v>Good</v>
      </c>
      <c r="X244" t="str">
        <f>IFERROR(__xludf.DUMMYFUNCTION("""COMPUTED_VALUE"""),"Good")</f>
        <v>Good</v>
      </c>
      <c r="Y244" t="str">
        <f>IFERROR(__xludf.DUMMYFUNCTION("""COMPUTED_VALUE"""),"Good")</f>
        <v>Good</v>
      </c>
      <c r="Z244" t="str">
        <f>IFERROR(__xludf.DUMMYFUNCTION("""COMPUTED_VALUE"""),"Good")</f>
        <v>Good</v>
      </c>
      <c r="AA244" t="str">
        <f>IFERROR(__xludf.DUMMYFUNCTION("""COMPUTED_VALUE"""),"Good")</f>
        <v>Good</v>
      </c>
      <c r="AB244" t="str">
        <f>IFERROR(__xludf.DUMMYFUNCTION("""COMPUTED_VALUE"""),"Good")</f>
        <v>Good</v>
      </c>
      <c r="AC244" t="str">
        <f>IFERROR(__xludf.DUMMYFUNCTION("""COMPUTED_VALUE"""),"Good")</f>
        <v>Good</v>
      </c>
      <c r="AE244" s="11"/>
      <c r="AF244" t="s">
        <v>218</v>
      </c>
      <c r="AG244" s="17" t="s">
        <v>18</v>
      </c>
      <c r="AH244" s="12">
        <v>1324.0</v>
      </c>
      <c r="AI244" s="12" t="s">
        <v>681</v>
      </c>
      <c r="AJ244" s="19" t="s">
        <v>682</v>
      </c>
      <c r="AK244" s="20" t="str">
        <f>HYPERLINK("https://docs.google.com/document/d/1fSs9eCOq3hWlcEUsnZCYxYLdt3MBFViSiMNmwpFrbqo/edit?usp=drivesdk","Silas Tanner - 2/5/2019 8:30 AM")</f>
        <v>Silas Tanner - 2/5/2019 8:30 AM</v>
      </c>
      <c r="AL244" s="12" t="s">
        <v>683</v>
      </c>
    </row>
    <row r="245">
      <c r="A245" s="10">
        <f>IFERROR(__xludf.DUMMYFUNCTION("""COMPUTED_VALUE"""),43507.38405261574)</f>
        <v>43507.38405</v>
      </c>
      <c r="B245" s="11" t="str">
        <f>IFERROR(__xludf.DUMMYFUNCTION("""COMPUTED_VALUE"""),"Silas Tanner")</f>
        <v>Silas Tanner</v>
      </c>
      <c r="C245" t="str">
        <f>IFERROR(__xludf.DUMMYFUNCTION("""COMPUTED_VALUE"""),"silas.tanner@floridadep.gov")</f>
        <v>silas.tanner@floridadep.gov</v>
      </c>
      <c r="D245" t="str">
        <f>IFERROR(__xludf.DUMMYFUNCTION("""COMPUTED_VALUE"""),"Research/Pam")</f>
        <v>Research/Pam</v>
      </c>
      <c r="E245" t="str">
        <f>IFERROR(__xludf.DUMMYFUNCTION("""COMPUTED_VALUE"""),"Faver Dykes State Park")</f>
        <v>Faver Dykes State Park</v>
      </c>
      <c r="F245" s="13">
        <f>IFERROR(__xludf.DUMMYFUNCTION("""COMPUTED_VALUE"""),0.4270833333321207)</f>
        <v>0.4270833333</v>
      </c>
      <c r="G245" s="14">
        <f>IFERROR(__xludf.DUMMYFUNCTION("""COMPUTED_VALUE"""),43507.0)</f>
        <v>43507</v>
      </c>
      <c r="H245" t="str">
        <f>IFERROR(__xludf.DUMMYFUNCTION("""COMPUTED_VALUE"""),"Pellicer SWMP platforms")</f>
        <v>Pellicer SWMP platforms</v>
      </c>
      <c r="I245" s="15">
        <f>IFERROR(__xludf.DUMMYFUNCTION("""COMPUTED_VALUE"""),0.5520833333321207)</f>
        <v>0.5520833333</v>
      </c>
      <c r="J245" s="16">
        <f>IFERROR(__xludf.DUMMYFUNCTION("""COMPUTED_VALUE"""),43507.59375)</f>
        <v>43507.59375</v>
      </c>
      <c r="K245" t="str">
        <f>IFERROR(__xludf.DUMMYFUNCTION("""COMPUTED_VALUE"""),"F 20ft Sea Ark (Easy 200) FL8534PY DEP21451")</f>
        <v>F 20ft Sea Ark (Easy 200) FL8534PY DEP21451</v>
      </c>
      <c r="M245" t="str">
        <f>IFERROR(__xludf.DUMMYFUNCTION("""COMPUTED_VALUE"""),"Ford F150 2008 - DEP18041 (SWMP Thing)")</f>
        <v>Ford F150 2008 - DEP18041 (SWMP Thing)</v>
      </c>
      <c r="N245" t="str">
        <f>IFERROR(__xludf.DUMMYFUNCTION("""COMPUTED_VALUE"""),"Silas Tanner, (904) 483-8423, Ben Mowbray, (407) 962-8782")</f>
        <v>Silas Tanner, (904) 483-8423, Ben Mowbray, (407) 962-8782</v>
      </c>
      <c r="P245" t="str">
        <f>IFERROR(__xludf.DUMMYFUNCTION("""COMPUTED_VALUE"""),"Tanner")</f>
        <v>Tanner</v>
      </c>
      <c r="Q245" t="str">
        <f>IFERROR(__xludf.DUMMYFUNCTION("""COMPUTED_VALUE"""),"Good")</f>
        <v>Good</v>
      </c>
      <c r="R245" t="str">
        <f>IFERROR(__xludf.DUMMYFUNCTION("""COMPUTED_VALUE"""),"Good")</f>
        <v>Good</v>
      </c>
      <c r="S245" t="str">
        <f>IFERROR(__xludf.DUMMYFUNCTION("""COMPUTED_VALUE"""),"Good")</f>
        <v>Good</v>
      </c>
      <c r="T245" t="str">
        <f>IFERROR(__xludf.DUMMYFUNCTION("""COMPUTED_VALUE"""),"Good")</f>
        <v>Good</v>
      </c>
      <c r="U245" t="str">
        <f>IFERROR(__xludf.DUMMYFUNCTION("""COMPUTED_VALUE"""),"Good")</f>
        <v>Good</v>
      </c>
      <c r="V245" t="str">
        <f>IFERROR(__xludf.DUMMYFUNCTION("""COMPUTED_VALUE"""),"Good")</f>
        <v>Good</v>
      </c>
      <c r="W245" t="str">
        <f>IFERROR(__xludf.DUMMYFUNCTION("""COMPUTED_VALUE"""),"Good")</f>
        <v>Good</v>
      </c>
      <c r="X245" t="str">
        <f>IFERROR(__xludf.DUMMYFUNCTION("""COMPUTED_VALUE"""),"Good")</f>
        <v>Good</v>
      </c>
      <c r="Y245" t="str">
        <f>IFERROR(__xludf.DUMMYFUNCTION("""COMPUTED_VALUE"""),"Good")</f>
        <v>Good</v>
      </c>
      <c r="Z245" t="str">
        <f>IFERROR(__xludf.DUMMYFUNCTION("""COMPUTED_VALUE"""),"Good")</f>
        <v>Good</v>
      </c>
      <c r="AA245" t="str">
        <f>IFERROR(__xludf.DUMMYFUNCTION("""COMPUTED_VALUE"""),"Good")</f>
        <v>Good</v>
      </c>
      <c r="AB245" t="str">
        <f>IFERROR(__xludf.DUMMYFUNCTION("""COMPUTED_VALUE"""),"Good")</f>
        <v>Good</v>
      </c>
      <c r="AC245" t="str">
        <f>IFERROR(__xludf.DUMMYFUNCTION("""COMPUTED_VALUE"""),"Good")</f>
        <v>Good</v>
      </c>
      <c r="AE245" s="11"/>
      <c r="AF245" t="s">
        <v>262</v>
      </c>
      <c r="AG245" s="17" t="s">
        <v>18</v>
      </c>
      <c r="AH245" s="12">
        <v>1250.0</v>
      </c>
      <c r="AI245" s="12" t="s">
        <v>684</v>
      </c>
      <c r="AJ245" s="19" t="s">
        <v>685</v>
      </c>
      <c r="AK245" s="20" t="str">
        <f>HYPERLINK("https://docs.google.com/document/d/14VlWjsETlFQ2d5qk_szZ5WONt_dxnNxiUZBzsMiNW10/edit?usp=drivesdk","Silas Tanner - 2/11/2019 10:15 AM")</f>
        <v>Silas Tanner - 2/11/2019 10:15 AM</v>
      </c>
      <c r="AL245" s="12" t="s">
        <v>686</v>
      </c>
    </row>
    <row r="246">
      <c r="A246" s="10">
        <f>IFERROR(__xludf.DUMMYFUNCTION("""COMPUTED_VALUE"""),43507.50286516204)</f>
        <v>43507.50287</v>
      </c>
      <c r="B246" s="11" t="str">
        <f>IFERROR(__xludf.DUMMYFUNCTION("""COMPUTED_VALUE"""),"James Tomazinis")</f>
        <v>James Tomazinis</v>
      </c>
      <c r="C246" t="str">
        <f>IFERROR(__xludf.DUMMYFUNCTION("""COMPUTED_VALUE"""),"james.tomazinis@floridadep.gov")</f>
        <v>james.tomazinis@floridadep.gov</v>
      </c>
      <c r="D246" t="str">
        <f>IFERROR(__xludf.DUMMYFUNCTION("""COMPUTED_VALUE"""),"Stewardship (Aquatic)")</f>
        <v>Stewardship (Aquatic)</v>
      </c>
      <c r="E246" t="str">
        <f>IFERROR(__xludf.DUMMYFUNCTION("""COMPUTED_VALUE"""),"Vilano")</f>
        <v>Vilano</v>
      </c>
      <c r="F246" s="13">
        <f>IFERROR(__xludf.DUMMYFUNCTION("""COMPUTED_VALUE"""),0.3854166666678793)</f>
        <v>0.3854166667</v>
      </c>
      <c r="G246" s="14">
        <f>IFERROR(__xludf.DUMMYFUNCTION("""COMPUTED_VALUE"""),43508.0)</f>
        <v>43508</v>
      </c>
      <c r="H246" t="str">
        <f>IFERROR(__xludf.DUMMYFUNCTION("""COMPUTED_VALUE"""),"Tolomato Nekton sites")</f>
        <v>Tolomato Nekton sites</v>
      </c>
      <c r="I246" s="15">
        <f>IFERROR(__xludf.DUMMYFUNCTION("""COMPUTED_VALUE"""),0.6666666666678793)</f>
        <v>0.6666666667</v>
      </c>
      <c r="J246" s="16"/>
      <c r="K246" t="str">
        <f>IFERROR(__xludf.DUMMYFUNCTION("""COMPUTED_VALUE"""),"23ft Skiff (Bertha) FL7972LJ DEP07613")</f>
        <v>23ft Skiff (Bertha) FL7972LJ DEP07613</v>
      </c>
      <c r="M246" t="str">
        <f>IFERROR(__xludf.DUMMYFUNCTION("""COMPUTED_VALUE"""),"Ford F250 2017 (Moby Dix) - DEP0021578")</f>
        <v>Ford F250 2017 (Moby Dix) - DEP0021578</v>
      </c>
      <c r="N246" t="str">
        <f>IFERROR(__xludf.DUMMYFUNCTION("""COMPUTED_VALUE"""),"Jimmy Tomazinis, (904) 547-0094")</f>
        <v>Jimmy Tomazinis, (904) 547-0094</v>
      </c>
      <c r="O246" t="str">
        <f>IFERROR(__xludf.DUMMYFUNCTION("""COMPUTED_VALUE"""),"Jeff Finnan, Chris Kurtz")</f>
        <v>Jeff Finnan, Chris Kurtz</v>
      </c>
      <c r="P246" t="str">
        <f>IFERROR(__xludf.DUMMYFUNCTION("""COMPUTED_VALUE"""),"Jimmy")</f>
        <v>Jimmy</v>
      </c>
      <c r="Q246" t="str">
        <f>IFERROR(__xludf.DUMMYFUNCTION("""COMPUTED_VALUE"""),"Good")</f>
        <v>Good</v>
      </c>
      <c r="R246" t="str">
        <f>IFERROR(__xludf.DUMMYFUNCTION("""COMPUTED_VALUE"""),"Good")</f>
        <v>Good</v>
      </c>
      <c r="S246" t="str">
        <f>IFERROR(__xludf.DUMMYFUNCTION("""COMPUTED_VALUE"""),"Good")</f>
        <v>Good</v>
      </c>
      <c r="T246" t="str">
        <f>IFERROR(__xludf.DUMMYFUNCTION("""COMPUTED_VALUE"""),"Good")</f>
        <v>Good</v>
      </c>
      <c r="U246" t="str">
        <f>IFERROR(__xludf.DUMMYFUNCTION("""COMPUTED_VALUE"""),"Good")</f>
        <v>Good</v>
      </c>
      <c r="V246" t="str">
        <f>IFERROR(__xludf.DUMMYFUNCTION("""COMPUTED_VALUE"""),"Good")</f>
        <v>Good</v>
      </c>
      <c r="W246" t="str">
        <f>IFERROR(__xludf.DUMMYFUNCTION("""COMPUTED_VALUE"""),"Good")</f>
        <v>Good</v>
      </c>
      <c r="X246" t="str">
        <f>IFERROR(__xludf.DUMMYFUNCTION("""COMPUTED_VALUE"""),"Good")</f>
        <v>Good</v>
      </c>
      <c r="Y246" t="str">
        <f>IFERROR(__xludf.DUMMYFUNCTION("""COMPUTED_VALUE"""),"Good")</f>
        <v>Good</v>
      </c>
      <c r="Z246" t="str">
        <f>IFERROR(__xludf.DUMMYFUNCTION("""COMPUTED_VALUE"""),"Good")</f>
        <v>Good</v>
      </c>
      <c r="AA246" t="str">
        <f>IFERROR(__xludf.DUMMYFUNCTION("""COMPUTED_VALUE"""),"Good")</f>
        <v>Good</v>
      </c>
      <c r="AB246" t="str">
        <f>IFERROR(__xludf.DUMMYFUNCTION("""COMPUTED_VALUE"""),"Good")</f>
        <v>Good</v>
      </c>
      <c r="AC246" t="str">
        <f>IFERROR(__xludf.DUMMYFUNCTION("""COMPUTED_VALUE"""),"Good")</f>
        <v>Good</v>
      </c>
      <c r="AE246" s="11"/>
      <c r="AF246" t="s">
        <v>32</v>
      </c>
      <c r="AG246" s="18"/>
      <c r="AI246" s="12" t="s">
        <v>687</v>
      </c>
      <c r="AJ246" s="19" t="s">
        <v>688</v>
      </c>
      <c r="AK246" s="20" t="str">
        <f>HYPERLINK("https://docs.google.com/document/d/1Vt0pUicYELfU8R8zAnYq1oBkEo08TQq0YR1IqW-z6do/edit?usp=drivesdk","James Tomazinis - 2/12/2019 9:15 AM")</f>
        <v>James Tomazinis - 2/12/2019 9:15 AM</v>
      </c>
      <c r="AL246" s="12" t="s">
        <v>689</v>
      </c>
    </row>
    <row r="247">
      <c r="A247" s="10">
        <f>IFERROR(__xludf.DUMMYFUNCTION("""COMPUTED_VALUE"""),43507.624370902784)</f>
        <v>43507.62437</v>
      </c>
      <c r="B247" s="11" t="str">
        <f>IFERROR(__xludf.DUMMYFUNCTION("""COMPUTED_VALUE"""),"Pam Marcu.")</f>
        <v>Pam Marcu.</v>
      </c>
      <c r="C247" t="str">
        <f>IFERROR(__xludf.DUMMYFUNCTION("""COMPUTED_VALUE"""),"Pamela.Marcum@floridadep.gov")</f>
        <v>Pamela.Marcum@floridadep.gov</v>
      </c>
      <c r="D247" t="str">
        <f>IFERROR(__xludf.DUMMYFUNCTION("""COMPUTED_VALUE"""),"Research/Nikki")</f>
        <v>Research/Nikki</v>
      </c>
      <c r="E247" t="str">
        <f>IFERROR(__xludf.DUMMYFUNCTION("""COMPUTED_VALUE"""),"Whitney Lab")</f>
        <v>Whitney Lab</v>
      </c>
      <c r="F247" s="13">
        <f>IFERROR(__xludf.DUMMYFUNCTION("""COMPUTED_VALUE"""),0.625)</f>
        <v>0.625</v>
      </c>
      <c r="G247" s="14">
        <f>IFERROR(__xludf.DUMMYFUNCTION("""COMPUTED_VALUE"""),43507.0)</f>
        <v>43507</v>
      </c>
      <c r="H247" t="str">
        <f>IFERROR(__xludf.DUMMYFUNCTION("""COMPUTED_VALUE"""),"Matanzas River")</f>
        <v>Matanzas River</v>
      </c>
      <c r="I247" s="15">
        <f>IFERROR(__xludf.DUMMYFUNCTION("""COMPUTED_VALUE"""),0.6875)</f>
        <v>0.6875</v>
      </c>
      <c r="J247" s="16">
        <f>IFERROR(__xludf.DUMMYFUNCTION("""COMPUTED_VALUE"""),43507.72916666667)</f>
        <v>43507.72917</v>
      </c>
      <c r="K247" t="str">
        <f>IFERROR(__xludf.DUMMYFUNCTION("""COMPUTED_VALUE"""),"23ft Skiff (Bertha) FL7972LJ DEP07613")</f>
        <v>23ft Skiff (Bertha) FL7972LJ DEP07613</v>
      </c>
      <c r="M247" t="str">
        <f>IFERROR(__xludf.DUMMYFUNCTION("""COMPUTED_VALUE"""),"Ford F250 2017 (Moby Dix) - DEP0021578")</f>
        <v>Ford F250 2017 (Moby Dix) - DEP0021578</v>
      </c>
      <c r="N247" t="str">
        <f>IFERROR(__xludf.DUMMYFUNCTION("""COMPUTED_VALUE"""),"Pam Marcum, (480) 332-5414")</f>
        <v>Pam Marcum, (480) 332-5414</v>
      </c>
      <c r="O247" t="str">
        <f>IFERROR(__xludf.DUMMYFUNCTION("""COMPUTED_VALUE"""),"Emma Hanson")</f>
        <v>Emma Hanson</v>
      </c>
      <c r="P247" t="str">
        <f>IFERROR(__xludf.DUMMYFUNCTION("""COMPUTED_VALUE"""),"Pam")</f>
        <v>Pam</v>
      </c>
      <c r="Q247" t="str">
        <f>IFERROR(__xludf.DUMMYFUNCTION("""COMPUTED_VALUE"""),"Good")</f>
        <v>Good</v>
      </c>
      <c r="R247" t="str">
        <f>IFERROR(__xludf.DUMMYFUNCTION("""COMPUTED_VALUE"""),"Good")</f>
        <v>Good</v>
      </c>
      <c r="S247" t="str">
        <f>IFERROR(__xludf.DUMMYFUNCTION("""COMPUTED_VALUE"""),"Good")</f>
        <v>Good</v>
      </c>
      <c r="T247" t="str">
        <f>IFERROR(__xludf.DUMMYFUNCTION("""COMPUTED_VALUE"""),"Good")</f>
        <v>Good</v>
      </c>
      <c r="U247" t="str">
        <f>IFERROR(__xludf.DUMMYFUNCTION("""COMPUTED_VALUE"""),"Good")</f>
        <v>Good</v>
      </c>
      <c r="V247" t="str">
        <f>IFERROR(__xludf.DUMMYFUNCTION("""COMPUTED_VALUE"""),"Good")</f>
        <v>Good</v>
      </c>
      <c r="W247" t="str">
        <f>IFERROR(__xludf.DUMMYFUNCTION("""COMPUTED_VALUE"""),"Good")</f>
        <v>Good</v>
      </c>
      <c r="X247" t="str">
        <f>IFERROR(__xludf.DUMMYFUNCTION("""COMPUTED_VALUE"""),"Good")</f>
        <v>Good</v>
      </c>
      <c r="Y247" t="str">
        <f>IFERROR(__xludf.DUMMYFUNCTION("""COMPUTED_VALUE"""),"Good")</f>
        <v>Good</v>
      </c>
      <c r="Z247" t="str">
        <f>IFERROR(__xludf.DUMMYFUNCTION("""COMPUTED_VALUE"""),"Good")</f>
        <v>Good</v>
      </c>
      <c r="AA247" t="str">
        <f>IFERROR(__xludf.DUMMYFUNCTION("""COMPUTED_VALUE"""),"Good")</f>
        <v>Good</v>
      </c>
      <c r="AB247" t="str">
        <f>IFERROR(__xludf.DUMMYFUNCTION("""COMPUTED_VALUE"""),"Good")</f>
        <v>Good</v>
      </c>
      <c r="AC247" t="str">
        <f>IFERROR(__xludf.DUMMYFUNCTION("""COMPUTED_VALUE"""),"Good")</f>
        <v>Good</v>
      </c>
      <c r="AE247" s="11"/>
      <c r="AF247" t="s">
        <v>218</v>
      </c>
      <c r="AG247" s="17" t="s">
        <v>43</v>
      </c>
      <c r="AH247" s="12">
        <v>1640.0</v>
      </c>
      <c r="AI247" s="12" t="s">
        <v>690</v>
      </c>
      <c r="AJ247" s="19" t="s">
        <v>691</v>
      </c>
      <c r="AK247" s="20" t="str">
        <f>HYPERLINK("https://docs.google.com/document/d/1R42heGi2q08QFfpu_TBe529dTzIeq4zdK5DrHcNnHbY/edit?usp=drivesdk","Pam Marcu. - 2/11/2019 3:00 PM")</f>
        <v>Pam Marcu. - 2/11/2019 3:00 PM</v>
      </c>
      <c r="AL247" s="12" t="s">
        <v>692</v>
      </c>
    </row>
    <row r="248">
      <c r="A248" s="10">
        <f>IFERROR(__xludf.DUMMYFUNCTION("""COMPUTED_VALUE"""),43508.30534337963)</f>
        <v>43508.30534</v>
      </c>
      <c r="B248" s="11" t="str">
        <f>IFERROR(__xludf.DUMMYFUNCTION("""COMPUTED_VALUE"""),"Ben Mowbray")</f>
        <v>Ben Mowbray</v>
      </c>
      <c r="C248" t="str">
        <f>IFERROR(__xludf.DUMMYFUNCTION("""COMPUTED_VALUE"""),"ben.mowbray@dep.state.fl.us")</f>
        <v>ben.mowbray@dep.state.fl.us</v>
      </c>
      <c r="D248" t="str">
        <f>IFERROR(__xludf.DUMMYFUNCTION("""COMPUTED_VALUE"""),"Research/Pam")</f>
        <v>Research/Pam</v>
      </c>
      <c r="E248" t="str">
        <f>IFERROR(__xludf.DUMMYFUNCTION("""COMPUTED_VALUE"""),"Douglas Crane")</f>
        <v>Douglas Crane</v>
      </c>
      <c r="F248" s="13">
        <f>IFERROR(__xludf.DUMMYFUNCTION("""COMPUTED_VALUE"""),0.3229166666678793)</f>
        <v>0.3229166667</v>
      </c>
      <c r="G248" s="14">
        <f>IFERROR(__xludf.DUMMYFUNCTION("""COMPUTED_VALUE"""),43508.0)</f>
        <v>43508</v>
      </c>
      <c r="H248" t="str">
        <f>IFERROR(__xludf.DUMMYFUNCTION("""COMPUTED_VALUE"""),"Jason Creek Marsh Monitoring Platforms")</f>
        <v>Jason Creek Marsh Monitoring Platforms</v>
      </c>
      <c r="I248" s="15">
        <f>IFERROR(__xludf.DUMMYFUNCTION("""COMPUTED_VALUE"""),0.5)</f>
        <v>0.5</v>
      </c>
      <c r="J248" s="16">
        <f>IFERROR(__xludf.DUMMYFUNCTION("""COMPUTED_VALUE"""),43508.54166666667)</f>
        <v>43508.54167</v>
      </c>
      <c r="K248" t="str">
        <f>IFERROR(__xludf.DUMMYFUNCTION("""COMPUTED_VALUE"""),"17ft Skill FL0642GW DEP07239")</f>
        <v>17ft Skill FL0642GW DEP07239</v>
      </c>
      <c r="M248" t="str">
        <f>IFERROR(__xludf.DUMMYFUNCTION("""COMPUTED_VALUE"""),"Ford F150 2008 - DEP18041 (SWMP Thing)")</f>
        <v>Ford F150 2008 - DEP18041 (SWMP Thing)</v>
      </c>
      <c r="N248" t="str">
        <f>IFERROR(__xludf.DUMMYFUNCTION("""COMPUTED_VALUE"""),"Silas Tanner, (904) 483-8423, Ben Mowbray, (407) 962-8782")</f>
        <v>Silas Tanner, (904) 483-8423, Ben Mowbray, (407) 962-8782</v>
      </c>
      <c r="P248" t="str">
        <f>IFERROR(__xludf.DUMMYFUNCTION("""COMPUTED_VALUE"""),"Silas")</f>
        <v>Silas</v>
      </c>
      <c r="Q248" t="str">
        <f>IFERROR(__xludf.DUMMYFUNCTION("""COMPUTED_VALUE"""),"Good")</f>
        <v>Good</v>
      </c>
      <c r="R248" t="str">
        <f>IFERROR(__xludf.DUMMYFUNCTION("""COMPUTED_VALUE"""),"Good")</f>
        <v>Good</v>
      </c>
      <c r="S248" t="str">
        <f>IFERROR(__xludf.DUMMYFUNCTION("""COMPUTED_VALUE"""),"Good")</f>
        <v>Good</v>
      </c>
      <c r="T248" t="str">
        <f>IFERROR(__xludf.DUMMYFUNCTION("""COMPUTED_VALUE"""),"Good")</f>
        <v>Good</v>
      </c>
      <c r="U248" t="str">
        <f>IFERROR(__xludf.DUMMYFUNCTION("""COMPUTED_VALUE"""),"Good")</f>
        <v>Good</v>
      </c>
      <c r="V248" t="str">
        <f>IFERROR(__xludf.DUMMYFUNCTION("""COMPUTED_VALUE"""),"Good")</f>
        <v>Good</v>
      </c>
      <c r="W248" t="str">
        <f>IFERROR(__xludf.DUMMYFUNCTION("""COMPUTED_VALUE"""),"Good")</f>
        <v>Good</v>
      </c>
      <c r="X248" t="str">
        <f>IFERROR(__xludf.DUMMYFUNCTION("""COMPUTED_VALUE"""),"Good")</f>
        <v>Good</v>
      </c>
      <c r="Y248" t="str">
        <f>IFERROR(__xludf.DUMMYFUNCTION("""COMPUTED_VALUE"""),"Good")</f>
        <v>Good</v>
      </c>
      <c r="Z248" t="str">
        <f>IFERROR(__xludf.DUMMYFUNCTION("""COMPUTED_VALUE"""),"Good")</f>
        <v>Good</v>
      </c>
      <c r="AA248" t="str">
        <f>IFERROR(__xludf.DUMMYFUNCTION("""COMPUTED_VALUE"""),"Good")</f>
        <v>Good</v>
      </c>
      <c r="AB248" t="str">
        <f>IFERROR(__xludf.DUMMYFUNCTION("""COMPUTED_VALUE"""),"Good")</f>
        <v>Good</v>
      </c>
      <c r="AC248" t="str">
        <f>IFERROR(__xludf.DUMMYFUNCTION("""COMPUTED_VALUE"""),"Good")</f>
        <v>Good</v>
      </c>
      <c r="AE248" s="11"/>
      <c r="AF248" t="s">
        <v>262</v>
      </c>
      <c r="AG248" s="17" t="s">
        <v>18</v>
      </c>
      <c r="AH248" s="12">
        <v>1040.0</v>
      </c>
      <c r="AI248" s="12" t="s">
        <v>693</v>
      </c>
      <c r="AJ248" s="19" t="s">
        <v>694</v>
      </c>
      <c r="AK248" s="20" t="str">
        <f>HYPERLINK("https://docs.google.com/document/d/1itUqLCg4quoRnKKQPLsV-rj3IX1_eBmEhbjlCHZeqlc/edit?usp=drivesdk","Ben Mowbray - 2/12/2019 7:45 AM")</f>
        <v>Ben Mowbray - 2/12/2019 7:45 AM</v>
      </c>
      <c r="AL248" s="12" t="s">
        <v>695</v>
      </c>
    </row>
    <row r="249">
      <c r="A249" s="10">
        <f>IFERROR(__xludf.DUMMYFUNCTION("""COMPUTED_VALUE"""),43509.36711243056)</f>
        <v>43509.36711</v>
      </c>
      <c r="B249" s="11" t="str">
        <f>IFERROR(__xludf.DUMMYFUNCTION("""COMPUTED_VALUE"""),"Silas Tanner")</f>
        <v>Silas Tanner</v>
      </c>
      <c r="C249" t="str">
        <f>IFERROR(__xludf.DUMMYFUNCTION("""COMPUTED_VALUE"""),"silas.tanner@floridadep.gov")</f>
        <v>silas.tanner@floridadep.gov</v>
      </c>
      <c r="D249" t="str">
        <f>IFERROR(__xludf.DUMMYFUNCTION("""COMPUTED_VALUE"""),"Research/Nikki")</f>
        <v>Research/Nikki</v>
      </c>
      <c r="E249" t="str">
        <f>IFERROR(__xludf.DUMMYFUNCTION("""COMPUTED_VALUE"""),"Palm Valley ramp")</f>
        <v>Palm Valley ramp</v>
      </c>
      <c r="F249" s="13">
        <f>IFERROR(__xludf.DUMMYFUNCTION("""COMPUTED_VALUE"""),0.40625)</f>
        <v>0.40625</v>
      </c>
      <c r="G249" s="14">
        <f>IFERROR(__xludf.DUMMYFUNCTION("""COMPUTED_VALUE"""),43509.0)</f>
        <v>43509</v>
      </c>
      <c r="H249" t="str">
        <f>IFERROR(__xludf.DUMMYFUNCTION("""COMPUTED_VALUE"""),"ICW - Pine Island marsh platforms")</f>
        <v>ICW - Pine Island marsh platforms</v>
      </c>
      <c r="I249" s="15">
        <f>IFERROR(__xludf.DUMMYFUNCTION("""COMPUTED_VALUE"""),0.625)</f>
        <v>0.625</v>
      </c>
      <c r="J249" s="16">
        <f>IFERROR(__xludf.DUMMYFUNCTION("""COMPUTED_VALUE"""),43509.65625)</f>
        <v>43509.65625</v>
      </c>
      <c r="K249" t="str">
        <f>IFERROR(__xludf.DUMMYFUNCTION("""COMPUTED_VALUE"""),"F 20ft Sea Ark (Easy 200) FL8534PY DEP21451")</f>
        <v>F 20ft Sea Ark (Easy 200) FL8534PY DEP21451</v>
      </c>
      <c r="M249" t="str">
        <f>IFERROR(__xludf.DUMMYFUNCTION("""COMPUTED_VALUE"""),"Ford F150 2008 - DEP18041 (SWMP Thing)")</f>
        <v>Ford F150 2008 - DEP18041 (SWMP Thing)</v>
      </c>
      <c r="N249" t="str">
        <f>IFERROR(__xludf.DUMMYFUNCTION("""COMPUTED_VALUE"""),"Silas Tanner, (904) 483-8423, Ben Mowbray, (407) 962-8782")</f>
        <v>Silas Tanner, (904) 483-8423, Ben Mowbray, (407) 962-8782</v>
      </c>
      <c r="P249" t="str">
        <f>IFERROR(__xludf.DUMMYFUNCTION("""COMPUTED_VALUE"""),"S. Tanner")</f>
        <v>S. Tanner</v>
      </c>
      <c r="Q249" t="str">
        <f>IFERROR(__xludf.DUMMYFUNCTION("""COMPUTED_VALUE"""),"Good")</f>
        <v>Good</v>
      </c>
      <c r="R249" t="str">
        <f>IFERROR(__xludf.DUMMYFUNCTION("""COMPUTED_VALUE"""),"Good")</f>
        <v>Good</v>
      </c>
      <c r="S249" t="str">
        <f>IFERROR(__xludf.DUMMYFUNCTION("""COMPUTED_VALUE"""),"Good")</f>
        <v>Good</v>
      </c>
      <c r="T249" t="str">
        <f>IFERROR(__xludf.DUMMYFUNCTION("""COMPUTED_VALUE"""),"Good")</f>
        <v>Good</v>
      </c>
      <c r="U249" t="str">
        <f>IFERROR(__xludf.DUMMYFUNCTION("""COMPUTED_VALUE"""),"Good")</f>
        <v>Good</v>
      </c>
      <c r="V249" t="str">
        <f>IFERROR(__xludf.DUMMYFUNCTION("""COMPUTED_VALUE"""),"Good")</f>
        <v>Good</v>
      </c>
      <c r="W249" t="str">
        <f>IFERROR(__xludf.DUMMYFUNCTION("""COMPUTED_VALUE"""),"Good")</f>
        <v>Good</v>
      </c>
      <c r="X249" t="str">
        <f>IFERROR(__xludf.DUMMYFUNCTION("""COMPUTED_VALUE"""),"Good")</f>
        <v>Good</v>
      </c>
      <c r="Y249" t="str">
        <f>IFERROR(__xludf.DUMMYFUNCTION("""COMPUTED_VALUE"""),"Good")</f>
        <v>Good</v>
      </c>
      <c r="Z249" t="str">
        <f>IFERROR(__xludf.DUMMYFUNCTION("""COMPUTED_VALUE"""),"Good")</f>
        <v>Good</v>
      </c>
      <c r="AA249" t="str">
        <f>IFERROR(__xludf.DUMMYFUNCTION("""COMPUTED_VALUE"""),"Good")</f>
        <v>Good</v>
      </c>
      <c r="AB249" t="str">
        <f>IFERROR(__xludf.DUMMYFUNCTION("""COMPUTED_VALUE"""),"Good")</f>
        <v>Good</v>
      </c>
      <c r="AC249" t="str">
        <f>IFERROR(__xludf.DUMMYFUNCTION("""COMPUTED_VALUE"""),"Good")</f>
        <v>Good</v>
      </c>
      <c r="AE249" s="11"/>
      <c r="AF249" t="s">
        <v>218</v>
      </c>
      <c r="AG249" s="17" t="s">
        <v>18</v>
      </c>
      <c r="AH249" s="12">
        <v>1020.0</v>
      </c>
      <c r="AI249" s="12" t="s">
        <v>696</v>
      </c>
      <c r="AJ249" s="19" t="s">
        <v>697</v>
      </c>
      <c r="AK249" s="20" t="str">
        <f>HYPERLINK("https://docs.google.com/document/d/1bAeE-YdJ3DaWyl_d93o31dCFP2fpmOBW8VVlRCpTtr8/edit?usp=drivesdk","Silas Tanner - 2/13/2019 9:45 AM")</f>
        <v>Silas Tanner - 2/13/2019 9:45 AM</v>
      </c>
      <c r="AL249" s="12" t="s">
        <v>698</v>
      </c>
    </row>
    <row r="250">
      <c r="A250" s="10">
        <f>IFERROR(__xludf.DUMMYFUNCTION("""COMPUTED_VALUE"""),43510.369321875005)</f>
        <v>43510.36932</v>
      </c>
      <c r="B250" s="11" t="str">
        <f>IFERROR(__xludf.DUMMYFUNCTION("""COMPUTED_VALUE"""),"Silas Tanner")</f>
        <v>Silas Tanner</v>
      </c>
      <c r="C250" t="str">
        <f>IFERROR(__xludf.DUMMYFUNCTION("""COMPUTED_VALUE"""),"silas.tanner@floridadep.gov")</f>
        <v>silas.tanner@floridadep.gov</v>
      </c>
      <c r="D250" t="str">
        <f>IFERROR(__xludf.DUMMYFUNCTION("""COMPUTED_VALUE"""),"Research/Nikki")</f>
        <v>Research/Nikki</v>
      </c>
      <c r="E250" t="str">
        <f>IFERROR(__xludf.DUMMYFUNCTION("""COMPUTED_VALUE"""),"Palm Valley")</f>
        <v>Palm Valley</v>
      </c>
      <c r="F250" s="13">
        <f>IFERROR(__xludf.DUMMYFUNCTION("""COMPUTED_VALUE"""),0.3854166666678793)</f>
        <v>0.3854166667</v>
      </c>
      <c r="G250" s="14">
        <f>IFERROR(__xludf.DUMMYFUNCTION("""COMPUTED_VALUE"""),43510.0)</f>
        <v>43510</v>
      </c>
      <c r="H250" t="str">
        <f>IFERROR(__xludf.DUMMYFUNCTION("""COMPUTED_VALUE"""),"ICW Pine Island marsh monitoring platforms")</f>
        <v>ICW Pine Island marsh monitoring platforms</v>
      </c>
      <c r="I250" s="15">
        <f>IFERROR(__xludf.DUMMYFUNCTION("""COMPUTED_VALUE"""),0.625)</f>
        <v>0.625</v>
      </c>
      <c r="J250" s="16">
        <f>IFERROR(__xludf.DUMMYFUNCTION("""COMPUTED_VALUE"""),43510.63541666667)</f>
        <v>43510.63542</v>
      </c>
      <c r="K250" t="str">
        <f>IFERROR(__xludf.DUMMYFUNCTION("""COMPUTED_VALUE"""),"F 20ft Sea Ark (Easy 200) FL8534PY DEP21451")</f>
        <v>F 20ft Sea Ark (Easy 200) FL8534PY DEP21451</v>
      </c>
      <c r="M250" t="str">
        <f>IFERROR(__xludf.DUMMYFUNCTION("""COMPUTED_VALUE"""),"Ford F250 2017 (Moby Dix) - DEP0021578")</f>
        <v>Ford F250 2017 (Moby Dix) - DEP0021578</v>
      </c>
      <c r="N250" t="str">
        <f>IFERROR(__xludf.DUMMYFUNCTION("""COMPUTED_VALUE"""),"Silas Tanner, (904) 483-8423, Ben Mowbray, (407) 962-8782")</f>
        <v>Silas Tanner, (904) 483-8423, Ben Mowbray, (407) 962-8782</v>
      </c>
      <c r="P250" t="str">
        <f>IFERROR(__xludf.DUMMYFUNCTION("""COMPUTED_VALUE"""),"Tanner")</f>
        <v>Tanner</v>
      </c>
      <c r="Q250" t="str">
        <f>IFERROR(__xludf.DUMMYFUNCTION("""COMPUTED_VALUE"""),"Good")</f>
        <v>Good</v>
      </c>
      <c r="R250" t="str">
        <f>IFERROR(__xludf.DUMMYFUNCTION("""COMPUTED_VALUE"""),"Good")</f>
        <v>Good</v>
      </c>
      <c r="S250" t="str">
        <f>IFERROR(__xludf.DUMMYFUNCTION("""COMPUTED_VALUE"""),"Good")</f>
        <v>Good</v>
      </c>
      <c r="T250" t="str">
        <f>IFERROR(__xludf.DUMMYFUNCTION("""COMPUTED_VALUE"""),"Good")</f>
        <v>Good</v>
      </c>
      <c r="U250" t="str">
        <f>IFERROR(__xludf.DUMMYFUNCTION("""COMPUTED_VALUE"""),"Good")</f>
        <v>Good</v>
      </c>
      <c r="V250" t="str">
        <f>IFERROR(__xludf.DUMMYFUNCTION("""COMPUTED_VALUE"""),"Good")</f>
        <v>Good</v>
      </c>
      <c r="W250" t="str">
        <f>IFERROR(__xludf.DUMMYFUNCTION("""COMPUTED_VALUE"""),"Good")</f>
        <v>Good</v>
      </c>
      <c r="X250" t="str">
        <f>IFERROR(__xludf.DUMMYFUNCTION("""COMPUTED_VALUE"""),"Good")</f>
        <v>Good</v>
      </c>
      <c r="Y250" t="str">
        <f>IFERROR(__xludf.DUMMYFUNCTION("""COMPUTED_VALUE"""),"Good")</f>
        <v>Good</v>
      </c>
      <c r="Z250" t="str">
        <f>IFERROR(__xludf.DUMMYFUNCTION("""COMPUTED_VALUE"""),"Good")</f>
        <v>Good</v>
      </c>
      <c r="AA250" t="str">
        <f>IFERROR(__xludf.DUMMYFUNCTION("""COMPUTED_VALUE"""),"Good")</f>
        <v>Good</v>
      </c>
      <c r="AB250" t="str">
        <f>IFERROR(__xludf.DUMMYFUNCTION("""COMPUTED_VALUE"""),"Good")</f>
        <v>Good</v>
      </c>
      <c r="AC250" t="str">
        <f>IFERROR(__xludf.DUMMYFUNCTION("""COMPUTED_VALUE"""),"Good")</f>
        <v>Good</v>
      </c>
      <c r="AE250" s="11"/>
      <c r="AF250" t="s">
        <v>218</v>
      </c>
      <c r="AG250" s="17" t="s">
        <v>18</v>
      </c>
      <c r="AH250" s="12">
        <v>1145.0</v>
      </c>
      <c r="AI250" s="12" t="s">
        <v>699</v>
      </c>
      <c r="AJ250" s="19" t="s">
        <v>700</v>
      </c>
      <c r="AK250" s="20" t="str">
        <f>HYPERLINK("https://docs.google.com/document/d/1f2_RdO7f651I6OZS4bfi5p2XdGlREoePCDX_MNDvHz0/edit?usp=drivesdk","Silas Tanner - 2/14/2019 9:15 AM")</f>
        <v>Silas Tanner - 2/14/2019 9:15 AM</v>
      </c>
      <c r="AL250" s="12" t="s">
        <v>701</v>
      </c>
    </row>
    <row r="251">
      <c r="A251" s="10">
        <f>IFERROR(__xludf.DUMMYFUNCTION("""COMPUTED_VALUE"""),43511.43028101852)</f>
        <v>43511.43028</v>
      </c>
      <c r="B251" s="11" t="str">
        <f>IFERROR(__xludf.DUMMYFUNCTION("""COMPUTED_VALUE"""),"Silas Tanner")</f>
        <v>Silas Tanner</v>
      </c>
      <c r="C251" t="str">
        <f>IFERROR(__xludf.DUMMYFUNCTION("""COMPUTED_VALUE"""),"silas.tanner@floridadep.gov")</f>
        <v>silas.tanner@floridadep.gov</v>
      </c>
      <c r="D251" t="str">
        <f>IFERROR(__xludf.DUMMYFUNCTION("""COMPUTED_VALUE"""),"Research/Shannon")</f>
        <v>Research/Shannon</v>
      </c>
      <c r="E251" t="str">
        <f>IFERROR(__xludf.DUMMYFUNCTION("""COMPUTED_VALUE"""),"Aunt Kate's")</f>
        <v>Aunt Kate's</v>
      </c>
      <c r="F251" s="13">
        <f>IFERROR(__xludf.DUMMYFUNCTION("""COMPUTED_VALUE"""),0.4479166666678793)</f>
        <v>0.4479166667</v>
      </c>
      <c r="G251" s="14">
        <f>IFERROR(__xludf.DUMMYFUNCTION("""COMPUTED_VALUE"""),43511.0)</f>
        <v>43511</v>
      </c>
      <c r="H251" t="str">
        <f>IFERROR(__xludf.DUMMYFUNCTION("""COMPUTED_VALUE"""),"ICW Sombrero Creek - Hat Island SWMP platforms")</f>
        <v>ICW Sombrero Creek - Hat Island SWMP platforms</v>
      </c>
      <c r="I251" s="15">
        <f>IFERROR(__xludf.DUMMYFUNCTION("""COMPUTED_VALUE"""),0.6458333333321207)</f>
        <v>0.6458333333</v>
      </c>
      <c r="J251" s="16">
        <f>IFERROR(__xludf.DUMMYFUNCTION("""COMPUTED_VALUE"""),43511.65625)</f>
        <v>43511.65625</v>
      </c>
      <c r="K251" t="str">
        <f>IFERROR(__xludf.DUMMYFUNCTION("""COMPUTED_VALUE"""),"23ft Skiff (Bertha) FL7972LJ DEP07613")</f>
        <v>23ft Skiff (Bertha) FL7972LJ DEP07613</v>
      </c>
      <c r="M251" t="str">
        <f>IFERROR(__xludf.DUMMYFUNCTION("""COMPUTED_VALUE"""),"Ford F150 2008 - DEP18041 (SWMP Thing)")</f>
        <v>Ford F150 2008 - DEP18041 (SWMP Thing)</v>
      </c>
      <c r="N251" t="str">
        <f>IFERROR(__xludf.DUMMYFUNCTION("""COMPUTED_VALUE"""),"Silas Tanner, (904) 483-8423, Ben Mowbray, (407) 962-8782")</f>
        <v>Silas Tanner, (904) 483-8423, Ben Mowbray, (407) 962-8782</v>
      </c>
      <c r="O251" t="str">
        <f>IFERROR(__xludf.DUMMYFUNCTION("""COMPUTED_VALUE"""),"Jessica Lee")</f>
        <v>Jessica Lee</v>
      </c>
      <c r="P251" t="str">
        <f>IFERROR(__xludf.DUMMYFUNCTION("""COMPUTED_VALUE"""),"S. Tanner")</f>
        <v>S. Tanner</v>
      </c>
      <c r="Q251" t="str">
        <f>IFERROR(__xludf.DUMMYFUNCTION("""COMPUTED_VALUE"""),"Good")</f>
        <v>Good</v>
      </c>
      <c r="R251" t="str">
        <f>IFERROR(__xludf.DUMMYFUNCTION("""COMPUTED_VALUE"""),"Good")</f>
        <v>Good</v>
      </c>
      <c r="S251" t="str">
        <f>IFERROR(__xludf.DUMMYFUNCTION("""COMPUTED_VALUE"""),"Good")</f>
        <v>Good</v>
      </c>
      <c r="T251" t="str">
        <f>IFERROR(__xludf.DUMMYFUNCTION("""COMPUTED_VALUE"""),"Good")</f>
        <v>Good</v>
      </c>
      <c r="U251" t="str">
        <f>IFERROR(__xludf.DUMMYFUNCTION("""COMPUTED_VALUE"""),"Good")</f>
        <v>Good</v>
      </c>
      <c r="V251" t="str">
        <f>IFERROR(__xludf.DUMMYFUNCTION("""COMPUTED_VALUE"""),"Good")</f>
        <v>Good</v>
      </c>
      <c r="W251" t="str">
        <f>IFERROR(__xludf.DUMMYFUNCTION("""COMPUTED_VALUE"""),"Good")</f>
        <v>Good</v>
      </c>
      <c r="X251" t="str">
        <f>IFERROR(__xludf.DUMMYFUNCTION("""COMPUTED_VALUE"""),"Good")</f>
        <v>Good</v>
      </c>
      <c r="Y251" t="str">
        <f>IFERROR(__xludf.DUMMYFUNCTION("""COMPUTED_VALUE"""),"Good")</f>
        <v>Good</v>
      </c>
      <c r="Z251" t="str">
        <f>IFERROR(__xludf.DUMMYFUNCTION("""COMPUTED_VALUE"""),"Good")</f>
        <v>Good</v>
      </c>
      <c r="AA251" t="str">
        <f>IFERROR(__xludf.DUMMYFUNCTION("""COMPUTED_VALUE"""),"Good")</f>
        <v>Good</v>
      </c>
      <c r="AB251" t="str">
        <f>IFERROR(__xludf.DUMMYFUNCTION("""COMPUTED_VALUE"""),"Good")</f>
        <v>Good</v>
      </c>
      <c r="AC251" t="str">
        <f>IFERROR(__xludf.DUMMYFUNCTION("""COMPUTED_VALUE"""),"Good")</f>
        <v>Good</v>
      </c>
      <c r="AE251" s="11"/>
      <c r="AF251" t="s">
        <v>269</v>
      </c>
      <c r="AG251" s="17" t="s">
        <v>511</v>
      </c>
      <c r="AH251" s="12">
        <v>1346.0</v>
      </c>
      <c r="AI251" s="12" t="s">
        <v>702</v>
      </c>
      <c r="AJ251" s="19" t="s">
        <v>703</v>
      </c>
      <c r="AK251" s="20" t="str">
        <f>HYPERLINK("https://docs.google.com/document/d/1vjgkI4Lfj1nbvK_7qvSxeRdAub1lhBKrshH59fnzSM4/edit?usp=drivesdk","Silas Tanner - 2/15/2019 10:45 AM")</f>
        <v>Silas Tanner - 2/15/2019 10:45 AM</v>
      </c>
      <c r="AL251" s="12" t="s">
        <v>704</v>
      </c>
    </row>
    <row r="252">
      <c r="A252" s="10">
        <f>IFERROR(__xludf.DUMMYFUNCTION("""COMPUTED_VALUE"""),43514.42810430555)</f>
        <v>43514.4281</v>
      </c>
      <c r="B252" s="11" t="str">
        <f>IFERROR(__xludf.DUMMYFUNCTION("""COMPUTED_VALUE"""),"Pamela Marcum")</f>
        <v>Pamela Marcum</v>
      </c>
      <c r="C252" t="str">
        <f>IFERROR(__xludf.DUMMYFUNCTION("""COMPUTED_VALUE"""),"Pamela.Marcum@dep.state.fl.us")</f>
        <v>Pamela.Marcum@dep.state.fl.us</v>
      </c>
      <c r="D252" t="str">
        <f>IFERROR(__xludf.DUMMYFUNCTION("""COMPUTED_VALUE"""),"Research/Nikki")</f>
        <v>Research/Nikki</v>
      </c>
      <c r="E252" t="str">
        <f>IFERROR(__xludf.DUMMYFUNCTION("""COMPUTED_VALUE"""),"Aunt Kate's")</f>
        <v>Aunt Kate's</v>
      </c>
      <c r="F252" s="13">
        <f>IFERROR(__xludf.DUMMYFUNCTION("""COMPUTED_VALUE"""),0.4375)</f>
        <v>0.4375</v>
      </c>
      <c r="G252" s="14">
        <f>IFERROR(__xludf.DUMMYFUNCTION("""COMPUTED_VALUE"""),43514.0)</f>
        <v>43514</v>
      </c>
      <c r="H252" t="str">
        <f>IFERROR(__xludf.DUMMYFUNCTION("""COMPUTED_VALUE"""),"Tolomato River")</f>
        <v>Tolomato River</v>
      </c>
      <c r="I252" s="15">
        <f>IFERROR(__xludf.DUMMYFUNCTION("""COMPUTED_VALUE"""),0.7083333333321207)</f>
        <v>0.7083333333</v>
      </c>
      <c r="J252" s="16">
        <f>IFERROR(__xludf.DUMMYFUNCTION("""COMPUTED_VALUE"""),43514.72916666667)</f>
        <v>43514.72917</v>
      </c>
      <c r="K252" t="str">
        <f>IFERROR(__xludf.DUMMYFUNCTION("""COMPUTED_VALUE"""),"23ft Skiff (Bertha) FL7972LJ DEP07613")</f>
        <v>23ft Skiff (Bertha) FL7972LJ DEP07613</v>
      </c>
      <c r="M252" t="str">
        <f>IFERROR(__xludf.DUMMYFUNCTION("""COMPUTED_VALUE"""),"Ford F150 2008 - DEP18041 (SWMP Thing)")</f>
        <v>Ford F150 2008 - DEP18041 (SWMP Thing)</v>
      </c>
      <c r="N252" t="str">
        <f>IFERROR(__xludf.DUMMYFUNCTION("""COMPUTED_VALUE"""),"Pam Marcum, (480) 332-5414")</f>
        <v>Pam Marcum, (480) 332-5414</v>
      </c>
      <c r="O252" t="str">
        <f>IFERROR(__xludf.DUMMYFUNCTION("""COMPUTED_VALUE"""),"Jeff Finnan, Mary Finnan")</f>
        <v>Jeff Finnan, Mary Finnan</v>
      </c>
      <c r="P252" t="str">
        <f>IFERROR(__xludf.DUMMYFUNCTION("""COMPUTED_VALUE"""),"Pam")</f>
        <v>Pam</v>
      </c>
      <c r="Q252" t="str">
        <f>IFERROR(__xludf.DUMMYFUNCTION("""COMPUTED_VALUE"""),"Good")</f>
        <v>Good</v>
      </c>
      <c r="R252" t="str">
        <f>IFERROR(__xludf.DUMMYFUNCTION("""COMPUTED_VALUE"""),"Good")</f>
        <v>Good</v>
      </c>
      <c r="S252" t="str">
        <f>IFERROR(__xludf.DUMMYFUNCTION("""COMPUTED_VALUE"""),"Good")</f>
        <v>Good</v>
      </c>
      <c r="T252" t="str">
        <f>IFERROR(__xludf.DUMMYFUNCTION("""COMPUTED_VALUE"""),"Good")</f>
        <v>Good</v>
      </c>
      <c r="U252" t="str">
        <f>IFERROR(__xludf.DUMMYFUNCTION("""COMPUTED_VALUE"""),"Good")</f>
        <v>Good</v>
      </c>
      <c r="V252" t="str">
        <f>IFERROR(__xludf.DUMMYFUNCTION("""COMPUTED_VALUE"""),"Good")</f>
        <v>Good</v>
      </c>
      <c r="W252" t="str">
        <f>IFERROR(__xludf.DUMMYFUNCTION("""COMPUTED_VALUE"""),"Good")</f>
        <v>Good</v>
      </c>
      <c r="X252" t="str">
        <f>IFERROR(__xludf.DUMMYFUNCTION("""COMPUTED_VALUE"""),"Good")</f>
        <v>Good</v>
      </c>
      <c r="Y252" t="str">
        <f>IFERROR(__xludf.DUMMYFUNCTION("""COMPUTED_VALUE"""),"Good")</f>
        <v>Good</v>
      </c>
      <c r="Z252" t="str">
        <f>IFERROR(__xludf.DUMMYFUNCTION("""COMPUTED_VALUE"""),"Good")</f>
        <v>Good</v>
      </c>
      <c r="AA252" t="str">
        <f>IFERROR(__xludf.DUMMYFUNCTION("""COMPUTED_VALUE"""),"Good")</f>
        <v>Good</v>
      </c>
      <c r="AB252" t="str">
        <f>IFERROR(__xludf.DUMMYFUNCTION("""COMPUTED_VALUE"""),"Good")</f>
        <v>Good</v>
      </c>
      <c r="AC252" t="str">
        <f>IFERROR(__xludf.DUMMYFUNCTION("""COMPUTED_VALUE"""),"Good")</f>
        <v>Good</v>
      </c>
      <c r="AE252" s="11"/>
      <c r="AF252" t="s">
        <v>218</v>
      </c>
      <c r="AG252" s="17" t="s">
        <v>60</v>
      </c>
      <c r="AH252" s="12">
        <v>1512.0</v>
      </c>
      <c r="AI252" s="12" t="s">
        <v>705</v>
      </c>
      <c r="AJ252" s="19" t="s">
        <v>706</v>
      </c>
      <c r="AK252" s="20" t="str">
        <f>HYPERLINK("https://docs.google.com/document/d/1Yt2HD3iejFIbR5_nzxBX4oSXL467Y0dEFPeCK--9RKY/edit?usp=drivesdk","Pamela Marcum - 2/18/2019 10:30 AM")</f>
        <v>Pamela Marcum - 2/18/2019 10:30 AM</v>
      </c>
      <c r="AL252" s="12" t="s">
        <v>707</v>
      </c>
    </row>
    <row r="253">
      <c r="A253" s="10">
        <f>IFERROR(__xludf.DUMMYFUNCTION("""COMPUTED_VALUE"""),43516.40135734953)</f>
        <v>43516.40136</v>
      </c>
      <c r="B253" s="11" t="str">
        <f>IFERROR(__xludf.DUMMYFUNCTION("""COMPUTED_VALUE"""),"Silas Tanner")</f>
        <v>Silas Tanner</v>
      </c>
      <c r="C253" t="str">
        <f>IFERROR(__xludf.DUMMYFUNCTION("""COMPUTED_VALUE"""),"silas.tanner@floridadep.gov")</f>
        <v>silas.tanner@floridadep.gov</v>
      </c>
      <c r="D253" t="str">
        <f>IFERROR(__xludf.DUMMYFUNCTION("""COMPUTED_VALUE"""),"Research/Nikki")</f>
        <v>Research/Nikki</v>
      </c>
      <c r="E253" t="str">
        <f>IFERROR(__xludf.DUMMYFUNCTION("""COMPUTED_VALUE"""),"Vilano Landing")</f>
        <v>Vilano Landing</v>
      </c>
      <c r="F253" s="13">
        <f>IFERROR(__xludf.DUMMYFUNCTION("""COMPUTED_VALUE"""),0.4479166666678793)</f>
        <v>0.4479166667</v>
      </c>
      <c r="G253" s="14">
        <f>IFERROR(__xludf.DUMMYFUNCTION("""COMPUTED_VALUE"""),43516.0)</f>
        <v>43516</v>
      </c>
      <c r="H253" t="str">
        <f>IFERROR(__xludf.DUMMYFUNCTION("""COMPUTED_VALUE"""),"ICW SWMP sites")</f>
        <v>ICW SWMP sites</v>
      </c>
      <c r="I253" s="15">
        <f>IFERROR(__xludf.DUMMYFUNCTION("""COMPUTED_VALUE"""),0.625)</f>
        <v>0.625</v>
      </c>
      <c r="J253" s="16">
        <f>IFERROR(__xludf.DUMMYFUNCTION("""COMPUTED_VALUE"""),43516.63541666667)</f>
        <v>43516.63542</v>
      </c>
      <c r="K253" t="str">
        <f>IFERROR(__xludf.DUMMYFUNCTION("""COMPUTED_VALUE"""),"23ft Skiff (Bertha) FL7972LJ DEP07613")</f>
        <v>23ft Skiff (Bertha) FL7972LJ DEP07613</v>
      </c>
      <c r="M253" t="str">
        <f>IFERROR(__xludf.DUMMYFUNCTION("""COMPUTED_VALUE"""),"Ford F250 2017 (Moby Dix) - DEP0021578")</f>
        <v>Ford F250 2017 (Moby Dix) - DEP0021578</v>
      </c>
      <c r="N253" t="str">
        <f>IFERROR(__xludf.DUMMYFUNCTION("""COMPUTED_VALUE"""),"Shannon Dunnigan, (803) 727-5734, Silas Tanner, (904) 483-8423")</f>
        <v>Shannon Dunnigan, (803) 727-5734, Silas Tanner, (904) 483-8423</v>
      </c>
      <c r="P253" t="str">
        <f>IFERROR(__xludf.DUMMYFUNCTION("""COMPUTED_VALUE"""),"Dunnigan")</f>
        <v>Dunnigan</v>
      </c>
      <c r="Q253" t="str">
        <f>IFERROR(__xludf.DUMMYFUNCTION("""COMPUTED_VALUE"""),"Good")</f>
        <v>Good</v>
      </c>
      <c r="R253" t="str">
        <f>IFERROR(__xludf.DUMMYFUNCTION("""COMPUTED_VALUE"""),"Good")</f>
        <v>Good</v>
      </c>
      <c r="S253" t="str">
        <f>IFERROR(__xludf.DUMMYFUNCTION("""COMPUTED_VALUE"""),"Good")</f>
        <v>Good</v>
      </c>
      <c r="T253" t="str">
        <f>IFERROR(__xludf.DUMMYFUNCTION("""COMPUTED_VALUE"""),"Good")</f>
        <v>Good</v>
      </c>
      <c r="U253" t="str">
        <f>IFERROR(__xludf.DUMMYFUNCTION("""COMPUTED_VALUE"""),"Good")</f>
        <v>Good</v>
      </c>
      <c r="V253" t="str">
        <f>IFERROR(__xludf.DUMMYFUNCTION("""COMPUTED_VALUE"""),"Good")</f>
        <v>Good</v>
      </c>
      <c r="W253" t="str">
        <f>IFERROR(__xludf.DUMMYFUNCTION("""COMPUTED_VALUE"""),"Good")</f>
        <v>Good</v>
      </c>
      <c r="X253" t="str">
        <f>IFERROR(__xludf.DUMMYFUNCTION("""COMPUTED_VALUE"""),"Good")</f>
        <v>Good</v>
      </c>
      <c r="Y253" t="str">
        <f>IFERROR(__xludf.DUMMYFUNCTION("""COMPUTED_VALUE"""),"Good")</f>
        <v>Good</v>
      </c>
      <c r="Z253" t="str">
        <f>IFERROR(__xludf.DUMMYFUNCTION("""COMPUTED_VALUE"""),"Good")</f>
        <v>Good</v>
      </c>
      <c r="AA253" t="str">
        <f>IFERROR(__xludf.DUMMYFUNCTION("""COMPUTED_VALUE"""),"Good")</f>
        <v>Good</v>
      </c>
      <c r="AB253" t="str">
        <f>IFERROR(__xludf.DUMMYFUNCTION("""COMPUTED_VALUE"""),"Good")</f>
        <v>Good</v>
      </c>
      <c r="AC253" t="str">
        <f>IFERROR(__xludf.DUMMYFUNCTION("""COMPUTED_VALUE"""),"Good")</f>
        <v>Good</v>
      </c>
      <c r="AE253" s="11"/>
      <c r="AF253" t="s">
        <v>218</v>
      </c>
      <c r="AG253" s="17" t="s">
        <v>18</v>
      </c>
      <c r="AH253" s="12">
        <v>1522.0</v>
      </c>
      <c r="AI253" s="12" t="s">
        <v>708</v>
      </c>
      <c r="AJ253" s="19" t="s">
        <v>709</v>
      </c>
      <c r="AK253" s="20" t="str">
        <f>HYPERLINK("https://docs.google.com/document/d/1eml75LLBrnwv1nCwBu_-OJNxHvJ3ubC1U_W3NBu9nRM/edit?usp=drivesdk","Silas Tanner - 2/20/2019 10:45 AM")</f>
        <v>Silas Tanner - 2/20/2019 10:45 AM</v>
      </c>
      <c r="AL253" s="12" t="s">
        <v>710</v>
      </c>
    </row>
    <row r="254">
      <c r="A254" s="10">
        <f>IFERROR(__xludf.DUMMYFUNCTION("""COMPUTED_VALUE"""),43516.536198622685)</f>
        <v>43516.5362</v>
      </c>
      <c r="B254" s="11" t="str">
        <f>IFERROR(__xludf.DUMMYFUNCTION("""COMPUTED_VALUE"""),"Pamela Marcum")</f>
        <v>Pamela Marcum</v>
      </c>
      <c r="C254" t="str">
        <f>IFERROR(__xludf.DUMMYFUNCTION("""COMPUTED_VALUE"""),"pamela.marcum@floridadep.gov")</f>
        <v>pamela.marcum@floridadep.gov</v>
      </c>
      <c r="D254" t="str">
        <f>IFERROR(__xludf.DUMMYFUNCTION("""COMPUTED_VALUE"""),"Research/Nikki")</f>
        <v>Research/Nikki</v>
      </c>
      <c r="E254" t="str">
        <f>IFERROR(__xludf.DUMMYFUNCTION("""COMPUTED_VALUE"""),"Shore drive crane park")</f>
        <v>Shore drive crane park</v>
      </c>
      <c r="F254" s="13">
        <f>IFERROR(__xludf.DUMMYFUNCTION("""COMPUTED_VALUE"""),0.5208333333321207)</f>
        <v>0.5208333333</v>
      </c>
      <c r="G254" s="14">
        <f>IFERROR(__xludf.DUMMYFUNCTION("""COMPUTED_VALUE"""),43516.0)</f>
        <v>43516</v>
      </c>
      <c r="H254" t="str">
        <f>IFERROR(__xludf.DUMMYFUNCTION("""COMPUTED_VALUE"""),"Matanzas River ")</f>
        <v>Matanzas River </v>
      </c>
      <c r="I254" s="15">
        <f>IFERROR(__xludf.DUMMYFUNCTION("""COMPUTED_VALUE"""),0.6666666666678793)</f>
        <v>0.6666666667</v>
      </c>
      <c r="J254" s="16">
        <f>IFERROR(__xludf.DUMMYFUNCTION("""COMPUTED_VALUE"""),43516.6875)</f>
        <v>43516.6875</v>
      </c>
      <c r="K254" t="str">
        <f>IFERROR(__xludf.DUMMYFUNCTION("""COMPUTED_VALUE"""),"F 20ft Sea Ark (Easy 200) FL8534PY DEP21451")</f>
        <v>F 20ft Sea Ark (Easy 200) FL8534PY DEP21451</v>
      </c>
      <c r="M254" t="str">
        <f>IFERROR(__xludf.DUMMYFUNCTION("""COMPUTED_VALUE"""),"Ford F150 2008 - DEP18041 (SWMP Thing)")</f>
        <v>Ford F150 2008 - DEP18041 (SWMP Thing)</v>
      </c>
      <c r="N254" t="str">
        <f>IFERROR(__xludf.DUMMYFUNCTION("""COMPUTED_VALUE"""),"Pam Marcum, (480) 332-5414, Ben Mowbray, (407) 962-8782")</f>
        <v>Pam Marcum, (480) 332-5414, Ben Mowbray, (407) 962-8782</v>
      </c>
      <c r="O254" t="str">
        <f>IFERROR(__xludf.DUMMYFUNCTION("""COMPUTED_VALUE"""),"Marti,  Cathy")</f>
        <v>Marti,  Cathy</v>
      </c>
      <c r="P254" t="str">
        <f>IFERROR(__xludf.DUMMYFUNCTION("""COMPUTED_VALUE"""),"Ben")</f>
        <v>Ben</v>
      </c>
      <c r="Q254" t="str">
        <f>IFERROR(__xludf.DUMMYFUNCTION("""COMPUTED_VALUE"""),"Good")</f>
        <v>Good</v>
      </c>
      <c r="R254" t="str">
        <f>IFERROR(__xludf.DUMMYFUNCTION("""COMPUTED_VALUE"""),"Good")</f>
        <v>Good</v>
      </c>
      <c r="S254" t="str">
        <f>IFERROR(__xludf.DUMMYFUNCTION("""COMPUTED_VALUE"""),"Good")</f>
        <v>Good</v>
      </c>
      <c r="T254" t="str">
        <f>IFERROR(__xludf.DUMMYFUNCTION("""COMPUTED_VALUE"""),"Good")</f>
        <v>Good</v>
      </c>
      <c r="U254" t="str">
        <f>IFERROR(__xludf.DUMMYFUNCTION("""COMPUTED_VALUE"""),"Good")</f>
        <v>Good</v>
      </c>
      <c r="V254" t="str">
        <f>IFERROR(__xludf.DUMMYFUNCTION("""COMPUTED_VALUE"""),"Good")</f>
        <v>Good</v>
      </c>
      <c r="W254" t="str">
        <f>IFERROR(__xludf.DUMMYFUNCTION("""COMPUTED_VALUE"""),"Good")</f>
        <v>Good</v>
      </c>
      <c r="X254" t="str">
        <f>IFERROR(__xludf.DUMMYFUNCTION("""COMPUTED_VALUE"""),"Good")</f>
        <v>Good</v>
      </c>
      <c r="Y254" t="str">
        <f>IFERROR(__xludf.DUMMYFUNCTION("""COMPUTED_VALUE"""),"Good")</f>
        <v>Good</v>
      </c>
      <c r="Z254" t="str">
        <f>IFERROR(__xludf.DUMMYFUNCTION("""COMPUTED_VALUE"""),"Good")</f>
        <v>Good</v>
      </c>
      <c r="AA254" t="str">
        <f>IFERROR(__xludf.DUMMYFUNCTION("""COMPUTED_VALUE"""),"Good")</f>
        <v>Good</v>
      </c>
      <c r="AB254" t="str">
        <f>IFERROR(__xludf.DUMMYFUNCTION("""COMPUTED_VALUE"""),"Good")</f>
        <v>Good</v>
      </c>
      <c r="AC254" t="str">
        <f>IFERROR(__xludf.DUMMYFUNCTION("""COMPUTED_VALUE"""),"Good")</f>
        <v>Good</v>
      </c>
      <c r="AE254" s="11"/>
      <c r="AF254" t="s">
        <v>218</v>
      </c>
      <c r="AG254" s="17" t="s">
        <v>43</v>
      </c>
      <c r="AH254" s="12">
        <v>1745.0</v>
      </c>
      <c r="AI254" s="12" t="s">
        <v>711</v>
      </c>
      <c r="AJ254" s="19" t="s">
        <v>712</v>
      </c>
      <c r="AK254" s="20" t="str">
        <f>HYPERLINK("https://docs.google.com/document/d/1vmmHbbEKOlfRp-_iKH2vKvCl0CVCLNAqtyyG8zrDGGo/edit?usp=drivesdk","Pamela Marcum - 2/20/2019 12:30 PM")</f>
        <v>Pamela Marcum - 2/20/2019 12:30 PM</v>
      </c>
      <c r="AL254" s="12" t="s">
        <v>713</v>
      </c>
    </row>
    <row r="255">
      <c r="A255" s="10">
        <f>IFERROR(__xludf.DUMMYFUNCTION("""COMPUTED_VALUE"""),43516.577832627314)</f>
        <v>43516.57783</v>
      </c>
      <c r="B255" s="11" t="str">
        <f>IFERROR(__xludf.DUMMYFUNCTION("""COMPUTED_VALUE"""),"james tomazinis")</f>
        <v>james tomazinis</v>
      </c>
      <c r="C255" t="str">
        <f>IFERROR(__xludf.DUMMYFUNCTION("""COMPUTED_VALUE"""),"james.tomazinis@floridadep.gov")</f>
        <v>james.tomazinis@floridadep.gov</v>
      </c>
      <c r="D255" t="str">
        <f>IFERROR(__xludf.DUMMYFUNCTION("""COMPUTED_VALUE"""),"Stewardship (Aquatic)")</f>
        <v>Stewardship (Aquatic)</v>
      </c>
      <c r="E255" t="str">
        <f>IFERROR(__xludf.DUMMYFUNCTION("""COMPUTED_VALUE"""),"Vilano")</f>
        <v>Vilano</v>
      </c>
      <c r="F255" s="13">
        <f>IFERROR(__xludf.DUMMYFUNCTION("""COMPUTED_VALUE"""),0.3541666666678793)</f>
        <v>0.3541666667</v>
      </c>
      <c r="G255" s="14">
        <f>IFERROR(__xludf.DUMMYFUNCTION("""COMPUTED_VALUE"""),43517.0)</f>
        <v>43517</v>
      </c>
      <c r="H255" t="str">
        <f>IFERROR(__xludf.DUMMYFUNCTION("""COMPUTED_VALUE"""),"Matanzas River nekton sites")</f>
        <v>Matanzas River nekton sites</v>
      </c>
      <c r="I255" s="15">
        <f>IFERROR(__xludf.DUMMYFUNCTION("""COMPUTED_VALUE"""),0.5416666666678793)</f>
        <v>0.5416666667</v>
      </c>
      <c r="J255" s="16"/>
      <c r="K255" t="str">
        <f>IFERROR(__xludf.DUMMYFUNCTION("""COMPUTED_VALUE"""),"23ft Skiff (Bertha) FL7972LJ DEP07613")</f>
        <v>23ft Skiff (Bertha) FL7972LJ DEP07613</v>
      </c>
      <c r="M255" t="str">
        <f>IFERROR(__xludf.DUMMYFUNCTION("""COMPUTED_VALUE"""),"Ford F250 2017 (Moby Dix) - DEP0021578")</f>
        <v>Ford F250 2017 (Moby Dix) - DEP0021578</v>
      </c>
      <c r="N255" t="str">
        <f>IFERROR(__xludf.DUMMYFUNCTION("""COMPUTED_VALUE"""),"Jimmy Tomazinis, (904) 547-0094")</f>
        <v>Jimmy Tomazinis, (904) 547-0094</v>
      </c>
      <c r="O255" t="str">
        <f>IFERROR(__xludf.DUMMYFUNCTION("""COMPUTED_VALUE"""),"Ed Mcginley + students")</f>
        <v>Ed Mcginley + students</v>
      </c>
      <c r="P255" t="str">
        <f>IFERROR(__xludf.DUMMYFUNCTION("""COMPUTED_VALUE"""),"Jimmy")</f>
        <v>Jimmy</v>
      </c>
      <c r="Q255" t="str">
        <f>IFERROR(__xludf.DUMMYFUNCTION("""COMPUTED_VALUE"""),"Good")</f>
        <v>Good</v>
      </c>
      <c r="R255" t="str">
        <f>IFERROR(__xludf.DUMMYFUNCTION("""COMPUTED_VALUE"""),"Good")</f>
        <v>Good</v>
      </c>
      <c r="S255" t="str">
        <f>IFERROR(__xludf.DUMMYFUNCTION("""COMPUTED_VALUE"""),"Good")</f>
        <v>Good</v>
      </c>
      <c r="T255" t="str">
        <f>IFERROR(__xludf.DUMMYFUNCTION("""COMPUTED_VALUE"""),"Good")</f>
        <v>Good</v>
      </c>
      <c r="U255" t="str">
        <f>IFERROR(__xludf.DUMMYFUNCTION("""COMPUTED_VALUE"""),"Good")</f>
        <v>Good</v>
      </c>
      <c r="V255" t="str">
        <f>IFERROR(__xludf.DUMMYFUNCTION("""COMPUTED_VALUE"""),"Good")</f>
        <v>Good</v>
      </c>
      <c r="W255" t="str">
        <f>IFERROR(__xludf.DUMMYFUNCTION("""COMPUTED_VALUE"""),"Good")</f>
        <v>Good</v>
      </c>
      <c r="X255" t="str">
        <f>IFERROR(__xludf.DUMMYFUNCTION("""COMPUTED_VALUE"""),"Good")</f>
        <v>Good</v>
      </c>
      <c r="Y255" t="str">
        <f>IFERROR(__xludf.DUMMYFUNCTION("""COMPUTED_VALUE"""),"Good")</f>
        <v>Good</v>
      </c>
      <c r="Z255" t="str">
        <f>IFERROR(__xludf.DUMMYFUNCTION("""COMPUTED_VALUE"""),"Good")</f>
        <v>Good</v>
      </c>
      <c r="AA255" t="str">
        <f>IFERROR(__xludf.DUMMYFUNCTION("""COMPUTED_VALUE"""),"Good")</f>
        <v>Good</v>
      </c>
      <c r="AB255" t="str">
        <f>IFERROR(__xludf.DUMMYFUNCTION("""COMPUTED_VALUE"""),"Good")</f>
        <v>Good</v>
      </c>
      <c r="AC255" t="str">
        <f>IFERROR(__xludf.DUMMYFUNCTION("""COMPUTED_VALUE"""),"Good")</f>
        <v>Good</v>
      </c>
      <c r="AE255" s="11"/>
      <c r="AF255" t="s">
        <v>32</v>
      </c>
      <c r="AG255" s="17" t="s">
        <v>714</v>
      </c>
      <c r="AH255" s="12">
        <v>1320.0</v>
      </c>
      <c r="AI255" s="12" t="s">
        <v>715</v>
      </c>
      <c r="AJ255" s="19" t="s">
        <v>716</v>
      </c>
      <c r="AK255" s="20" t="str">
        <f>HYPERLINK("https://docs.google.com/document/d/14pAUYwsaSmzX3501xXPXCLv9Bc9CBsp_aTg69Fj2q_c/edit?usp=drivesdk","james tomazinis - 2/21/2019 8:30 AM")</f>
        <v>james tomazinis - 2/21/2019 8:30 AM</v>
      </c>
      <c r="AL255" s="12" t="s">
        <v>717</v>
      </c>
    </row>
    <row r="256">
      <c r="A256" s="10">
        <f>IFERROR(__xludf.DUMMYFUNCTION("""COMPUTED_VALUE"""),43518.5207091088)</f>
        <v>43518.52071</v>
      </c>
      <c r="B256" s="11" t="str">
        <f>IFERROR(__xludf.DUMMYFUNCTION("""COMPUTED_VALUE"""),"Pamela Marcum")</f>
        <v>Pamela Marcum</v>
      </c>
      <c r="C256" t="str">
        <f>IFERROR(__xludf.DUMMYFUNCTION("""COMPUTED_VALUE"""),"Pamela.Marcum@floridadep.gov")</f>
        <v>Pamela.Marcum@floridadep.gov</v>
      </c>
      <c r="D256" t="str">
        <f>IFERROR(__xludf.DUMMYFUNCTION("""COMPUTED_VALUE"""),"Research/Nikki")</f>
        <v>Research/Nikki</v>
      </c>
      <c r="E256" t="str">
        <f>IFERROR(__xludf.DUMMYFUNCTION("""COMPUTED_VALUE"""),"Lighthouse")</f>
        <v>Lighthouse</v>
      </c>
      <c r="F256" s="13">
        <f>IFERROR(__xludf.DUMMYFUNCTION("""COMPUTED_VALUE"""),0.5416666666678793)</f>
        <v>0.5416666667</v>
      </c>
      <c r="G256" s="14">
        <f>IFERROR(__xludf.DUMMYFUNCTION("""COMPUTED_VALUE"""),43518.0)</f>
        <v>43518</v>
      </c>
      <c r="H256" t="str">
        <f>IFERROR(__xludf.DUMMYFUNCTION("""COMPUTED_VALUE"""),"Salt Run/St. Aug Inlet")</f>
        <v>Salt Run/St. Aug Inlet</v>
      </c>
      <c r="I256" s="15">
        <f>IFERROR(__xludf.DUMMYFUNCTION("""COMPUTED_VALUE"""),0.6666666666678793)</f>
        <v>0.6666666667</v>
      </c>
      <c r="J256" s="16">
        <f>IFERROR(__xludf.DUMMYFUNCTION("""COMPUTED_VALUE"""),43518.6875)</f>
        <v>43518.6875</v>
      </c>
      <c r="K256" t="str">
        <f>IFERROR(__xludf.DUMMYFUNCTION("""COMPUTED_VALUE"""),"F 20ft Sea Ark (Easy 200) FL8534PY DEP21451")</f>
        <v>F 20ft Sea Ark (Easy 200) FL8534PY DEP21451</v>
      </c>
      <c r="M256" t="str">
        <f>IFERROR(__xludf.DUMMYFUNCTION("""COMPUTED_VALUE"""),"Ford F150 2008 - DEP18041 (SWMP Thing)")</f>
        <v>Ford F150 2008 - DEP18041 (SWMP Thing)</v>
      </c>
      <c r="N256" t="str">
        <f>IFERROR(__xludf.DUMMYFUNCTION("""COMPUTED_VALUE"""),"Pam Marcum, (480) 332-5414")</f>
        <v>Pam Marcum, (480) 332-5414</v>
      </c>
      <c r="O256" t="str">
        <f>IFERROR(__xludf.DUMMYFUNCTION("""COMPUTED_VALUE"""),"Jeff Finnan, Mike Darragh")</f>
        <v>Jeff Finnan, Mike Darragh</v>
      </c>
      <c r="P256" t="str">
        <f>IFERROR(__xludf.DUMMYFUNCTION("""COMPUTED_VALUE"""),"Pam")</f>
        <v>Pam</v>
      </c>
      <c r="Q256" t="str">
        <f>IFERROR(__xludf.DUMMYFUNCTION("""COMPUTED_VALUE"""),"Good")</f>
        <v>Good</v>
      </c>
      <c r="R256" t="str">
        <f>IFERROR(__xludf.DUMMYFUNCTION("""COMPUTED_VALUE"""),"Good")</f>
        <v>Good</v>
      </c>
      <c r="S256" t="str">
        <f>IFERROR(__xludf.DUMMYFUNCTION("""COMPUTED_VALUE"""),"Good")</f>
        <v>Good</v>
      </c>
      <c r="T256" t="str">
        <f>IFERROR(__xludf.DUMMYFUNCTION("""COMPUTED_VALUE"""),"Good")</f>
        <v>Good</v>
      </c>
      <c r="U256" t="str">
        <f>IFERROR(__xludf.DUMMYFUNCTION("""COMPUTED_VALUE"""),"Good")</f>
        <v>Good</v>
      </c>
      <c r="V256" t="str">
        <f>IFERROR(__xludf.DUMMYFUNCTION("""COMPUTED_VALUE"""),"Good")</f>
        <v>Good</v>
      </c>
      <c r="W256" t="str">
        <f>IFERROR(__xludf.DUMMYFUNCTION("""COMPUTED_VALUE"""),"Good")</f>
        <v>Good</v>
      </c>
      <c r="X256" t="str">
        <f>IFERROR(__xludf.DUMMYFUNCTION("""COMPUTED_VALUE"""),"Good")</f>
        <v>Good</v>
      </c>
      <c r="Y256" t="str">
        <f>IFERROR(__xludf.DUMMYFUNCTION("""COMPUTED_VALUE"""),"Good")</f>
        <v>Good</v>
      </c>
      <c r="Z256" t="str">
        <f>IFERROR(__xludf.DUMMYFUNCTION("""COMPUTED_VALUE"""),"Good")</f>
        <v>Good</v>
      </c>
      <c r="AA256" t="str">
        <f>IFERROR(__xludf.DUMMYFUNCTION("""COMPUTED_VALUE"""),"Good")</f>
        <v>Good</v>
      </c>
      <c r="AB256" t="str">
        <f>IFERROR(__xludf.DUMMYFUNCTION("""COMPUTED_VALUE"""),"Good")</f>
        <v>Good</v>
      </c>
      <c r="AC256" t="str">
        <f>IFERROR(__xludf.DUMMYFUNCTION("""COMPUTED_VALUE"""),"Good")</f>
        <v>Good</v>
      </c>
      <c r="AE256" s="11"/>
      <c r="AF256" t="s">
        <v>218</v>
      </c>
      <c r="AG256" s="17" t="s">
        <v>43</v>
      </c>
      <c r="AH256" s="12">
        <v>1650.0</v>
      </c>
      <c r="AI256" s="12" t="s">
        <v>718</v>
      </c>
      <c r="AJ256" s="19" t="s">
        <v>719</v>
      </c>
      <c r="AK256" s="20" t="str">
        <f>HYPERLINK("https://docs.google.com/document/d/1Wg9Zp0UHwlUm4go4IGLILI0V5u0WvC2wzcoeNBDzINg/edit?usp=drivesdk","Pamela Marcum - 2/22/2019 1:00 PM")</f>
        <v>Pamela Marcum - 2/22/2019 1:00 PM</v>
      </c>
      <c r="AL256" s="12" t="s">
        <v>720</v>
      </c>
    </row>
    <row r="257">
      <c r="A257" s="10">
        <f>IFERROR(__xludf.DUMMYFUNCTION("""COMPUTED_VALUE"""),43523.30097172454)</f>
        <v>43523.30097</v>
      </c>
      <c r="B257" s="11" t="str">
        <f>IFERROR(__xludf.DUMMYFUNCTION("""COMPUTED_VALUE"""),"Pamela Marcum")</f>
        <v>Pamela Marcum</v>
      </c>
      <c r="C257" t="str">
        <f>IFERROR(__xludf.DUMMYFUNCTION("""COMPUTED_VALUE"""),"Pamela.Marcum@dep.state.fl.us")</f>
        <v>Pamela.Marcum@dep.state.fl.us</v>
      </c>
      <c r="D257" t="str">
        <f>IFERROR(__xludf.DUMMYFUNCTION("""COMPUTED_VALUE"""),"Research/Nikki")</f>
        <v>Research/Nikki</v>
      </c>
      <c r="E257" t="str">
        <f>IFERROR(__xludf.DUMMYFUNCTION("""COMPUTED_VALUE"""),"Usina/Aunt Kate's")</f>
        <v>Usina/Aunt Kate's</v>
      </c>
      <c r="F257" s="13">
        <f>IFERROR(__xludf.DUMMYFUNCTION("""COMPUTED_VALUE"""),0.3541666666678793)</f>
        <v>0.3541666667</v>
      </c>
      <c r="G257" s="14">
        <f>IFERROR(__xludf.DUMMYFUNCTION("""COMPUTED_VALUE"""),43523.0)</f>
        <v>43523</v>
      </c>
      <c r="H257" t="str">
        <f>IFERROR(__xludf.DUMMYFUNCTION("""COMPUTED_VALUE"""),"Tolomato River - Across from Wright's Landing")</f>
        <v>Tolomato River - Across from Wright's Landing</v>
      </c>
      <c r="I257" s="15">
        <f>IFERROR(__xludf.DUMMYFUNCTION("""COMPUTED_VALUE"""),0.4791666666678793)</f>
        <v>0.4791666667</v>
      </c>
      <c r="J257" s="16">
        <f>IFERROR(__xludf.DUMMYFUNCTION("""COMPUTED_VALUE"""),43523.5)</f>
        <v>43523.5</v>
      </c>
      <c r="K257" t="str">
        <f>IFERROR(__xludf.DUMMYFUNCTION("""COMPUTED_VALUE"""),"20ft Sea Ark FL5351SJ UNF 2015")</f>
        <v>20ft Sea Ark FL5351SJ UNF 2015</v>
      </c>
      <c r="M257" t="str">
        <f>IFERROR(__xludf.DUMMYFUNCTION("""COMPUTED_VALUE"""),"Ford F150 2015 (White) - DEP21448")</f>
        <v>Ford F150 2015 (White) - DEP21448</v>
      </c>
      <c r="N257" t="str">
        <f>IFERROR(__xludf.DUMMYFUNCTION("""COMPUTED_VALUE"""),"Pam Marcum, (480) 332-5414")</f>
        <v>Pam Marcum, (480) 332-5414</v>
      </c>
      <c r="O257" t="str">
        <f>IFERROR(__xludf.DUMMYFUNCTION("""COMPUTED_VALUE"""),"Jeff Finnan, Jim Cedarburg")</f>
        <v>Jeff Finnan, Jim Cedarburg</v>
      </c>
      <c r="P257" t="str">
        <f>IFERROR(__xludf.DUMMYFUNCTION("""COMPUTED_VALUE"""),"Pam")</f>
        <v>Pam</v>
      </c>
      <c r="Q257" t="str">
        <f>IFERROR(__xludf.DUMMYFUNCTION("""COMPUTED_VALUE"""),"Good")</f>
        <v>Good</v>
      </c>
      <c r="R257" t="str">
        <f>IFERROR(__xludf.DUMMYFUNCTION("""COMPUTED_VALUE"""),"Good")</f>
        <v>Good</v>
      </c>
      <c r="S257" t="str">
        <f>IFERROR(__xludf.DUMMYFUNCTION("""COMPUTED_VALUE"""),"Good")</f>
        <v>Good</v>
      </c>
      <c r="T257" t="str">
        <f>IFERROR(__xludf.DUMMYFUNCTION("""COMPUTED_VALUE"""),"Good")</f>
        <v>Good</v>
      </c>
      <c r="U257" t="str">
        <f>IFERROR(__xludf.DUMMYFUNCTION("""COMPUTED_VALUE"""),"Good")</f>
        <v>Good</v>
      </c>
      <c r="V257" t="str">
        <f>IFERROR(__xludf.DUMMYFUNCTION("""COMPUTED_VALUE"""),"Good")</f>
        <v>Good</v>
      </c>
      <c r="W257" t="str">
        <f>IFERROR(__xludf.DUMMYFUNCTION("""COMPUTED_VALUE"""),"Good")</f>
        <v>Good</v>
      </c>
      <c r="X257" t="str">
        <f>IFERROR(__xludf.DUMMYFUNCTION("""COMPUTED_VALUE"""),"Good")</f>
        <v>Good</v>
      </c>
      <c r="Y257" t="str">
        <f>IFERROR(__xludf.DUMMYFUNCTION("""COMPUTED_VALUE"""),"Good")</f>
        <v>Good</v>
      </c>
      <c r="Z257" t="str">
        <f>IFERROR(__xludf.DUMMYFUNCTION("""COMPUTED_VALUE"""),"Good")</f>
        <v>Good</v>
      </c>
      <c r="AA257" t="str">
        <f>IFERROR(__xludf.DUMMYFUNCTION("""COMPUTED_VALUE"""),"Good")</f>
        <v>Good</v>
      </c>
      <c r="AB257" t="str">
        <f>IFERROR(__xludf.DUMMYFUNCTION("""COMPUTED_VALUE"""),"Good")</f>
        <v>Good</v>
      </c>
      <c r="AC257" t="str">
        <f>IFERROR(__xludf.DUMMYFUNCTION("""COMPUTED_VALUE"""),"Good")</f>
        <v>Good</v>
      </c>
      <c r="AE257" s="11"/>
      <c r="AF257" t="s">
        <v>218</v>
      </c>
      <c r="AG257" s="17" t="s">
        <v>43</v>
      </c>
      <c r="AH257" s="12">
        <v>1125.0</v>
      </c>
      <c r="AI257" s="12" t="s">
        <v>721</v>
      </c>
      <c r="AJ257" s="19" t="s">
        <v>722</v>
      </c>
      <c r="AK257" s="20" t="str">
        <f>HYPERLINK("https://docs.google.com/document/d/1sDmDyYMJ_Z6YauBF7BJ7lbIu9r7ZI3aH4vnfTBeQ-Is/edit?usp=drivesdk","Pamela Marcum - 2/27/2019 8:30 AM")</f>
        <v>Pamela Marcum - 2/27/2019 8:30 AM</v>
      </c>
      <c r="AL257" s="12" t="s">
        <v>723</v>
      </c>
    </row>
    <row r="258">
      <c r="A258" s="10">
        <f>IFERROR(__xludf.DUMMYFUNCTION("""COMPUTED_VALUE"""),43523.665582118054)</f>
        <v>43523.66558</v>
      </c>
      <c r="B258" s="11" t="str">
        <f>IFERROR(__xludf.DUMMYFUNCTION("""COMPUTED_VALUE"""),"James Tomazinis")</f>
        <v>James Tomazinis</v>
      </c>
      <c r="C258" t="str">
        <f>IFERROR(__xludf.DUMMYFUNCTION("""COMPUTED_VALUE"""),"james.tomazinis@floridadep.gov")</f>
        <v>james.tomazinis@floridadep.gov</v>
      </c>
      <c r="D258" t="str">
        <f>IFERROR(__xludf.DUMMYFUNCTION("""COMPUTED_VALUE"""),"Stewardship (Aquatic)")</f>
        <v>Stewardship (Aquatic)</v>
      </c>
      <c r="E258" t="str">
        <f>IFERROR(__xludf.DUMMYFUNCTION("""COMPUTED_VALUE"""),"Vilano")</f>
        <v>Vilano</v>
      </c>
      <c r="F258" s="13">
        <f>IFERROR(__xludf.DUMMYFUNCTION("""COMPUTED_VALUE"""),0.3541666666678793)</f>
        <v>0.3541666667</v>
      </c>
      <c r="G258" s="14">
        <f>IFERROR(__xludf.DUMMYFUNCTION("""COMPUTED_VALUE"""),43524.0)</f>
        <v>43524</v>
      </c>
      <c r="H258" t="str">
        <f>IFERROR(__xludf.DUMMYFUNCTION("""COMPUTED_VALUE"""),"Matanzas River Nekton sites")</f>
        <v>Matanzas River Nekton sites</v>
      </c>
      <c r="I258" s="15">
        <f>IFERROR(__xludf.DUMMYFUNCTION("""COMPUTED_VALUE"""),0.5625)</f>
        <v>0.5625</v>
      </c>
      <c r="J258" s="16"/>
      <c r="K258" t="str">
        <f>IFERROR(__xludf.DUMMYFUNCTION("""COMPUTED_VALUE"""),"23ft Skiff (Bertha) FL7972LJ DEP07613")</f>
        <v>23ft Skiff (Bertha) FL7972LJ DEP07613</v>
      </c>
      <c r="M258" t="str">
        <f>IFERROR(__xludf.DUMMYFUNCTION("""COMPUTED_VALUE"""),"Ford F250 2017 (Moby Dix) - DEP0021578")</f>
        <v>Ford F250 2017 (Moby Dix) - DEP0021578</v>
      </c>
      <c r="N258" t="str">
        <f>IFERROR(__xludf.DUMMYFUNCTION("""COMPUTED_VALUE"""),"Jimmy Tomazinis, (904) 547-0094")</f>
        <v>Jimmy Tomazinis, (904) 547-0094</v>
      </c>
      <c r="O258" t="str">
        <f>IFERROR(__xludf.DUMMYFUNCTION("""COMPUTED_VALUE"""),"Jeff Finnan, Rueben Allen, Ed McGinley, students")</f>
        <v>Jeff Finnan, Rueben Allen, Ed McGinley, students</v>
      </c>
      <c r="P258" t="str">
        <f>IFERROR(__xludf.DUMMYFUNCTION("""COMPUTED_VALUE"""),"Jimmy")</f>
        <v>Jimmy</v>
      </c>
      <c r="Q258" t="str">
        <f>IFERROR(__xludf.DUMMYFUNCTION("""COMPUTED_VALUE"""),"Good")</f>
        <v>Good</v>
      </c>
      <c r="R258" t="str">
        <f>IFERROR(__xludf.DUMMYFUNCTION("""COMPUTED_VALUE"""),"Good")</f>
        <v>Good</v>
      </c>
      <c r="S258" t="str">
        <f>IFERROR(__xludf.DUMMYFUNCTION("""COMPUTED_VALUE"""),"Good")</f>
        <v>Good</v>
      </c>
      <c r="T258" t="str">
        <f>IFERROR(__xludf.DUMMYFUNCTION("""COMPUTED_VALUE"""),"Good")</f>
        <v>Good</v>
      </c>
      <c r="U258" t="str">
        <f>IFERROR(__xludf.DUMMYFUNCTION("""COMPUTED_VALUE"""),"Good")</f>
        <v>Good</v>
      </c>
      <c r="V258" t="str">
        <f>IFERROR(__xludf.DUMMYFUNCTION("""COMPUTED_VALUE"""),"Good")</f>
        <v>Good</v>
      </c>
      <c r="W258" t="str">
        <f>IFERROR(__xludf.DUMMYFUNCTION("""COMPUTED_VALUE"""),"Good")</f>
        <v>Good</v>
      </c>
      <c r="X258" t="str">
        <f>IFERROR(__xludf.DUMMYFUNCTION("""COMPUTED_VALUE"""),"Good")</f>
        <v>Good</v>
      </c>
      <c r="Y258" t="str">
        <f>IFERROR(__xludf.DUMMYFUNCTION("""COMPUTED_VALUE"""),"Good")</f>
        <v>Good</v>
      </c>
      <c r="Z258" t="str">
        <f>IFERROR(__xludf.DUMMYFUNCTION("""COMPUTED_VALUE"""),"Good")</f>
        <v>Good</v>
      </c>
      <c r="AA258" t="str">
        <f>IFERROR(__xludf.DUMMYFUNCTION("""COMPUTED_VALUE"""),"Good")</f>
        <v>Good</v>
      </c>
      <c r="AB258" t="str">
        <f>IFERROR(__xludf.DUMMYFUNCTION("""COMPUTED_VALUE"""),"Good")</f>
        <v>Good</v>
      </c>
      <c r="AC258" t="str">
        <f>IFERROR(__xludf.DUMMYFUNCTION("""COMPUTED_VALUE"""),"Good")</f>
        <v>Good</v>
      </c>
      <c r="AE258" s="11"/>
      <c r="AF258" t="s">
        <v>32</v>
      </c>
      <c r="AG258" s="17" t="s">
        <v>18</v>
      </c>
      <c r="AH258" s="12">
        <v>1320.0</v>
      </c>
      <c r="AI258" s="12" t="s">
        <v>724</v>
      </c>
      <c r="AJ258" s="19" t="s">
        <v>725</v>
      </c>
      <c r="AK258" s="20" t="str">
        <f>HYPERLINK("https://docs.google.com/document/d/1MF4XTFcMuFaeeAGZvcZGTrRDTufu4yqULGm4wOzvNHk/edit?usp=drivesdk","James Tomazinis - 2/28/2019 8:30 AM")</f>
        <v>James Tomazinis - 2/28/2019 8:30 AM</v>
      </c>
      <c r="AL258" s="12" t="s">
        <v>726</v>
      </c>
    </row>
    <row r="259">
      <c r="A259" s="10">
        <f>IFERROR(__xludf.DUMMYFUNCTION("""COMPUTED_VALUE"""),43524.36113023148)</f>
        <v>43524.36113</v>
      </c>
      <c r="B259" s="11" t="str">
        <f>IFERROR(__xludf.DUMMYFUNCTION("""COMPUTED_VALUE"""),"Pamela Marcum")</f>
        <v>Pamela Marcum</v>
      </c>
      <c r="C259" t="str">
        <f>IFERROR(__xludf.DUMMYFUNCTION("""COMPUTED_VALUE"""),"Pamela.Marcum@floridadep.gov")</f>
        <v>Pamela.Marcum@floridadep.gov</v>
      </c>
      <c r="D259" t="str">
        <f>IFERROR(__xludf.DUMMYFUNCTION("""COMPUTED_VALUE"""),"Research/Nikki")</f>
        <v>Research/Nikki</v>
      </c>
      <c r="E259" t="str">
        <f>IFERROR(__xludf.DUMMYFUNCTION("""COMPUTED_VALUE"""),"Lighthouse 9:15, Green Rd 11a, Whitney Lab, 12:30p")</f>
        <v>Lighthouse 9:15, Green Rd 11a, Whitney Lab, 12:30p</v>
      </c>
      <c r="F259" s="13">
        <f>IFERROR(__xludf.DUMMYFUNCTION("""COMPUTED_VALUE"""),0.375)</f>
        <v>0.375</v>
      </c>
      <c r="G259" s="14">
        <f>IFERROR(__xludf.DUMMYFUNCTION("""COMPUTED_VALUE"""),43524.0)</f>
        <v>43524</v>
      </c>
      <c r="H259" t="str">
        <f>IFERROR(__xludf.DUMMYFUNCTION("""COMPUTED_VALUE"""),"Salt Run, Devil's Elbow, Pellicer Flats")</f>
        <v>Salt Run, Devil's Elbow, Pellicer Flats</v>
      </c>
      <c r="I259" s="15">
        <f>IFERROR(__xludf.DUMMYFUNCTION("""COMPUTED_VALUE"""),0.5625)</f>
        <v>0.5625</v>
      </c>
      <c r="J259" s="16">
        <f>IFERROR(__xludf.DUMMYFUNCTION("""COMPUTED_VALUE"""),43524.60416666667)</f>
        <v>43524.60417</v>
      </c>
      <c r="K259" t="str">
        <f>IFERROR(__xludf.DUMMYFUNCTION("""COMPUTED_VALUE"""),"20ft Sea Ark FL5351SJ UNF 2015")</f>
        <v>20ft Sea Ark FL5351SJ UNF 2015</v>
      </c>
      <c r="M259" t="str">
        <f>IFERROR(__xludf.DUMMYFUNCTION("""COMPUTED_VALUE"""),"Ford F150 2015 (White) - DEP21448")</f>
        <v>Ford F150 2015 (White) - DEP21448</v>
      </c>
      <c r="N259" t="str">
        <f>IFERROR(__xludf.DUMMYFUNCTION("""COMPUTED_VALUE"""),"Pam Marcum, (480) 332-5414")</f>
        <v>Pam Marcum, (480) 332-5414</v>
      </c>
      <c r="O259" t="str">
        <f>IFERROR(__xludf.DUMMYFUNCTION("""COMPUTED_VALUE"""),"Kala Neighbor")</f>
        <v>Kala Neighbor</v>
      </c>
      <c r="P259" t="str">
        <f>IFERROR(__xludf.DUMMYFUNCTION("""COMPUTED_VALUE"""),"Pam")</f>
        <v>Pam</v>
      </c>
      <c r="Q259" t="str">
        <f>IFERROR(__xludf.DUMMYFUNCTION("""COMPUTED_VALUE"""),"Good")</f>
        <v>Good</v>
      </c>
      <c r="R259" t="str">
        <f>IFERROR(__xludf.DUMMYFUNCTION("""COMPUTED_VALUE"""),"Good")</f>
        <v>Good</v>
      </c>
      <c r="S259" t="str">
        <f>IFERROR(__xludf.DUMMYFUNCTION("""COMPUTED_VALUE"""),"Good")</f>
        <v>Good</v>
      </c>
      <c r="T259" t="str">
        <f>IFERROR(__xludf.DUMMYFUNCTION("""COMPUTED_VALUE"""),"Good")</f>
        <v>Good</v>
      </c>
      <c r="U259" t="str">
        <f>IFERROR(__xludf.DUMMYFUNCTION("""COMPUTED_VALUE"""),"Good")</f>
        <v>Good</v>
      </c>
      <c r="V259" t="str">
        <f>IFERROR(__xludf.DUMMYFUNCTION("""COMPUTED_VALUE"""),"Good")</f>
        <v>Good</v>
      </c>
      <c r="W259" t="str">
        <f>IFERROR(__xludf.DUMMYFUNCTION("""COMPUTED_VALUE"""),"Good")</f>
        <v>Good</v>
      </c>
      <c r="X259" t="str">
        <f>IFERROR(__xludf.DUMMYFUNCTION("""COMPUTED_VALUE"""),"Good")</f>
        <v>Good</v>
      </c>
      <c r="Y259" t="str">
        <f>IFERROR(__xludf.DUMMYFUNCTION("""COMPUTED_VALUE"""),"Good")</f>
        <v>Good</v>
      </c>
      <c r="Z259" t="str">
        <f>IFERROR(__xludf.DUMMYFUNCTION("""COMPUTED_VALUE"""),"Good")</f>
        <v>Good</v>
      </c>
      <c r="AA259" t="str">
        <f>IFERROR(__xludf.DUMMYFUNCTION("""COMPUTED_VALUE"""),"Good")</f>
        <v>Good</v>
      </c>
      <c r="AB259" t="str">
        <f>IFERROR(__xludf.DUMMYFUNCTION("""COMPUTED_VALUE"""),"Good")</f>
        <v>Good</v>
      </c>
      <c r="AC259" t="str">
        <f>IFERROR(__xludf.DUMMYFUNCTION("""COMPUTED_VALUE"""),"Good")</f>
        <v>Good</v>
      </c>
      <c r="AE259" s="11"/>
      <c r="AF259" t="s">
        <v>218</v>
      </c>
      <c r="AG259" s="17" t="s">
        <v>18</v>
      </c>
      <c r="AH259" s="12">
        <v>1315.0</v>
      </c>
      <c r="AI259" s="12" t="s">
        <v>727</v>
      </c>
      <c r="AJ259" s="19" t="s">
        <v>728</v>
      </c>
      <c r="AK259" s="20" t="str">
        <f>HYPERLINK("https://docs.google.com/document/d/1SSjQWnl-mwCpqOXHeWdGBalJD7IGHDPVfgJa0kDIzdE/edit?usp=drivesdk","Pamela Marcum - 2/28/2019 9:00 AM")</f>
        <v>Pamela Marcum - 2/28/2019 9:00 AM</v>
      </c>
      <c r="AL259" s="12" t="s">
        <v>729</v>
      </c>
    </row>
    <row r="260">
      <c r="A260" s="10">
        <f>IFERROR(__xludf.DUMMYFUNCTION("""COMPUTED_VALUE"""),43525.352190115744)</f>
        <v>43525.35219</v>
      </c>
      <c r="B260" s="11" t="str">
        <f>IFERROR(__xludf.DUMMYFUNCTION("""COMPUTED_VALUE"""),"Pamela Marcum")</f>
        <v>Pamela Marcum</v>
      </c>
      <c r="C260" t="str">
        <f>IFERROR(__xludf.DUMMYFUNCTION("""COMPUTED_VALUE"""),"Pamela.Marcum@floridadep.gov")</f>
        <v>Pamela.Marcum@floridadep.gov</v>
      </c>
      <c r="D260" t="str">
        <f>IFERROR(__xludf.DUMMYFUNCTION("""COMPUTED_VALUE"""),"Research/Nikki")</f>
        <v>Research/Nikki</v>
      </c>
      <c r="E260" t="str">
        <f>IFERROR(__xludf.DUMMYFUNCTION("""COMPUTED_VALUE"""),"Aunt Kate's")</f>
        <v>Aunt Kate's</v>
      </c>
      <c r="F260" s="13">
        <f>IFERROR(__xludf.DUMMYFUNCTION("""COMPUTED_VALUE"""),0.3958333333321207)</f>
        <v>0.3958333333</v>
      </c>
      <c r="G260" s="14">
        <f>IFERROR(__xludf.DUMMYFUNCTION("""COMPUTED_VALUE"""),43525.0)</f>
        <v>43525</v>
      </c>
      <c r="H260" t="str">
        <f>IFERROR(__xludf.DUMMYFUNCTION("""COMPUTED_VALUE"""),"St Aug, GR, TR spat trees")</f>
        <v>St Aug, GR, TR spat trees</v>
      </c>
      <c r="I260" s="15">
        <f>IFERROR(__xludf.DUMMYFUNCTION("""COMPUTED_VALUE"""),0.6666666666678793)</f>
        <v>0.6666666667</v>
      </c>
      <c r="J260" s="16">
        <f>IFERROR(__xludf.DUMMYFUNCTION("""COMPUTED_VALUE"""),43525.6875)</f>
        <v>43525.6875</v>
      </c>
      <c r="K260" t="str">
        <f>IFERROR(__xludf.DUMMYFUNCTION("""COMPUTED_VALUE"""),"20ft Sea Ark FL5351SJ UNF 2015")</f>
        <v>20ft Sea Ark FL5351SJ UNF 2015</v>
      </c>
      <c r="M260" t="str">
        <f>IFERROR(__xludf.DUMMYFUNCTION("""COMPUTED_VALUE"""),"Ford F150 2015 (White) - DEP21448")</f>
        <v>Ford F150 2015 (White) - DEP21448</v>
      </c>
      <c r="N260" t="str">
        <f>IFERROR(__xludf.DUMMYFUNCTION("""COMPUTED_VALUE"""),"Pam Marcum, (480) 332-5414")</f>
        <v>Pam Marcum, (480) 332-5414</v>
      </c>
      <c r="O260" t="str">
        <f>IFERROR(__xludf.DUMMYFUNCTION("""COMPUTED_VALUE"""),"Nicole Peckham, Adrienne Breef-Pilz")</f>
        <v>Nicole Peckham, Adrienne Breef-Pilz</v>
      </c>
      <c r="P260" t="str">
        <f>IFERROR(__xludf.DUMMYFUNCTION("""COMPUTED_VALUE"""),"Pam")</f>
        <v>Pam</v>
      </c>
      <c r="Q260" t="str">
        <f>IFERROR(__xludf.DUMMYFUNCTION("""COMPUTED_VALUE"""),"Good")</f>
        <v>Good</v>
      </c>
      <c r="R260" t="str">
        <f>IFERROR(__xludf.DUMMYFUNCTION("""COMPUTED_VALUE"""),"Good")</f>
        <v>Good</v>
      </c>
      <c r="S260" t="str">
        <f>IFERROR(__xludf.DUMMYFUNCTION("""COMPUTED_VALUE"""),"Good")</f>
        <v>Good</v>
      </c>
      <c r="T260" t="str">
        <f>IFERROR(__xludf.DUMMYFUNCTION("""COMPUTED_VALUE"""),"Good")</f>
        <v>Good</v>
      </c>
      <c r="U260" t="str">
        <f>IFERROR(__xludf.DUMMYFUNCTION("""COMPUTED_VALUE"""),"Good")</f>
        <v>Good</v>
      </c>
      <c r="V260" t="str">
        <f>IFERROR(__xludf.DUMMYFUNCTION("""COMPUTED_VALUE"""),"Good")</f>
        <v>Good</v>
      </c>
      <c r="W260" t="str">
        <f>IFERROR(__xludf.DUMMYFUNCTION("""COMPUTED_VALUE"""),"Good")</f>
        <v>Good</v>
      </c>
      <c r="X260" t="str">
        <f>IFERROR(__xludf.DUMMYFUNCTION("""COMPUTED_VALUE"""),"Good")</f>
        <v>Good</v>
      </c>
      <c r="Y260" t="str">
        <f>IFERROR(__xludf.DUMMYFUNCTION("""COMPUTED_VALUE"""),"Good")</f>
        <v>Good</v>
      </c>
      <c r="Z260" t="str">
        <f>IFERROR(__xludf.DUMMYFUNCTION("""COMPUTED_VALUE"""),"Good")</f>
        <v>Good</v>
      </c>
      <c r="AA260" t="str">
        <f>IFERROR(__xludf.DUMMYFUNCTION("""COMPUTED_VALUE"""),"Good")</f>
        <v>Good</v>
      </c>
      <c r="AB260" t="str">
        <f>IFERROR(__xludf.DUMMYFUNCTION("""COMPUTED_VALUE"""),"Good")</f>
        <v>Good</v>
      </c>
      <c r="AC260" t="str">
        <f>IFERROR(__xludf.DUMMYFUNCTION("""COMPUTED_VALUE"""),"Good")</f>
        <v>Good</v>
      </c>
      <c r="AE260" s="11"/>
      <c r="AF260" t="s">
        <v>218</v>
      </c>
      <c r="AG260" s="17" t="s">
        <v>128</v>
      </c>
      <c r="AH260" s="12">
        <v>1400.0</v>
      </c>
      <c r="AI260" s="12" t="s">
        <v>730</v>
      </c>
      <c r="AJ260" s="19" t="s">
        <v>731</v>
      </c>
      <c r="AK260" s="20" t="str">
        <f>HYPERLINK("https://docs.google.com/document/d/13swHtX7gKJbnmI4FTAIM1Ytz2fAZaljKFxQgPpMXl7w/edit?usp=drivesdk","Pamela Marcum - 3/1/2019 9:30 AM")</f>
        <v>Pamela Marcum - 3/1/2019 9:30 AM</v>
      </c>
      <c r="AL260" s="12" t="s">
        <v>732</v>
      </c>
    </row>
    <row r="261">
      <c r="A261" s="10">
        <f>IFERROR(__xludf.DUMMYFUNCTION("""COMPUTED_VALUE"""),43525.60143208333)</f>
        <v>43525.60143</v>
      </c>
      <c r="B261" s="11" t="str">
        <f>IFERROR(__xludf.DUMMYFUNCTION("""COMPUTED_VALUE"""),"Pam Marcum")</f>
        <v>Pam Marcum</v>
      </c>
      <c r="C261" t="str">
        <f>IFERROR(__xludf.DUMMYFUNCTION("""COMPUTED_VALUE"""),"Pamela.Marcum@floridadep.gov")</f>
        <v>Pamela.Marcum@floridadep.gov</v>
      </c>
      <c r="D261" t="str">
        <f>IFERROR(__xludf.DUMMYFUNCTION("""COMPUTED_VALUE"""),"Research/Nikki")</f>
        <v>Research/Nikki</v>
      </c>
      <c r="E261" t="str">
        <f>IFERROR(__xludf.DUMMYFUNCTION("""COMPUTED_VALUE"""),"Shore Dr")</f>
        <v>Shore Dr</v>
      </c>
      <c r="F261" s="13">
        <f>IFERROR(__xludf.DUMMYFUNCTION("""COMPUTED_VALUE"""),0.6458333333321207)</f>
        <v>0.6458333333</v>
      </c>
      <c r="G261" s="14">
        <f>IFERROR(__xludf.DUMMYFUNCTION("""COMPUTED_VALUE"""),43525.0)</f>
        <v>43525</v>
      </c>
      <c r="H261" t="str">
        <f>IFERROR(__xludf.DUMMYFUNCTION("""COMPUTED_VALUE"""),"San Sebastian/Matanzas River SA Spat trees")</f>
        <v>San Sebastian/Matanzas River SA Spat trees</v>
      </c>
      <c r="I261" s="15">
        <f>IFERROR(__xludf.DUMMYFUNCTION("""COMPUTED_VALUE"""),0.7083333333321207)</f>
        <v>0.7083333333</v>
      </c>
      <c r="J261" s="16">
        <f>IFERROR(__xludf.DUMMYFUNCTION("""COMPUTED_VALUE"""),43525.72916666667)</f>
        <v>43525.72917</v>
      </c>
      <c r="K261" t="str">
        <f>IFERROR(__xludf.DUMMYFUNCTION("""COMPUTED_VALUE"""),"20ft Sea Ark FL5351SJ UNF 2015")</f>
        <v>20ft Sea Ark FL5351SJ UNF 2015</v>
      </c>
      <c r="M261" t="str">
        <f>IFERROR(__xludf.DUMMYFUNCTION("""COMPUTED_VALUE"""),"Ford F150 2015 (White) - DEP21448")</f>
        <v>Ford F150 2015 (White) - DEP21448</v>
      </c>
      <c r="N261" t="str">
        <f>IFERROR(__xludf.DUMMYFUNCTION("""COMPUTED_VALUE"""),"Pam Marcum, (480) 332-5414")</f>
        <v>Pam Marcum, (480) 332-5414</v>
      </c>
      <c r="O261" t="str">
        <f>IFERROR(__xludf.DUMMYFUNCTION("""COMPUTED_VALUE"""),"Joseph Turvey")</f>
        <v>Joseph Turvey</v>
      </c>
      <c r="P261" t="str">
        <f>IFERROR(__xludf.DUMMYFUNCTION("""COMPUTED_VALUE"""),"Pam")</f>
        <v>Pam</v>
      </c>
      <c r="Q261" t="str">
        <f>IFERROR(__xludf.DUMMYFUNCTION("""COMPUTED_VALUE"""),"Good")</f>
        <v>Good</v>
      </c>
      <c r="R261" t="str">
        <f>IFERROR(__xludf.DUMMYFUNCTION("""COMPUTED_VALUE"""),"Good")</f>
        <v>Good</v>
      </c>
      <c r="S261" t="str">
        <f>IFERROR(__xludf.DUMMYFUNCTION("""COMPUTED_VALUE"""),"Good")</f>
        <v>Good</v>
      </c>
      <c r="T261" t="str">
        <f>IFERROR(__xludf.DUMMYFUNCTION("""COMPUTED_VALUE"""),"Good")</f>
        <v>Good</v>
      </c>
      <c r="U261" t="str">
        <f>IFERROR(__xludf.DUMMYFUNCTION("""COMPUTED_VALUE"""),"Good")</f>
        <v>Good</v>
      </c>
      <c r="V261" t="str">
        <f>IFERROR(__xludf.DUMMYFUNCTION("""COMPUTED_VALUE"""),"Good")</f>
        <v>Good</v>
      </c>
      <c r="W261" t="str">
        <f>IFERROR(__xludf.DUMMYFUNCTION("""COMPUTED_VALUE"""),"Good")</f>
        <v>Good</v>
      </c>
      <c r="X261" t="str">
        <f>IFERROR(__xludf.DUMMYFUNCTION("""COMPUTED_VALUE"""),"Good")</f>
        <v>Good</v>
      </c>
      <c r="Y261" t="str">
        <f>IFERROR(__xludf.DUMMYFUNCTION("""COMPUTED_VALUE"""),"Good")</f>
        <v>Good</v>
      </c>
      <c r="Z261" t="str">
        <f>IFERROR(__xludf.DUMMYFUNCTION("""COMPUTED_VALUE"""),"Good")</f>
        <v>Good</v>
      </c>
      <c r="AA261" t="str">
        <f>IFERROR(__xludf.DUMMYFUNCTION("""COMPUTED_VALUE"""),"Good")</f>
        <v>Good</v>
      </c>
      <c r="AB261" t="str">
        <f>IFERROR(__xludf.DUMMYFUNCTION("""COMPUTED_VALUE"""),"Good")</f>
        <v>Good</v>
      </c>
      <c r="AC261" t="str">
        <f>IFERROR(__xludf.DUMMYFUNCTION("""COMPUTED_VALUE"""),"Good")</f>
        <v>Good</v>
      </c>
      <c r="AE261" s="11"/>
      <c r="AF261" t="s">
        <v>218</v>
      </c>
      <c r="AG261" s="17" t="s">
        <v>43</v>
      </c>
      <c r="AH261" s="12">
        <v>1600.0</v>
      </c>
      <c r="AI261" s="12" t="s">
        <v>733</v>
      </c>
      <c r="AJ261" s="19" t="s">
        <v>734</v>
      </c>
      <c r="AK261" s="20" t="str">
        <f>HYPERLINK("https://docs.google.com/document/d/1iJsN9moJpH-rG7n8WmHd_EvVphFOsQgH3l5bndDInzo/edit?usp=drivesdk","Pam Marcum - 3/1/2019 3:30 PM")</f>
        <v>Pam Marcum - 3/1/2019 3:30 PM</v>
      </c>
      <c r="AL261" s="12" t="s">
        <v>735</v>
      </c>
    </row>
    <row r="262">
      <c r="A262" s="10">
        <f>IFERROR(__xludf.DUMMYFUNCTION("""COMPUTED_VALUE"""),43528.323434108795)</f>
        <v>43528.32343</v>
      </c>
      <c r="B262" s="11" t="str">
        <f>IFERROR(__xludf.DUMMYFUNCTION("""COMPUTED_VALUE"""),"Jimmy")</f>
        <v>Jimmy</v>
      </c>
      <c r="C262" t="str">
        <f>IFERROR(__xludf.DUMMYFUNCTION("""COMPUTED_VALUE"""),"james.tomazinis@dep.state.fl.us")</f>
        <v>james.tomazinis@dep.state.fl.us</v>
      </c>
      <c r="D262" t="str">
        <f>IFERROR(__xludf.DUMMYFUNCTION("""COMPUTED_VALUE"""),"Stewardship (Aquatic)")</f>
        <v>Stewardship (Aquatic)</v>
      </c>
      <c r="E262" t="str">
        <f>IFERROR(__xludf.DUMMYFUNCTION("""COMPUTED_VALUE"""),"Guana Dam")</f>
        <v>Guana Dam</v>
      </c>
      <c r="F262" s="13">
        <f>IFERROR(__xludf.DUMMYFUNCTION("""COMPUTED_VALUE"""),0.34375)</f>
        <v>0.34375</v>
      </c>
      <c r="G262" s="14">
        <f>IFERROR(__xludf.DUMMYFUNCTION("""COMPUTED_VALUE"""),43528.0)</f>
        <v>43528</v>
      </c>
      <c r="H262" t="str">
        <f>IFERROR(__xludf.DUMMYFUNCTION("""COMPUTED_VALUE"""),"Guana River WQ sites")</f>
        <v>Guana River WQ sites</v>
      </c>
      <c r="I262" s="15">
        <f>IFERROR(__xludf.DUMMYFUNCTION("""COMPUTED_VALUE"""),0.40625)</f>
        <v>0.40625</v>
      </c>
      <c r="J262" s="16"/>
      <c r="K262" t="str">
        <f>IFERROR(__xludf.DUMMYFUNCTION("""COMPUTED_VALUE"""),"Jon Boat FL0484NP DEP06819")</f>
        <v>Jon Boat FL0484NP DEP06819</v>
      </c>
      <c r="M262" t="str">
        <f>IFERROR(__xludf.DUMMYFUNCTION("""COMPUTED_VALUE"""),"Ford F150 2015 (White) - DEP21448")</f>
        <v>Ford F150 2015 (White) - DEP21448</v>
      </c>
      <c r="N262" t="str">
        <f>IFERROR(__xludf.DUMMYFUNCTION("""COMPUTED_VALUE"""),"Jimmy Tomazinis, (904) 547-0094")</f>
        <v>Jimmy Tomazinis, (904) 547-0094</v>
      </c>
      <c r="O262" t="str">
        <f>IFERROR(__xludf.DUMMYFUNCTION("""COMPUTED_VALUE"""),"Mike Darragh")</f>
        <v>Mike Darragh</v>
      </c>
      <c r="P262" t="str">
        <f>IFERROR(__xludf.DUMMYFUNCTION("""COMPUTED_VALUE"""),"Jimmy")</f>
        <v>Jimmy</v>
      </c>
      <c r="Q262" t="str">
        <f>IFERROR(__xludf.DUMMYFUNCTION("""COMPUTED_VALUE"""),"Good")</f>
        <v>Good</v>
      </c>
      <c r="R262" t="str">
        <f>IFERROR(__xludf.DUMMYFUNCTION("""COMPUTED_VALUE"""),"Good")</f>
        <v>Good</v>
      </c>
      <c r="S262" t="str">
        <f>IFERROR(__xludf.DUMMYFUNCTION("""COMPUTED_VALUE"""),"Good")</f>
        <v>Good</v>
      </c>
      <c r="T262" t="str">
        <f>IFERROR(__xludf.DUMMYFUNCTION("""COMPUTED_VALUE"""),"Good")</f>
        <v>Good</v>
      </c>
      <c r="U262" t="str">
        <f>IFERROR(__xludf.DUMMYFUNCTION("""COMPUTED_VALUE"""),"Good")</f>
        <v>Good</v>
      </c>
      <c r="V262" t="str">
        <f>IFERROR(__xludf.DUMMYFUNCTION("""COMPUTED_VALUE"""),"Good")</f>
        <v>Good</v>
      </c>
      <c r="W262" t="str">
        <f>IFERROR(__xludf.DUMMYFUNCTION("""COMPUTED_VALUE"""),"Good")</f>
        <v>Good</v>
      </c>
      <c r="X262" t="str">
        <f>IFERROR(__xludf.DUMMYFUNCTION("""COMPUTED_VALUE"""),"Good")</f>
        <v>Good</v>
      </c>
      <c r="Y262" t="str">
        <f>IFERROR(__xludf.DUMMYFUNCTION("""COMPUTED_VALUE"""),"Good")</f>
        <v>Good</v>
      </c>
      <c r="Z262" t="str">
        <f>IFERROR(__xludf.DUMMYFUNCTION("""COMPUTED_VALUE"""),"Good")</f>
        <v>Good</v>
      </c>
      <c r="AA262" t="str">
        <f>IFERROR(__xludf.DUMMYFUNCTION("""COMPUTED_VALUE"""),"Good")</f>
        <v>Good</v>
      </c>
      <c r="AB262" t="str">
        <f>IFERROR(__xludf.DUMMYFUNCTION("""COMPUTED_VALUE"""),"Good")</f>
        <v>Good</v>
      </c>
      <c r="AC262" t="str">
        <f>IFERROR(__xludf.DUMMYFUNCTION("""COMPUTED_VALUE"""),"Good")</f>
        <v>Good</v>
      </c>
      <c r="AE262" s="11"/>
      <c r="AF262" t="s">
        <v>32</v>
      </c>
      <c r="AG262" s="17" t="s">
        <v>18</v>
      </c>
      <c r="AH262" s="12">
        <v>1000.0</v>
      </c>
      <c r="AI262" s="12" t="s">
        <v>736</v>
      </c>
      <c r="AJ262" s="19" t="s">
        <v>737</v>
      </c>
      <c r="AK262" s="20" t="str">
        <f>HYPERLINK("https://docs.google.com/document/d/1THJY9npUUObsa_EIxEJih_JhyMtxohl0xQnwoTdyRVE/edit?usp=drivesdk","Jimmy - 3/4/2019 8:15 AM")</f>
        <v>Jimmy - 3/4/2019 8:15 AM</v>
      </c>
      <c r="AL262" s="12" t="s">
        <v>738</v>
      </c>
    </row>
    <row r="263">
      <c r="A263" s="10">
        <f>IFERROR(__xludf.DUMMYFUNCTION("""COMPUTED_VALUE"""),43528.659959641205)</f>
        <v>43528.65996</v>
      </c>
      <c r="B263" s="11" t="str">
        <f>IFERROR(__xludf.DUMMYFUNCTION("""COMPUTED_VALUE"""),"Silas Tanner")</f>
        <v>Silas Tanner</v>
      </c>
      <c r="C263" t="str">
        <f>IFERROR(__xludf.DUMMYFUNCTION("""COMPUTED_VALUE"""),"silas.tanner@floridadep.gov")</f>
        <v>silas.tanner@floridadep.gov</v>
      </c>
      <c r="D263" t="str">
        <f>IFERROR(__xludf.DUMMYFUNCTION("""COMPUTED_VALUE"""),"Research/Nikki")</f>
        <v>Research/Nikki</v>
      </c>
      <c r="E263" t="str">
        <f>IFERROR(__xludf.DUMMYFUNCTION("""COMPUTED_VALUE"""),"Vilano Landing")</f>
        <v>Vilano Landing</v>
      </c>
      <c r="F263" s="13">
        <f>IFERROR(__xludf.DUMMYFUNCTION("""COMPUTED_VALUE"""),0.3229166666678793)</f>
        <v>0.3229166667</v>
      </c>
      <c r="G263" s="14">
        <f>IFERROR(__xludf.DUMMYFUNCTION("""COMPUTED_VALUE"""),43528.0)</f>
        <v>43528</v>
      </c>
      <c r="H263" t="str">
        <f>IFERROR(__xludf.DUMMYFUNCTION("""COMPUTED_VALUE"""),"ICW SWMP Sites")</f>
        <v>ICW SWMP Sites</v>
      </c>
      <c r="I263" s="15">
        <f>IFERROR(__xludf.DUMMYFUNCTION("""COMPUTED_VALUE"""),0.5729166666678793)</f>
        <v>0.5729166667</v>
      </c>
      <c r="J263" s="16">
        <f>IFERROR(__xludf.DUMMYFUNCTION("""COMPUTED_VALUE"""),43528.58333333333)</f>
        <v>43528.58333</v>
      </c>
      <c r="K263" t="str">
        <f>IFERROR(__xludf.DUMMYFUNCTION("""COMPUTED_VALUE"""),"23ft Skiff (Bertha) FL7972LJ DEP07613")</f>
        <v>23ft Skiff (Bertha) FL7972LJ DEP07613</v>
      </c>
      <c r="M263" t="str">
        <f>IFERROR(__xludf.DUMMYFUNCTION("""COMPUTED_VALUE"""),"Ford F250 2017 (Moby Dix) - DEP0021578")</f>
        <v>Ford F250 2017 (Moby Dix) - DEP0021578</v>
      </c>
      <c r="N263" t="str">
        <f>IFERROR(__xludf.DUMMYFUNCTION("""COMPUTED_VALUE"""),"Silas Tanner, (904) 483-8423, Jimmy Tomazinis, (904) 547-0094")</f>
        <v>Silas Tanner, (904) 483-8423, Jimmy Tomazinis, (904) 547-0094</v>
      </c>
      <c r="O263" t="str">
        <f>IFERROR(__xludf.DUMMYFUNCTION("""COMPUTED_VALUE"""),"Casey McClure")</f>
        <v>Casey McClure</v>
      </c>
      <c r="P263" t="str">
        <f>IFERROR(__xludf.DUMMYFUNCTION("""COMPUTED_VALUE"""),"S. Tanner")</f>
        <v>S. Tanner</v>
      </c>
      <c r="Q263" t="str">
        <f>IFERROR(__xludf.DUMMYFUNCTION("""COMPUTED_VALUE"""),"Good")</f>
        <v>Good</v>
      </c>
      <c r="R263" t="str">
        <f>IFERROR(__xludf.DUMMYFUNCTION("""COMPUTED_VALUE"""),"Good")</f>
        <v>Good</v>
      </c>
      <c r="S263" t="str">
        <f>IFERROR(__xludf.DUMMYFUNCTION("""COMPUTED_VALUE"""),"Good")</f>
        <v>Good</v>
      </c>
      <c r="T263" t="str">
        <f>IFERROR(__xludf.DUMMYFUNCTION("""COMPUTED_VALUE"""),"Good")</f>
        <v>Good</v>
      </c>
      <c r="U263" t="str">
        <f>IFERROR(__xludf.DUMMYFUNCTION("""COMPUTED_VALUE"""),"Good")</f>
        <v>Good</v>
      </c>
      <c r="V263" t="str">
        <f>IFERROR(__xludf.DUMMYFUNCTION("""COMPUTED_VALUE"""),"Good")</f>
        <v>Good</v>
      </c>
      <c r="W263" t="str">
        <f>IFERROR(__xludf.DUMMYFUNCTION("""COMPUTED_VALUE"""),"Good")</f>
        <v>Good</v>
      </c>
      <c r="X263" t="str">
        <f>IFERROR(__xludf.DUMMYFUNCTION("""COMPUTED_VALUE"""),"Good")</f>
        <v>Good</v>
      </c>
      <c r="Y263" t="str">
        <f>IFERROR(__xludf.DUMMYFUNCTION("""COMPUTED_VALUE"""),"Good")</f>
        <v>Good</v>
      </c>
      <c r="Z263" t="str">
        <f>IFERROR(__xludf.DUMMYFUNCTION("""COMPUTED_VALUE"""),"Good")</f>
        <v>Good</v>
      </c>
      <c r="AA263" t="str">
        <f>IFERROR(__xludf.DUMMYFUNCTION("""COMPUTED_VALUE"""),"Good")</f>
        <v>Good</v>
      </c>
      <c r="AB263" t="str">
        <f>IFERROR(__xludf.DUMMYFUNCTION("""COMPUTED_VALUE"""),"Good")</f>
        <v>Good</v>
      </c>
      <c r="AC263" t="str">
        <f>IFERROR(__xludf.DUMMYFUNCTION("""COMPUTED_VALUE"""),"Good")</f>
        <v>Good</v>
      </c>
      <c r="AE263" s="11"/>
      <c r="AF263" t="s">
        <v>218</v>
      </c>
      <c r="AG263" s="17" t="s">
        <v>18</v>
      </c>
      <c r="AH263" s="12">
        <v>1310.0</v>
      </c>
      <c r="AI263" s="12" t="s">
        <v>739</v>
      </c>
      <c r="AJ263" s="19" t="s">
        <v>740</v>
      </c>
      <c r="AK263" s="20" t="str">
        <f>HYPERLINK("https://docs.google.com/document/d/1TJtSa6lbULLrc9i4aU81PsSx6hsWL8HJ2uszk5W7kv8/edit?usp=drivesdk","Silas Tanner - 3/4/2019 7:45 AM")</f>
        <v>Silas Tanner - 3/4/2019 7:45 AM</v>
      </c>
      <c r="AL263" s="12" t="s">
        <v>741</v>
      </c>
    </row>
    <row r="264">
      <c r="A264" s="10">
        <f>IFERROR(__xludf.DUMMYFUNCTION("""COMPUTED_VALUE"""),43535.44156988426)</f>
        <v>43535.44157</v>
      </c>
      <c r="B264" s="11" t="str">
        <f>IFERROR(__xludf.DUMMYFUNCTION("""COMPUTED_VALUE"""),"James Tomazinis")</f>
        <v>James Tomazinis</v>
      </c>
      <c r="C264" t="str">
        <f>IFERROR(__xludf.DUMMYFUNCTION("""COMPUTED_VALUE"""),"james.tomazinis@floridadep.gov")</f>
        <v>james.tomazinis@floridadep.gov</v>
      </c>
      <c r="D264" t="str">
        <f>IFERROR(__xludf.DUMMYFUNCTION("""COMPUTED_VALUE"""),"Stewardship (Aquatic)")</f>
        <v>Stewardship (Aquatic)</v>
      </c>
      <c r="E264" t="str">
        <f>IFERROR(__xludf.DUMMYFUNCTION("""COMPUTED_VALUE"""),"Vilano")</f>
        <v>Vilano</v>
      </c>
      <c r="F264" s="13">
        <f>IFERROR(__xludf.DUMMYFUNCTION("""COMPUTED_VALUE"""),0.3854166666678793)</f>
        <v>0.3854166667</v>
      </c>
      <c r="G264" s="14">
        <f>IFERROR(__xludf.DUMMYFUNCTION("""COMPUTED_VALUE"""),43536.0)</f>
        <v>43536</v>
      </c>
      <c r="H264" t="str">
        <f>IFERROR(__xludf.DUMMYFUNCTION("""COMPUTED_VALUE"""),"Tolomato Nekton sites")</f>
        <v>Tolomato Nekton sites</v>
      </c>
      <c r="I264" s="15">
        <f>IFERROR(__xludf.DUMMYFUNCTION("""COMPUTED_VALUE"""),0.6875)</f>
        <v>0.6875</v>
      </c>
      <c r="J264" s="16"/>
      <c r="K264" t="str">
        <f>IFERROR(__xludf.DUMMYFUNCTION("""COMPUTED_VALUE"""),"23ft Skiff (Bertha) FL7972LJ DEP07613")</f>
        <v>23ft Skiff (Bertha) FL7972LJ DEP07613</v>
      </c>
      <c r="M264" t="str">
        <f>IFERROR(__xludf.DUMMYFUNCTION("""COMPUTED_VALUE"""),"Ford F150 2015 (White) - DEP21448")</f>
        <v>Ford F150 2015 (White) - DEP21448</v>
      </c>
      <c r="N264" t="str">
        <f>IFERROR(__xludf.DUMMYFUNCTION("""COMPUTED_VALUE"""),"Jimmy Tomazinis, (904) 547-0094")</f>
        <v>Jimmy Tomazinis, (904) 547-0094</v>
      </c>
      <c r="O264" t="str">
        <f>IFERROR(__xludf.DUMMYFUNCTION("""COMPUTED_VALUE"""),"Mike Dickson, Chris Kurtz, Maddie Paris")</f>
        <v>Mike Dickson, Chris Kurtz, Maddie Paris</v>
      </c>
      <c r="P264" t="str">
        <f>IFERROR(__xludf.DUMMYFUNCTION("""COMPUTED_VALUE"""),"Jimmy")</f>
        <v>Jimmy</v>
      </c>
      <c r="Q264" t="str">
        <f>IFERROR(__xludf.DUMMYFUNCTION("""COMPUTED_VALUE"""),"Good")</f>
        <v>Good</v>
      </c>
      <c r="R264" t="str">
        <f>IFERROR(__xludf.DUMMYFUNCTION("""COMPUTED_VALUE"""),"Good")</f>
        <v>Good</v>
      </c>
      <c r="S264" t="str">
        <f>IFERROR(__xludf.DUMMYFUNCTION("""COMPUTED_VALUE"""),"Good")</f>
        <v>Good</v>
      </c>
      <c r="T264" t="str">
        <f>IFERROR(__xludf.DUMMYFUNCTION("""COMPUTED_VALUE"""),"Good")</f>
        <v>Good</v>
      </c>
      <c r="U264" t="str">
        <f>IFERROR(__xludf.DUMMYFUNCTION("""COMPUTED_VALUE"""),"Good")</f>
        <v>Good</v>
      </c>
      <c r="V264" t="str">
        <f>IFERROR(__xludf.DUMMYFUNCTION("""COMPUTED_VALUE"""),"Good")</f>
        <v>Good</v>
      </c>
      <c r="W264" t="str">
        <f>IFERROR(__xludf.DUMMYFUNCTION("""COMPUTED_VALUE"""),"Good")</f>
        <v>Good</v>
      </c>
      <c r="X264" t="str">
        <f>IFERROR(__xludf.DUMMYFUNCTION("""COMPUTED_VALUE"""),"Good")</f>
        <v>Good</v>
      </c>
      <c r="Y264" t="str">
        <f>IFERROR(__xludf.DUMMYFUNCTION("""COMPUTED_VALUE"""),"Good")</f>
        <v>Good</v>
      </c>
      <c r="Z264" t="str">
        <f>IFERROR(__xludf.DUMMYFUNCTION("""COMPUTED_VALUE"""),"Good")</f>
        <v>Good</v>
      </c>
      <c r="AA264" t="str">
        <f>IFERROR(__xludf.DUMMYFUNCTION("""COMPUTED_VALUE"""),"Good")</f>
        <v>Good</v>
      </c>
      <c r="AB264" t="str">
        <f>IFERROR(__xludf.DUMMYFUNCTION("""COMPUTED_VALUE"""),"Good")</f>
        <v>Good</v>
      </c>
      <c r="AC264" t="str">
        <f>IFERROR(__xludf.DUMMYFUNCTION("""COMPUTED_VALUE"""),"Good")</f>
        <v>Good</v>
      </c>
      <c r="AE264" s="11"/>
      <c r="AF264" t="s">
        <v>32</v>
      </c>
      <c r="AG264" s="17" t="s">
        <v>18</v>
      </c>
      <c r="AH264" s="12">
        <v>1625.0</v>
      </c>
      <c r="AI264" s="12" t="s">
        <v>742</v>
      </c>
      <c r="AJ264" s="19" t="s">
        <v>743</v>
      </c>
      <c r="AK264" s="20" t="str">
        <f>HYPERLINK("https://docs.google.com/document/d/16vjClCoqC7m3akVttcJyh9s3Hbn-CzZ-MyVW-Lji67g/edit?usp=drivesdk","James Tomazinis - 3/12/2019 9:15 AM")</f>
        <v>James Tomazinis - 3/12/2019 9:15 AM</v>
      </c>
      <c r="AL264" s="12" t="s">
        <v>744</v>
      </c>
    </row>
    <row r="265">
      <c r="A265" s="10">
        <f>IFERROR(__xludf.DUMMYFUNCTION("""COMPUTED_VALUE"""),43536.71336869213)</f>
        <v>43536.71337</v>
      </c>
      <c r="B265" s="11" t="str">
        <f>IFERROR(__xludf.DUMMYFUNCTION("""COMPUTED_VALUE"""),"James Tomazinis")</f>
        <v>James Tomazinis</v>
      </c>
      <c r="C265" t="str">
        <f>IFERROR(__xludf.DUMMYFUNCTION("""COMPUTED_VALUE"""),"james.tomazinis@floridadep.gov")</f>
        <v>james.tomazinis@floridadep.gov</v>
      </c>
      <c r="D265" t="str">
        <f>IFERROR(__xludf.DUMMYFUNCTION("""COMPUTED_VALUE"""),"Stewardship (Aquatic)")</f>
        <v>Stewardship (Aquatic)</v>
      </c>
      <c r="E265" t="str">
        <f>IFERROR(__xludf.DUMMYFUNCTION("""COMPUTED_VALUE"""),"Vilano")</f>
        <v>Vilano</v>
      </c>
      <c r="F265" s="13">
        <f>IFERROR(__xludf.DUMMYFUNCTION("""COMPUTED_VALUE"""),0.3854166666678793)</f>
        <v>0.3854166667</v>
      </c>
      <c r="G265" s="14">
        <f>IFERROR(__xludf.DUMMYFUNCTION("""COMPUTED_VALUE"""),43537.0)</f>
        <v>43537</v>
      </c>
      <c r="H265" t="str">
        <f>IFERROR(__xludf.DUMMYFUNCTION("""COMPUTED_VALUE"""),"Matanzas River Nekton Sites")</f>
        <v>Matanzas River Nekton Sites</v>
      </c>
      <c r="I265" s="15">
        <f>IFERROR(__xludf.DUMMYFUNCTION("""COMPUTED_VALUE"""),0.6875)</f>
        <v>0.6875</v>
      </c>
      <c r="J265" s="16"/>
      <c r="K265" t="str">
        <f>IFERROR(__xludf.DUMMYFUNCTION("""COMPUTED_VALUE"""),"23ft Skiff (Bertha) FL7972LJ DEP07613")</f>
        <v>23ft Skiff (Bertha) FL7972LJ DEP07613</v>
      </c>
      <c r="M265" t="str">
        <f>IFERROR(__xludf.DUMMYFUNCTION("""COMPUTED_VALUE"""),"Ford F150 2015 (White) - DEP21448")</f>
        <v>Ford F150 2015 (White) - DEP21448</v>
      </c>
      <c r="N265" t="str">
        <f>IFERROR(__xludf.DUMMYFUNCTION("""COMPUTED_VALUE"""),"Jimmy Tomazinis, (904) 547-0094")</f>
        <v>Jimmy Tomazinis, (904) 547-0094</v>
      </c>
      <c r="O265" t="str">
        <f>IFERROR(__xludf.DUMMYFUNCTION("""COMPUTED_VALUE"""),"Mike Dickson, Amy Brownfield, Jeff Finnan")</f>
        <v>Mike Dickson, Amy Brownfield, Jeff Finnan</v>
      </c>
      <c r="P265" t="str">
        <f>IFERROR(__xludf.DUMMYFUNCTION("""COMPUTED_VALUE"""),"Jimmy")</f>
        <v>Jimmy</v>
      </c>
      <c r="Q265" t="str">
        <f>IFERROR(__xludf.DUMMYFUNCTION("""COMPUTED_VALUE"""),"Good")</f>
        <v>Good</v>
      </c>
      <c r="R265" t="str">
        <f>IFERROR(__xludf.DUMMYFUNCTION("""COMPUTED_VALUE"""),"Good")</f>
        <v>Good</v>
      </c>
      <c r="S265" t="str">
        <f>IFERROR(__xludf.DUMMYFUNCTION("""COMPUTED_VALUE"""),"Good")</f>
        <v>Good</v>
      </c>
      <c r="T265" t="str">
        <f>IFERROR(__xludf.DUMMYFUNCTION("""COMPUTED_VALUE"""),"Good")</f>
        <v>Good</v>
      </c>
      <c r="U265" t="str">
        <f>IFERROR(__xludf.DUMMYFUNCTION("""COMPUTED_VALUE"""),"Good")</f>
        <v>Good</v>
      </c>
      <c r="V265" t="str">
        <f>IFERROR(__xludf.DUMMYFUNCTION("""COMPUTED_VALUE"""),"Good")</f>
        <v>Good</v>
      </c>
      <c r="W265" t="str">
        <f>IFERROR(__xludf.DUMMYFUNCTION("""COMPUTED_VALUE"""),"Good")</f>
        <v>Good</v>
      </c>
      <c r="X265" t="str">
        <f>IFERROR(__xludf.DUMMYFUNCTION("""COMPUTED_VALUE"""),"Good")</f>
        <v>Good</v>
      </c>
      <c r="Y265" t="str">
        <f>IFERROR(__xludf.DUMMYFUNCTION("""COMPUTED_VALUE"""),"Good")</f>
        <v>Good</v>
      </c>
      <c r="Z265" t="str">
        <f>IFERROR(__xludf.DUMMYFUNCTION("""COMPUTED_VALUE"""),"Good")</f>
        <v>Good</v>
      </c>
      <c r="AA265" t="str">
        <f>IFERROR(__xludf.DUMMYFUNCTION("""COMPUTED_VALUE"""),"Good")</f>
        <v>Good</v>
      </c>
      <c r="AB265" t="str">
        <f>IFERROR(__xludf.DUMMYFUNCTION("""COMPUTED_VALUE"""),"Good")</f>
        <v>Good</v>
      </c>
      <c r="AC265" t="str">
        <f>IFERROR(__xludf.DUMMYFUNCTION("""COMPUTED_VALUE"""),"Good")</f>
        <v>Good</v>
      </c>
      <c r="AE265" s="11"/>
      <c r="AF265" t="s">
        <v>32</v>
      </c>
      <c r="AG265" s="17" t="s">
        <v>18</v>
      </c>
      <c r="AH265" s="12">
        <v>165.0</v>
      </c>
      <c r="AI265" s="12" t="s">
        <v>745</v>
      </c>
      <c r="AJ265" s="19" t="s">
        <v>746</v>
      </c>
      <c r="AK265" s="20" t="str">
        <f>HYPERLINK("https://docs.google.com/document/d/1odhTpTLuy9rmKb4m7VExrlFUjNvK50mcGTUs0hW18L8/edit?usp=drivesdk","James Tomazinis - 3/13/2019 9:15 AM")</f>
        <v>James Tomazinis - 3/13/2019 9:15 AM</v>
      </c>
      <c r="AL265" s="12" t="s">
        <v>747</v>
      </c>
    </row>
    <row r="266">
      <c r="A266" s="10">
        <f>IFERROR(__xludf.DUMMYFUNCTION("""COMPUTED_VALUE"""),43537.742384652774)</f>
        <v>43537.74238</v>
      </c>
      <c r="B266" s="11" t="str">
        <f>IFERROR(__xludf.DUMMYFUNCTION("""COMPUTED_VALUE"""),"James Tomazinis")</f>
        <v>James Tomazinis</v>
      </c>
      <c r="C266" t="str">
        <f>IFERROR(__xludf.DUMMYFUNCTION("""COMPUTED_VALUE"""),"james.tomazinis@floridadep.gov")</f>
        <v>james.tomazinis@floridadep.gov</v>
      </c>
      <c r="D266" t="str">
        <f>IFERROR(__xludf.DUMMYFUNCTION("""COMPUTED_VALUE"""),"Stewardship (Aquatic)")</f>
        <v>Stewardship (Aquatic)</v>
      </c>
      <c r="E266" t="str">
        <f>IFERROR(__xludf.DUMMYFUNCTION("""COMPUTED_VALUE"""),"Bings")</f>
        <v>Bings</v>
      </c>
      <c r="F266" s="13">
        <f>IFERROR(__xludf.DUMMYFUNCTION("""COMPUTED_VALUE"""),0.4270833333321207)</f>
        <v>0.4270833333</v>
      </c>
      <c r="G266" s="14">
        <f>IFERROR(__xludf.DUMMYFUNCTION("""COMPUTED_VALUE"""),43538.0)</f>
        <v>43538</v>
      </c>
      <c r="H266" t="str">
        <f>IFERROR(__xludf.DUMMYFUNCTION("""COMPUTED_VALUE"""),"Nekton sites 18,19,20")</f>
        <v>Nekton sites 18,19,20</v>
      </c>
      <c r="I266" s="15">
        <f>IFERROR(__xludf.DUMMYFUNCTION("""COMPUTED_VALUE"""),0.5)</f>
        <v>0.5</v>
      </c>
      <c r="J266" s="16"/>
      <c r="K266" t="str">
        <f>IFERROR(__xludf.DUMMYFUNCTION("""COMPUTED_VALUE"""),"23ft Skiff (Bertha) FL7972LJ DEP07613")</f>
        <v>23ft Skiff (Bertha) FL7972LJ DEP07613</v>
      </c>
      <c r="M266" t="str">
        <f>IFERROR(__xludf.DUMMYFUNCTION("""COMPUTED_VALUE"""),"Ford F150 2015 (White) - DEP21448")</f>
        <v>Ford F150 2015 (White) - DEP21448</v>
      </c>
      <c r="N266" t="str">
        <f>IFERROR(__xludf.DUMMYFUNCTION("""COMPUTED_VALUE"""),"Jimmy Tomazinis, (904) 547-0094")</f>
        <v>Jimmy Tomazinis, (904) 547-0094</v>
      </c>
      <c r="O266" t="str">
        <f>IFERROR(__xludf.DUMMYFUNCTION("""COMPUTED_VALUE"""),"Jeff Finnan, Mike Dickson, Flagler students")</f>
        <v>Jeff Finnan, Mike Dickson, Flagler students</v>
      </c>
      <c r="P266" t="str">
        <f>IFERROR(__xludf.DUMMYFUNCTION("""COMPUTED_VALUE"""),"Jimmy")</f>
        <v>Jimmy</v>
      </c>
      <c r="Q266" t="str">
        <f>IFERROR(__xludf.DUMMYFUNCTION("""COMPUTED_VALUE"""),"Good")</f>
        <v>Good</v>
      </c>
      <c r="R266" t="str">
        <f>IFERROR(__xludf.DUMMYFUNCTION("""COMPUTED_VALUE"""),"Good")</f>
        <v>Good</v>
      </c>
      <c r="S266" t="str">
        <f>IFERROR(__xludf.DUMMYFUNCTION("""COMPUTED_VALUE"""),"Good")</f>
        <v>Good</v>
      </c>
      <c r="T266" t="str">
        <f>IFERROR(__xludf.DUMMYFUNCTION("""COMPUTED_VALUE"""),"Good")</f>
        <v>Good</v>
      </c>
      <c r="U266" t="str">
        <f>IFERROR(__xludf.DUMMYFUNCTION("""COMPUTED_VALUE"""),"Good")</f>
        <v>Good</v>
      </c>
      <c r="V266" t="str">
        <f>IFERROR(__xludf.DUMMYFUNCTION("""COMPUTED_VALUE"""),"Good")</f>
        <v>Good</v>
      </c>
      <c r="W266" t="str">
        <f>IFERROR(__xludf.DUMMYFUNCTION("""COMPUTED_VALUE"""),"Good")</f>
        <v>Good</v>
      </c>
      <c r="X266" t="str">
        <f>IFERROR(__xludf.DUMMYFUNCTION("""COMPUTED_VALUE"""),"Good")</f>
        <v>Good</v>
      </c>
      <c r="Y266" t="str">
        <f>IFERROR(__xludf.DUMMYFUNCTION("""COMPUTED_VALUE"""),"Good")</f>
        <v>Good</v>
      </c>
      <c r="Z266" t="str">
        <f>IFERROR(__xludf.DUMMYFUNCTION("""COMPUTED_VALUE"""),"Good")</f>
        <v>Good</v>
      </c>
      <c r="AA266" t="str">
        <f>IFERROR(__xludf.DUMMYFUNCTION("""COMPUTED_VALUE"""),"Good")</f>
        <v>Good</v>
      </c>
      <c r="AB266" t="str">
        <f>IFERROR(__xludf.DUMMYFUNCTION("""COMPUTED_VALUE"""),"Good")</f>
        <v>Good</v>
      </c>
      <c r="AC266" t="str">
        <f>IFERROR(__xludf.DUMMYFUNCTION("""COMPUTED_VALUE"""),"Good")</f>
        <v>Good</v>
      </c>
      <c r="AE266" s="11"/>
      <c r="AF266" t="s">
        <v>32</v>
      </c>
      <c r="AG266" s="17" t="s">
        <v>18</v>
      </c>
      <c r="AH266" s="12">
        <v>1235.0</v>
      </c>
      <c r="AI266" s="12" t="s">
        <v>748</v>
      </c>
      <c r="AJ266" s="19" t="s">
        <v>749</v>
      </c>
      <c r="AK266" s="20" t="str">
        <f>HYPERLINK("https://docs.google.com/document/d/1CE7RpdJaTh2JD6fLOPYtoqWGdMGQ2c8KX9dL8l5pYSk/edit?usp=drivesdk","James Tomazinis - 3/14/2019 10:15 AM")</f>
        <v>James Tomazinis - 3/14/2019 10:15 AM</v>
      </c>
      <c r="AL266" s="12" t="s">
        <v>750</v>
      </c>
    </row>
    <row r="267">
      <c r="A267" s="10">
        <f>IFERROR(__xludf.DUMMYFUNCTION("""COMPUTED_VALUE"""),43539.330928125)</f>
        <v>43539.33093</v>
      </c>
      <c r="B267" s="11" t="str">
        <f>IFERROR(__xludf.DUMMYFUNCTION("""COMPUTED_VALUE"""),"Pam Marcum")</f>
        <v>Pam Marcum</v>
      </c>
      <c r="C267" t="str">
        <f>IFERROR(__xludf.DUMMYFUNCTION("""COMPUTED_VALUE"""),"Pamela.Marcum@dep.state.fl.us")</f>
        <v>Pamela.Marcum@dep.state.fl.us</v>
      </c>
      <c r="D267" t="str">
        <f>IFERROR(__xludf.DUMMYFUNCTION("""COMPUTED_VALUE"""),"Research/Nikki")</f>
        <v>Research/Nikki</v>
      </c>
      <c r="E267" t="str">
        <f>IFERROR(__xludf.DUMMYFUNCTION("""COMPUTED_VALUE"""),"Palm Valley")</f>
        <v>Palm Valley</v>
      </c>
      <c r="F267" s="13">
        <f>IFERROR(__xludf.DUMMYFUNCTION("""COMPUTED_VALUE"""),0.3541666666678793)</f>
        <v>0.3541666667</v>
      </c>
      <c r="G267" s="14">
        <f>IFERROR(__xludf.DUMMYFUNCTION("""COMPUTED_VALUE"""),43539.0)</f>
        <v>43539</v>
      </c>
      <c r="H267" t="str">
        <f>IFERROR(__xludf.DUMMYFUNCTION("""COMPUTED_VALUE"""),"Tolomato River - Angelini Sites")</f>
        <v>Tolomato River - Angelini Sites</v>
      </c>
      <c r="I267" s="15">
        <f>IFERROR(__xludf.DUMMYFUNCTION("""COMPUTED_VALUE"""),0.625)</f>
        <v>0.625</v>
      </c>
      <c r="J267" s="16">
        <f>IFERROR(__xludf.DUMMYFUNCTION("""COMPUTED_VALUE"""),43539.64583333333)</f>
        <v>43539.64583</v>
      </c>
      <c r="K267" t="str">
        <f>IFERROR(__xludf.DUMMYFUNCTION("""COMPUTED_VALUE"""),"23ft Skiff (Bertha) FL7972LJ DEP07613")</f>
        <v>23ft Skiff (Bertha) FL7972LJ DEP07613</v>
      </c>
      <c r="M267" t="str">
        <f>IFERROR(__xludf.DUMMYFUNCTION("""COMPUTED_VALUE"""),"Ford F150 2015 (White) - DEP21448")</f>
        <v>Ford F150 2015 (White) - DEP21448</v>
      </c>
      <c r="N267" t="str">
        <f>IFERROR(__xludf.DUMMYFUNCTION("""COMPUTED_VALUE"""),"Pam Marcum, (480) 332-5414")</f>
        <v>Pam Marcum, (480) 332-5414</v>
      </c>
      <c r="O267" t="str">
        <f>IFERROR(__xludf.DUMMYFUNCTION("""COMPUTED_VALUE"""),"Patrick Norby")</f>
        <v>Patrick Norby</v>
      </c>
      <c r="P267" t="str">
        <f>IFERROR(__xludf.DUMMYFUNCTION("""COMPUTED_VALUE"""),"Pam")</f>
        <v>Pam</v>
      </c>
      <c r="Q267" t="str">
        <f>IFERROR(__xludf.DUMMYFUNCTION("""COMPUTED_VALUE"""),"Good")</f>
        <v>Good</v>
      </c>
      <c r="R267" t="str">
        <f>IFERROR(__xludf.DUMMYFUNCTION("""COMPUTED_VALUE"""),"Good")</f>
        <v>Good</v>
      </c>
      <c r="S267" t="str">
        <f>IFERROR(__xludf.DUMMYFUNCTION("""COMPUTED_VALUE"""),"Good")</f>
        <v>Good</v>
      </c>
      <c r="T267" t="str">
        <f>IFERROR(__xludf.DUMMYFUNCTION("""COMPUTED_VALUE"""),"Good")</f>
        <v>Good</v>
      </c>
      <c r="U267" t="str">
        <f>IFERROR(__xludf.DUMMYFUNCTION("""COMPUTED_VALUE"""),"Good")</f>
        <v>Good</v>
      </c>
      <c r="V267" t="str">
        <f>IFERROR(__xludf.DUMMYFUNCTION("""COMPUTED_VALUE"""),"Good")</f>
        <v>Good</v>
      </c>
      <c r="W267" t="str">
        <f>IFERROR(__xludf.DUMMYFUNCTION("""COMPUTED_VALUE"""),"Good")</f>
        <v>Good</v>
      </c>
      <c r="X267" t="str">
        <f>IFERROR(__xludf.DUMMYFUNCTION("""COMPUTED_VALUE"""),"Good")</f>
        <v>Good</v>
      </c>
      <c r="Y267" t="str">
        <f>IFERROR(__xludf.DUMMYFUNCTION("""COMPUTED_VALUE"""),"Good")</f>
        <v>Good</v>
      </c>
      <c r="Z267" t="str">
        <f>IFERROR(__xludf.DUMMYFUNCTION("""COMPUTED_VALUE"""),"Good")</f>
        <v>Good</v>
      </c>
      <c r="AA267" t="str">
        <f>IFERROR(__xludf.DUMMYFUNCTION("""COMPUTED_VALUE"""),"Good")</f>
        <v>Good</v>
      </c>
      <c r="AB267" t="str">
        <f>IFERROR(__xludf.DUMMYFUNCTION("""COMPUTED_VALUE"""),"Good")</f>
        <v>Good</v>
      </c>
      <c r="AC267" t="str">
        <f>IFERROR(__xludf.DUMMYFUNCTION("""COMPUTED_VALUE"""),"Good")</f>
        <v>Good</v>
      </c>
      <c r="AE267" s="11"/>
      <c r="AF267" t="s">
        <v>218</v>
      </c>
      <c r="AG267" s="17" t="s">
        <v>18</v>
      </c>
      <c r="AH267" s="12">
        <v>1515.0</v>
      </c>
      <c r="AI267" s="12" t="s">
        <v>751</v>
      </c>
      <c r="AJ267" s="19" t="s">
        <v>752</v>
      </c>
      <c r="AK267" s="20" t="str">
        <f>HYPERLINK("https://docs.google.com/document/d/1jnJsXS29HDOhrHeQq8n7gliU6CgrEEMc5ofm0gMZrKk/edit?usp=drivesdk","Pam Marcum - 3/15/2019 8:30 AM")</f>
        <v>Pam Marcum - 3/15/2019 8:30 AM</v>
      </c>
      <c r="AL267" s="12" t="s">
        <v>753</v>
      </c>
    </row>
    <row r="268">
      <c r="A268" s="10">
        <f>IFERROR(__xludf.DUMMYFUNCTION("""COMPUTED_VALUE"""),43543.30873454861)</f>
        <v>43543.30873</v>
      </c>
      <c r="B268" s="11" t="str">
        <f>IFERROR(__xludf.DUMMYFUNCTION("""COMPUTED_VALUE"""),"Silas Tanner")</f>
        <v>Silas Tanner</v>
      </c>
      <c r="C268" t="str">
        <f>IFERROR(__xludf.DUMMYFUNCTION("""COMPUTED_VALUE"""),"silas.tanner@floridadep.gov")</f>
        <v>silas.tanner@floridadep.gov</v>
      </c>
      <c r="D268" t="str">
        <f>IFERROR(__xludf.DUMMYFUNCTION("""COMPUTED_VALUE"""),"Research/Shannon")</f>
        <v>Research/Shannon</v>
      </c>
      <c r="E268" t="str">
        <f>IFERROR(__xludf.DUMMYFUNCTION("""COMPUTED_VALUE"""),"Vilano Landing")</f>
        <v>Vilano Landing</v>
      </c>
      <c r="F268" s="13">
        <f>IFERROR(__xludf.DUMMYFUNCTION("""COMPUTED_VALUE"""),0.3229166666678793)</f>
        <v>0.3229166667</v>
      </c>
      <c r="G268" s="14">
        <f>IFERROR(__xludf.DUMMYFUNCTION("""COMPUTED_VALUE"""),43543.0)</f>
        <v>43543</v>
      </c>
      <c r="H268" t="str">
        <f>IFERROR(__xludf.DUMMYFUNCTION("""COMPUTED_VALUE"""),"ICW SWMP sites")</f>
        <v>ICW SWMP sites</v>
      </c>
      <c r="I268" s="15">
        <f>IFERROR(__xludf.DUMMYFUNCTION("""COMPUTED_VALUE"""),0.5416666666678793)</f>
        <v>0.5416666667</v>
      </c>
      <c r="J268" s="16">
        <f>IFERROR(__xludf.DUMMYFUNCTION("""COMPUTED_VALUE"""),43543.55208333333)</f>
        <v>43543.55208</v>
      </c>
      <c r="K268" t="str">
        <f>IFERROR(__xludf.DUMMYFUNCTION("""COMPUTED_VALUE"""),"20ft Sea Ark FL5351SJ UNF 2015")</f>
        <v>20ft Sea Ark FL5351SJ UNF 2015</v>
      </c>
      <c r="M268" t="str">
        <f>IFERROR(__xludf.DUMMYFUNCTION("""COMPUTED_VALUE"""),"Ford F250 2017 (Moby Dix) - DEP0021578")</f>
        <v>Ford F250 2017 (Moby Dix) - DEP0021578</v>
      </c>
      <c r="N268" t="str">
        <f>IFERROR(__xludf.DUMMYFUNCTION("""COMPUTED_VALUE"""),"Silas Tanner, (904) 483-8423")</f>
        <v>Silas Tanner, (904) 483-8423</v>
      </c>
      <c r="O268" t="str">
        <f>IFERROR(__xludf.DUMMYFUNCTION("""COMPUTED_VALUE"""),"Remo Mondazzi")</f>
        <v>Remo Mondazzi</v>
      </c>
      <c r="P268" t="str">
        <f>IFERROR(__xludf.DUMMYFUNCTION("""COMPUTED_VALUE"""),"S. Tanner")</f>
        <v>S. Tanner</v>
      </c>
      <c r="Q268" t="str">
        <f>IFERROR(__xludf.DUMMYFUNCTION("""COMPUTED_VALUE"""),"Good")</f>
        <v>Good</v>
      </c>
      <c r="R268" t="str">
        <f>IFERROR(__xludf.DUMMYFUNCTION("""COMPUTED_VALUE"""),"Good")</f>
        <v>Good</v>
      </c>
      <c r="S268" t="str">
        <f>IFERROR(__xludf.DUMMYFUNCTION("""COMPUTED_VALUE"""),"Good")</f>
        <v>Good</v>
      </c>
      <c r="T268" t="str">
        <f>IFERROR(__xludf.DUMMYFUNCTION("""COMPUTED_VALUE"""),"Good")</f>
        <v>Good</v>
      </c>
      <c r="U268" t="str">
        <f>IFERROR(__xludf.DUMMYFUNCTION("""COMPUTED_VALUE"""),"Good")</f>
        <v>Good</v>
      </c>
      <c r="V268" t="str">
        <f>IFERROR(__xludf.DUMMYFUNCTION("""COMPUTED_VALUE"""),"Good")</f>
        <v>Good</v>
      </c>
      <c r="W268" t="str">
        <f>IFERROR(__xludf.DUMMYFUNCTION("""COMPUTED_VALUE"""),"Good")</f>
        <v>Good</v>
      </c>
      <c r="X268" t="str">
        <f>IFERROR(__xludf.DUMMYFUNCTION("""COMPUTED_VALUE"""),"Good")</f>
        <v>Good</v>
      </c>
      <c r="Y268" t="str">
        <f>IFERROR(__xludf.DUMMYFUNCTION("""COMPUTED_VALUE"""),"Good")</f>
        <v>Good</v>
      </c>
      <c r="Z268" t="str">
        <f>IFERROR(__xludf.DUMMYFUNCTION("""COMPUTED_VALUE"""),"Good")</f>
        <v>Good</v>
      </c>
      <c r="AA268" t="str">
        <f>IFERROR(__xludf.DUMMYFUNCTION("""COMPUTED_VALUE"""),"Good")</f>
        <v>Good</v>
      </c>
      <c r="AB268" t="str">
        <f>IFERROR(__xludf.DUMMYFUNCTION("""COMPUTED_VALUE"""),"Good")</f>
        <v>Good</v>
      </c>
      <c r="AC268" t="str">
        <f>IFERROR(__xludf.DUMMYFUNCTION("""COMPUTED_VALUE"""),"Good")</f>
        <v>Good</v>
      </c>
      <c r="AE268" s="11"/>
      <c r="AF268" t="s">
        <v>269</v>
      </c>
      <c r="AG268" s="17" t="s">
        <v>18</v>
      </c>
      <c r="AH268" s="12">
        <v>1215.0</v>
      </c>
      <c r="AI268" s="12" t="s">
        <v>754</v>
      </c>
      <c r="AJ268" s="19" t="s">
        <v>755</v>
      </c>
      <c r="AK268" s="20" t="str">
        <f>HYPERLINK("https://docs.google.com/document/d/1VtQ18zcO7flR4xUlRI4xlQwk7HLbxifr5GREZNqxXeE/edit?usp=drivesdk","Silas Tanner - 3/19/2019 7:45 AM")</f>
        <v>Silas Tanner - 3/19/2019 7:45 AM</v>
      </c>
      <c r="AL268" s="12" t="s">
        <v>756</v>
      </c>
    </row>
    <row r="269">
      <c r="A269" s="10">
        <f>IFERROR(__xludf.DUMMYFUNCTION("""COMPUTED_VALUE"""),43553.375526840275)</f>
        <v>43553.37553</v>
      </c>
      <c r="B269" s="11" t="str">
        <f>IFERROR(__xludf.DUMMYFUNCTION("""COMPUTED_VALUE"""),"Pam Marcum")</f>
        <v>Pam Marcum</v>
      </c>
      <c r="C269" t="str">
        <f>IFERROR(__xludf.DUMMYFUNCTION("""COMPUTED_VALUE"""),"Pamela.Marcum@dep.state.fl.us")</f>
        <v>Pamela.Marcum@dep.state.fl.us</v>
      </c>
      <c r="D269" t="str">
        <f>IFERROR(__xludf.DUMMYFUNCTION("""COMPUTED_VALUE"""),"Research/Nikki")</f>
        <v>Research/Nikki</v>
      </c>
      <c r="E269" t="str">
        <f>IFERROR(__xludf.DUMMYFUNCTION("""COMPUTED_VALUE"""),"Green Rd")</f>
        <v>Green Rd</v>
      </c>
      <c r="F269" s="13">
        <f>IFERROR(__xludf.DUMMYFUNCTION("""COMPUTED_VALUE"""),0.4166666666678793)</f>
        <v>0.4166666667</v>
      </c>
      <c r="G269" s="14">
        <f>IFERROR(__xludf.DUMMYFUNCTION("""COMPUTED_VALUE"""),43553.0)</f>
        <v>43553</v>
      </c>
      <c r="H269" t="str">
        <f>IFERROR(__xludf.DUMMYFUNCTION("""COMPUTED_VALUE"""),"Moses Creek Platforms")</f>
        <v>Moses Creek Platforms</v>
      </c>
      <c r="I269" s="15">
        <f>IFERROR(__xludf.DUMMYFUNCTION("""COMPUTED_VALUE"""),0.6666666666678793)</f>
        <v>0.6666666667</v>
      </c>
      <c r="J269" s="16">
        <f>IFERROR(__xludf.DUMMYFUNCTION("""COMPUTED_VALUE"""),43553.69791666667)</f>
        <v>43553.69792</v>
      </c>
      <c r="K269" t="str">
        <f>IFERROR(__xludf.DUMMYFUNCTION("""COMPUTED_VALUE"""),"23ft Skiff (Bertha) FL7972LJ DEP07613")</f>
        <v>23ft Skiff (Bertha) FL7972LJ DEP07613</v>
      </c>
      <c r="M269" t="str">
        <f>IFERROR(__xludf.DUMMYFUNCTION("""COMPUTED_VALUE"""),"Ford F150 2008 - DEP18041 (SWMP Thing)")</f>
        <v>Ford F150 2008 - DEP18041 (SWMP Thing)</v>
      </c>
      <c r="N269" t="str">
        <f>IFERROR(__xludf.DUMMYFUNCTION("""COMPUTED_VALUE"""),"Pam Marcum, (480) 332-5414")</f>
        <v>Pam Marcum, (480) 332-5414</v>
      </c>
      <c r="O269" t="str">
        <f>IFERROR(__xludf.DUMMYFUNCTION("""COMPUTED_VALUE"""),"Jessica Lee")</f>
        <v>Jessica Lee</v>
      </c>
      <c r="P269" t="str">
        <f>IFERROR(__xludf.DUMMYFUNCTION("""COMPUTED_VALUE"""),"Pam")</f>
        <v>Pam</v>
      </c>
      <c r="Q269" t="str">
        <f>IFERROR(__xludf.DUMMYFUNCTION("""COMPUTED_VALUE"""),"Good")</f>
        <v>Good</v>
      </c>
      <c r="R269" t="str">
        <f>IFERROR(__xludf.DUMMYFUNCTION("""COMPUTED_VALUE"""),"Good")</f>
        <v>Good</v>
      </c>
      <c r="S269" t="str">
        <f>IFERROR(__xludf.DUMMYFUNCTION("""COMPUTED_VALUE"""),"Good")</f>
        <v>Good</v>
      </c>
      <c r="T269" t="str">
        <f>IFERROR(__xludf.DUMMYFUNCTION("""COMPUTED_VALUE"""),"Good")</f>
        <v>Good</v>
      </c>
      <c r="U269" t="str">
        <f>IFERROR(__xludf.DUMMYFUNCTION("""COMPUTED_VALUE"""),"Good")</f>
        <v>Good</v>
      </c>
      <c r="V269" t="str">
        <f>IFERROR(__xludf.DUMMYFUNCTION("""COMPUTED_VALUE"""),"Good")</f>
        <v>Good</v>
      </c>
      <c r="W269" t="str">
        <f>IFERROR(__xludf.DUMMYFUNCTION("""COMPUTED_VALUE"""),"Good")</f>
        <v>Good</v>
      </c>
      <c r="X269" t="str">
        <f>IFERROR(__xludf.DUMMYFUNCTION("""COMPUTED_VALUE"""),"Good")</f>
        <v>Good</v>
      </c>
      <c r="Y269" t="str">
        <f>IFERROR(__xludf.DUMMYFUNCTION("""COMPUTED_VALUE"""),"Good")</f>
        <v>Good</v>
      </c>
      <c r="Z269" t="str">
        <f>IFERROR(__xludf.DUMMYFUNCTION("""COMPUTED_VALUE"""),"Good")</f>
        <v>Good</v>
      </c>
      <c r="AA269" t="str">
        <f>IFERROR(__xludf.DUMMYFUNCTION("""COMPUTED_VALUE"""),"Good")</f>
        <v>Good</v>
      </c>
      <c r="AB269" t="str">
        <f>IFERROR(__xludf.DUMMYFUNCTION("""COMPUTED_VALUE"""),"Good")</f>
        <v>Good</v>
      </c>
      <c r="AC269" t="str">
        <f>IFERROR(__xludf.DUMMYFUNCTION("""COMPUTED_VALUE"""),"Good")</f>
        <v>Good</v>
      </c>
      <c r="AE269" s="11"/>
      <c r="AF269" t="s">
        <v>218</v>
      </c>
      <c r="AG269" s="17" t="s">
        <v>115</v>
      </c>
      <c r="AH269" s="12">
        <v>1540.0</v>
      </c>
      <c r="AI269" s="12" t="s">
        <v>757</v>
      </c>
      <c r="AJ269" s="19" t="s">
        <v>758</v>
      </c>
      <c r="AK269" s="20" t="str">
        <f>HYPERLINK("https://docs.google.com/document/d/1L1BhSBkasbBc33FaIlGEUy1QJoKlaM_Jtc_EQeyB6rE/edit?usp=drivesdk","Pam Marcum - 3/29/2019 10:00 AM")</f>
        <v>Pam Marcum - 3/29/2019 10:00 AM</v>
      </c>
      <c r="AL269" s="12" t="s">
        <v>759</v>
      </c>
    </row>
    <row r="270">
      <c r="A270" s="10">
        <f>IFERROR(__xludf.DUMMYFUNCTION("""COMPUTED_VALUE"""),43555.42901400463)</f>
        <v>43555.42901</v>
      </c>
      <c r="B270" s="11" t="str">
        <f>IFERROR(__xludf.DUMMYFUNCTION("""COMPUTED_VALUE"""),"Pam Marcum")</f>
        <v>Pam Marcum</v>
      </c>
      <c r="C270" t="str">
        <f>IFERROR(__xludf.DUMMYFUNCTION("""COMPUTED_VALUE"""),"Pamela.Marcum@floridadep.gov")</f>
        <v>Pamela.Marcum@floridadep.gov</v>
      </c>
      <c r="D270" t="str">
        <f>IFERROR(__xludf.DUMMYFUNCTION("""COMPUTED_VALUE"""),"Research/Nikki")</f>
        <v>Research/Nikki</v>
      </c>
      <c r="E270" t="str">
        <f>IFERROR(__xludf.DUMMYFUNCTION("""COMPUTED_VALUE"""),"Shore, green, bings, lighthouse")</f>
        <v>Shore, green, bings, lighthouse</v>
      </c>
      <c r="F270" s="13">
        <f>IFERROR(__xludf.DUMMYFUNCTION("""COMPUTED_VALUE"""),0.4270833333321207)</f>
        <v>0.4270833333</v>
      </c>
      <c r="G270" s="14">
        <f>IFERROR(__xludf.DUMMYFUNCTION("""COMPUTED_VALUE"""),43555.0)</f>
        <v>43555</v>
      </c>
      <c r="H270" t="str">
        <f>IFERROR(__xludf.DUMMYFUNCTION("""COMPUTED_VALUE"""),"Spat trees")</f>
        <v>Spat trees</v>
      </c>
      <c r="I270" s="15">
        <f>IFERROR(__xludf.DUMMYFUNCTION("""COMPUTED_VALUE"""),0.7083333333321207)</f>
        <v>0.7083333333</v>
      </c>
      <c r="J270" s="16">
        <f>IFERROR(__xludf.DUMMYFUNCTION("""COMPUTED_VALUE"""),43555.71875)</f>
        <v>43555.71875</v>
      </c>
      <c r="K270" t="str">
        <f>IFERROR(__xludf.DUMMYFUNCTION("""COMPUTED_VALUE"""),"20ft Sea Ark FL5351SJ UNF 2015")</f>
        <v>20ft Sea Ark FL5351SJ UNF 2015</v>
      </c>
      <c r="M270" t="str">
        <f>IFERROR(__xludf.DUMMYFUNCTION("""COMPUTED_VALUE"""),"Ford F150 2008 - DEP18041 (SWMP Thing)")</f>
        <v>Ford F150 2008 - DEP18041 (SWMP Thing)</v>
      </c>
      <c r="N270" t="str">
        <f>IFERROR(__xludf.DUMMYFUNCTION("""COMPUTED_VALUE"""),"Joseph Burgess, (904) 599-2723")</f>
        <v>Joseph Burgess, (904) 599-2723</v>
      </c>
      <c r="O270" t="str">
        <f>IFERROR(__xludf.DUMMYFUNCTION("""COMPUTED_VALUE"""),"Nicole Peckham, Joey Turvey")</f>
        <v>Nicole Peckham, Joey Turvey</v>
      </c>
      <c r="P270" t="str">
        <f>IFERROR(__xludf.DUMMYFUNCTION("""COMPUTED_VALUE"""),"Pam")</f>
        <v>Pam</v>
      </c>
      <c r="Q270" t="str">
        <f>IFERROR(__xludf.DUMMYFUNCTION("""COMPUTED_VALUE"""),"Good")</f>
        <v>Good</v>
      </c>
      <c r="R270" t="str">
        <f>IFERROR(__xludf.DUMMYFUNCTION("""COMPUTED_VALUE"""),"Good")</f>
        <v>Good</v>
      </c>
      <c r="S270" t="str">
        <f>IFERROR(__xludf.DUMMYFUNCTION("""COMPUTED_VALUE"""),"Good")</f>
        <v>Good</v>
      </c>
      <c r="T270" t="str">
        <f>IFERROR(__xludf.DUMMYFUNCTION("""COMPUTED_VALUE"""),"Good")</f>
        <v>Good</v>
      </c>
      <c r="U270" t="str">
        <f>IFERROR(__xludf.DUMMYFUNCTION("""COMPUTED_VALUE"""),"Good")</f>
        <v>Good</v>
      </c>
      <c r="V270" t="str">
        <f>IFERROR(__xludf.DUMMYFUNCTION("""COMPUTED_VALUE"""),"Good")</f>
        <v>Good</v>
      </c>
      <c r="W270" t="str">
        <f>IFERROR(__xludf.DUMMYFUNCTION("""COMPUTED_VALUE"""),"Good")</f>
        <v>Good</v>
      </c>
      <c r="X270" t="str">
        <f>IFERROR(__xludf.DUMMYFUNCTION("""COMPUTED_VALUE"""),"Good")</f>
        <v>Good</v>
      </c>
      <c r="Y270" t="str">
        <f>IFERROR(__xludf.DUMMYFUNCTION("""COMPUTED_VALUE"""),"Good")</f>
        <v>Good</v>
      </c>
      <c r="Z270" t="str">
        <f>IFERROR(__xludf.DUMMYFUNCTION("""COMPUTED_VALUE"""),"Good")</f>
        <v>Good</v>
      </c>
      <c r="AA270" t="str">
        <f>IFERROR(__xludf.DUMMYFUNCTION("""COMPUTED_VALUE"""),"Good")</f>
        <v>Good</v>
      </c>
      <c r="AB270" t="str">
        <f>IFERROR(__xludf.DUMMYFUNCTION("""COMPUTED_VALUE"""),"Good")</f>
        <v>Good</v>
      </c>
      <c r="AC270" t="str">
        <f>IFERROR(__xludf.DUMMYFUNCTION("""COMPUTED_VALUE"""),"Good")</f>
        <v>Good</v>
      </c>
      <c r="AE270" s="11"/>
      <c r="AF270" t="s">
        <v>218</v>
      </c>
      <c r="AG270" s="17" t="s">
        <v>43</v>
      </c>
      <c r="AH270" s="12">
        <v>1545.0</v>
      </c>
      <c r="AI270" s="12" t="s">
        <v>760</v>
      </c>
      <c r="AJ270" s="19" t="s">
        <v>761</v>
      </c>
      <c r="AK270" s="20" t="str">
        <f>HYPERLINK("https://docs.google.com/document/d/1Dzim86Y4YGT_YVul2rHTGacthfweWnqj2ROmmM8TFk0/edit?usp=drivesdk","Pam Marcum - 3/31/2019 10:15 AM")</f>
        <v>Pam Marcum - 3/31/2019 10:15 AM</v>
      </c>
      <c r="AL270" s="12" t="s">
        <v>762</v>
      </c>
    </row>
    <row r="271">
      <c r="A271" s="10">
        <f>IFERROR(__xludf.DUMMYFUNCTION("""COMPUTED_VALUE"""),43556.41098934028)</f>
        <v>43556.41099</v>
      </c>
      <c r="B271" s="11" t="str">
        <f>IFERROR(__xludf.DUMMYFUNCTION("""COMPUTED_VALUE"""),"Pamela Marcum")</f>
        <v>Pamela Marcum</v>
      </c>
      <c r="C271" t="str">
        <f>IFERROR(__xludf.DUMMYFUNCTION("""COMPUTED_VALUE"""),"Pamela.Marcum@dep.state.fl.us")</f>
        <v>Pamela.Marcum@dep.state.fl.us</v>
      </c>
      <c r="D271" t="str">
        <f>IFERROR(__xludf.DUMMYFUNCTION("""COMPUTED_VALUE"""),"Research/Nikki")</f>
        <v>Research/Nikki</v>
      </c>
      <c r="E271" t="str">
        <f>IFERROR(__xludf.DUMMYFUNCTION("""COMPUTED_VALUE"""),"Aunt Kates")</f>
        <v>Aunt Kates</v>
      </c>
      <c r="F271" s="13">
        <f>IFERROR(__xludf.DUMMYFUNCTION("""COMPUTED_VALUE"""),0.5)</f>
        <v>0.5</v>
      </c>
      <c r="G271" s="14">
        <f>IFERROR(__xludf.DUMMYFUNCTION("""COMPUTED_VALUE"""),43556.0)</f>
        <v>43556</v>
      </c>
      <c r="H271" t="str">
        <f>IFERROR(__xludf.DUMMYFUNCTION("""COMPUTED_VALUE"""),"Tolomato and Guana spat trees")</f>
        <v>Tolomato and Guana spat trees</v>
      </c>
      <c r="I271" s="15">
        <f>IFERROR(__xludf.DUMMYFUNCTION("""COMPUTED_VALUE"""),0.6666666666678793)</f>
        <v>0.6666666667</v>
      </c>
      <c r="J271" s="16">
        <f>IFERROR(__xludf.DUMMYFUNCTION("""COMPUTED_VALUE"""),43556.6875)</f>
        <v>43556.6875</v>
      </c>
      <c r="K271" t="str">
        <f>IFERROR(__xludf.DUMMYFUNCTION("""COMPUTED_VALUE"""),"20ft Sea Ark FL5351SJ UNF 2015")</f>
        <v>20ft Sea Ark FL5351SJ UNF 2015</v>
      </c>
      <c r="M271" t="str">
        <f>IFERROR(__xludf.DUMMYFUNCTION("""COMPUTED_VALUE"""),"Ford F150 2008 - DEP18041 (SWMP Thing)")</f>
        <v>Ford F150 2008 - DEP18041 (SWMP Thing)</v>
      </c>
      <c r="N271" t="str">
        <f>IFERROR(__xludf.DUMMYFUNCTION("""COMPUTED_VALUE"""),"Pam Marcum, (480) 332-5414")</f>
        <v>Pam Marcum, (480) 332-5414</v>
      </c>
      <c r="O271" t="str">
        <f>IFERROR(__xludf.DUMMYFUNCTION("""COMPUTED_VALUE"""),"Adrienne Breef-Pilz, Nicole Peckham")</f>
        <v>Adrienne Breef-Pilz, Nicole Peckham</v>
      </c>
      <c r="P271" t="str">
        <f>IFERROR(__xludf.DUMMYFUNCTION("""COMPUTED_VALUE"""),"Pam")</f>
        <v>Pam</v>
      </c>
      <c r="Q271" t="str">
        <f>IFERROR(__xludf.DUMMYFUNCTION("""COMPUTED_VALUE"""),"Good")</f>
        <v>Good</v>
      </c>
      <c r="R271" t="str">
        <f>IFERROR(__xludf.DUMMYFUNCTION("""COMPUTED_VALUE"""),"Good")</f>
        <v>Good</v>
      </c>
      <c r="S271" t="str">
        <f>IFERROR(__xludf.DUMMYFUNCTION("""COMPUTED_VALUE"""),"Good")</f>
        <v>Good</v>
      </c>
      <c r="T271" t="str">
        <f>IFERROR(__xludf.DUMMYFUNCTION("""COMPUTED_VALUE"""),"Good")</f>
        <v>Good</v>
      </c>
      <c r="U271" t="str">
        <f>IFERROR(__xludf.DUMMYFUNCTION("""COMPUTED_VALUE"""),"Good")</f>
        <v>Good</v>
      </c>
      <c r="V271" t="str">
        <f>IFERROR(__xludf.DUMMYFUNCTION("""COMPUTED_VALUE"""),"Good")</f>
        <v>Good</v>
      </c>
      <c r="W271" t="str">
        <f>IFERROR(__xludf.DUMMYFUNCTION("""COMPUTED_VALUE"""),"Good")</f>
        <v>Good</v>
      </c>
      <c r="X271" t="str">
        <f>IFERROR(__xludf.DUMMYFUNCTION("""COMPUTED_VALUE"""),"Good")</f>
        <v>Good</v>
      </c>
      <c r="Y271" t="str">
        <f>IFERROR(__xludf.DUMMYFUNCTION("""COMPUTED_VALUE"""),"Good")</f>
        <v>Good</v>
      </c>
      <c r="Z271" t="str">
        <f>IFERROR(__xludf.DUMMYFUNCTION("""COMPUTED_VALUE"""),"Good")</f>
        <v>Good</v>
      </c>
      <c r="AA271" t="str">
        <f>IFERROR(__xludf.DUMMYFUNCTION("""COMPUTED_VALUE"""),"Good")</f>
        <v>Good</v>
      </c>
      <c r="AB271" t="str">
        <f>IFERROR(__xludf.DUMMYFUNCTION("""COMPUTED_VALUE"""),"Good")</f>
        <v>Good</v>
      </c>
      <c r="AC271" t="str">
        <f>IFERROR(__xludf.DUMMYFUNCTION("""COMPUTED_VALUE"""),"Good")</f>
        <v>Good</v>
      </c>
      <c r="AE271" s="11"/>
      <c r="AF271" t="s">
        <v>218</v>
      </c>
      <c r="AG271" s="17" t="s">
        <v>43</v>
      </c>
      <c r="AH271" s="12">
        <v>1610.0</v>
      </c>
      <c r="AI271" s="12" t="s">
        <v>763</v>
      </c>
      <c r="AJ271" s="19" t="s">
        <v>764</v>
      </c>
      <c r="AK271" s="20" t="str">
        <f>HYPERLINK("https://docs.google.com/document/d/1mBCEfKk4M0GnmEfttHkg7DYLU8NC9VAAZ_0zCFxBuws/edit?usp=drivesdk","Pamela Marcum - 4/1/2019 12:00 PM")</f>
        <v>Pamela Marcum - 4/1/2019 12:00 PM</v>
      </c>
      <c r="AL271" s="12" t="s">
        <v>765</v>
      </c>
    </row>
    <row r="272">
      <c r="A272" s="10">
        <f>IFERROR(__xludf.DUMMYFUNCTION("""COMPUTED_VALUE"""),43556.74737189815)</f>
        <v>43556.74737</v>
      </c>
      <c r="B272" s="11" t="str">
        <f>IFERROR(__xludf.DUMMYFUNCTION("""COMPUTED_VALUE"""),"James Tomazinis")</f>
        <v>James Tomazinis</v>
      </c>
      <c r="C272" t="str">
        <f>IFERROR(__xludf.DUMMYFUNCTION("""COMPUTED_VALUE"""),"james.tomazinis@floridadep.gov")</f>
        <v>james.tomazinis@floridadep.gov</v>
      </c>
      <c r="D272" t="str">
        <f>IFERROR(__xludf.DUMMYFUNCTION("""COMPUTED_VALUE"""),"Stewardship (Aquatic)")</f>
        <v>Stewardship (Aquatic)</v>
      </c>
      <c r="E272" t="str">
        <f>IFERROR(__xludf.DUMMYFUNCTION("""COMPUTED_VALUE"""),"Guana Dam")</f>
        <v>Guana Dam</v>
      </c>
      <c r="F272" s="13">
        <f>IFERROR(__xludf.DUMMYFUNCTION("""COMPUTED_VALUE"""),0.375)</f>
        <v>0.375</v>
      </c>
      <c r="G272" s="14">
        <f>IFERROR(__xludf.DUMMYFUNCTION("""COMPUTED_VALUE"""),43557.0)</f>
        <v>43557</v>
      </c>
      <c r="H272" t="str">
        <f>IFERROR(__xludf.DUMMYFUNCTION("""COMPUTED_VALUE"""),"Guana River WQ sites")</f>
        <v>Guana River WQ sites</v>
      </c>
      <c r="I272" s="15">
        <f>IFERROR(__xludf.DUMMYFUNCTION("""COMPUTED_VALUE"""),0.4375)</f>
        <v>0.4375</v>
      </c>
      <c r="J272" s="16"/>
      <c r="K272" t="str">
        <f>IFERROR(__xludf.DUMMYFUNCTION("""COMPUTED_VALUE"""),"Jon Boat FL0484NP DEP06819")</f>
        <v>Jon Boat FL0484NP DEP06819</v>
      </c>
      <c r="M272" t="str">
        <f>IFERROR(__xludf.DUMMYFUNCTION("""COMPUTED_VALUE"""),"Ford F150 2015 (White) - DEP21448")</f>
        <v>Ford F150 2015 (White) - DEP21448</v>
      </c>
      <c r="N272" t="str">
        <f>IFERROR(__xludf.DUMMYFUNCTION("""COMPUTED_VALUE"""),"Jimmy Tomazinis, (904) 547-0094")</f>
        <v>Jimmy Tomazinis, (904) 547-0094</v>
      </c>
      <c r="O272" t="str">
        <f>IFERROR(__xludf.DUMMYFUNCTION("""COMPUTED_VALUE"""),"Mike Darragh")</f>
        <v>Mike Darragh</v>
      </c>
      <c r="P272" t="str">
        <f>IFERROR(__xludf.DUMMYFUNCTION("""COMPUTED_VALUE"""),"Jimmy")</f>
        <v>Jimmy</v>
      </c>
      <c r="Q272" t="str">
        <f>IFERROR(__xludf.DUMMYFUNCTION("""COMPUTED_VALUE"""),"Good")</f>
        <v>Good</v>
      </c>
      <c r="R272" t="str">
        <f>IFERROR(__xludf.DUMMYFUNCTION("""COMPUTED_VALUE"""),"Good")</f>
        <v>Good</v>
      </c>
      <c r="S272" t="str">
        <f>IFERROR(__xludf.DUMMYFUNCTION("""COMPUTED_VALUE"""),"Good")</f>
        <v>Good</v>
      </c>
      <c r="T272" t="str">
        <f>IFERROR(__xludf.DUMMYFUNCTION("""COMPUTED_VALUE"""),"Good")</f>
        <v>Good</v>
      </c>
      <c r="U272" t="str">
        <f>IFERROR(__xludf.DUMMYFUNCTION("""COMPUTED_VALUE"""),"Good")</f>
        <v>Good</v>
      </c>
      <c r="V272" t="str">
        <f>IFERROR(__xludf.DUMMYFUNCTION("""COMPUTED_VALUE"""),"Good")</f>
        <v>Good</v>
      </c>
      <c r="W272" t="str">
        <f>IFERROR(__xludf.DUMMYFUNCTION("""COMPUTED_VALUE"""),"Good")</f>
        <v>Good</v>
      </c>
      <c r="X272" t="str">
        <f>IFERROR(__xludf.DUMMYFUNCTION("""COMPUTED_VALUE"""),"Good")</f>
        <v>Good</v>
      </c>
      <c r="Y272" t="str">
        <f>IFERROR(__xludf.DUMMYFUNCTION("""COMPUTED_VALUE"""),"Good")</f>
        <v>Good</v>
      </c>
      <c r="Z272" t="str">
        <f>IFERROR(__xludf.DUMMYFUNCTION("""COMPUTED_VALUE"""),"Good")</f>
        <v>Good</v>
      </c>
      <c r="AA272" t="str">
        <f>IFERROR(__xludf.DUMMYFUNCTION("""COMPUTED_VALUE"""),"Good")</f>
        <v>Good</v>
      </c>
      <c r="AB272" t="str">
        <f>IFERROR(__xludf.DUMMYFUNCTION("""COMPUTED_VALUE"""),"Good")</f>
        <v>Good</v>
      </c>
      <c r="AC272" t="str">
        <f>IFERROR(__xludf.DUMMYFUNCTION("""COMPUTED_VALUE"""),"Good")</f>
        <v>Good</v>
      </c>
      <c r="AE272" s="11"/>
      <c r="AF272" t="s">
        <v>32</v>
      </c>
      <c r="AG272" s="17" t="s">
        <v>18</v>
      </c>
      <c r="AH272" s="12">
        <v>1145.0</v>
      </c>
      <c r="AI272" s="12" t="s">
        <v>766</v>
      </c>
      <c r="AJ272" s="19" t="s">
        <v>767</v>
      </c>
      <c r="AK272" s="20" t="str">
        <f>HYPERLINK("https://docs.google.com/document/d/1hBWPvOMDWDX1__sfEInbaoUfl4W3yrdgE2duMe0b6N8/edit?usp=drivesdk","James Tomazinis - 4/2/2019 9:00 AM")</f>
        <v>James Tomazinis - 4/2/2019 9:00 AM</v>
      </c>
      <c r="AL272" s="12" t="s">
        <v>768</v>
      </c>
    </row>
    <row r="273">
      <c r="A273" s="10">
        <f>IFERROR(__xludf.DUMMYFUNCTION("""COMPUTED_VALUE"""),43558.30487688657)</f>
        <v>43558.30488</v>
      </c>
      <c r="B273" s="11" t="str">
        <f>IFERROR(__xludf.DUMMYFUNCTION("""COMPUTED_VALUE"""),"Silas Tanner")</f>
        <v>Silas Tanner</v>
      </c>
      <c r="C273" t="str">
        <f>IFERROR(__xludf.DUMMYFUNCTION("""COMPUTED_VALUE"""),"silas.tanner@floridadep.gov")</f>
        <v>silas.tanner@floridadep.gov</v>
      </c>
      <c r="D273" t="str">
        <f>IFERROR(__xludf.DUMMYFUNCTION("""COMPUTED_VALUE"""),"Research/Nikki")</f>
        <v>Research/Nikki</v>
      </c>
      <c r="E273" t="str">
        <f>IFERROR(__xludf.DUMMYFUNCTION("""COMPUTED_VALUE"""),"Vilano Landing")</f>
        <v>Vilano Landing</v>
      </c>
      <c r="F273" s="13">
        <f>IFERROR(__xludf.DUMMYFUNCTION("""COMPUTED_VALUE"""),0.3125)</f>
        <v>0.3125</v>
      </c>
      <c r="G273" s="14">
        <f>IFERROR(__xludf.DUMMYFUNCTION("""COMPUTED_VALUE"""),43558.0)</f>
        <v>43558</v>
      </c>
      <c r="H273" t="str">
        <f>IFERROR(__xludf.DUMMYFUNCTION("""COMPUTED_VALUE"""),"ICW SWMP sites")</f>
        <v>ICW SWMP sites</v>
      </c>
      <c r="I273" s="15">
        <f>IFERROR(__xludf.DUMMYFUNCTION("""COMPUTED_VALUE"""),0.5208333333321207)</f>
        <v>0.5208333333</v>
      </c>
      <c r="J273" s="16">
        <f>IFERROR(__xludf.DUMMYFUNCTION("""COMPUTED_VALUE"""),43558.54166666667)</f>
        <v>43558.54167</v>
      </c>
      <c r="K273" t="str">
        <f>IFERROR(__xludf.DUMMYFUNCTION("""COMPUTED_VALUE"""),"20ft Sea Ark FL5351SJ UNF 2015")</f>
        <v>20ft Sea Ark FL5351SJ UNF 2015</v>
      </c>
      <c r="M273" t="str">
        <f>IFERROR(__xludf.DUMMYFUNCTION("""COMPUTED_VALUE"""),"Ford F150 2015 (White) - DEP21448")</f>
        <v>Ford F150 2015 (White) - DEP21448</v>
      </c>
      <c r="N273" t="str">
        <f>IFERROR(__xludf.DUMMYFUNCTION("""COMPUTED_VALUE"""),"Silas Tanner, (904) 483-8423, Jimmy Tomazinis, (904) 547-0094")</f>
        <v>Silas Tanner, (904) 483-8423, Jimmy Tomazinis, (904) 547-0094</v>
      </c>
      <c r="O273" t="str">
        <f>IFERROR(__xludf.DUMMYFUNCTION("""COMPUTED_VALUE"""),"Jeff Finnan")</f>
        <v>Jeff Finnan</v>
      </c>
      <c r="P273" t="str">
        <f>IFERROR(__xludf.DUMMYFUNCTION("""COMPUTED_VALUE"""),"S. Tanner")</f>
        <v>S. Tanner</v>
      </c>
      <c r="Q273" t="str">
        <f>IFERROR(__xludf.DUMMYFUNCTION("""COMPUTED_VALUE"""),"Good")</f>
        <v>Good</v>
      </c>
      <c r="R273" t="str">
        <f>IFERROR(__xludf.DUMMYFUNCTION("""COMPUTED_VALUE"""),"Good")</f>
        <v>Good</v>
      </c>
      <c r="S273" t="str">
        <f>IFERROR(__xludf.DUMMYFUNCTION("""COMPUTED_VALUE"""),"Good")</f>
        <v>Good</v>
      </c>
      <c r="T273" t="str">
        <f>IFERROR(__xludf.DUMMYFUNCTION("""COMPUTED_VALUE"""),"Good")</f>
        <v>Good</v>
      </c>
      <c r="U273" t="str">
        <f>IFERROR(__xludf.DUMMYFUNCTION("""COMPUTED_VALUE"""),"Good")</f>
        <v>Good</v>
      </c>
      <c r="V273" t="str">
        <f>IFERROR(__xludf.DUMMYFUNCTION("""COMPUTED_VALUE"""),"Good")</f>
        <v>Good</v>
      </c>
      <c r="W273" t="str">
        <f>IFERROR(__xludf.DUMMYFUNCTION("""COMPUTED_VALUE"""),"Good")</f>
        <v>Good</v>
      </c>
      <c r="X273" t="str">
        <f>IFERROR(__xludf.DUMMYFUNCTION("""COMPUTED_VALUE"""),"Good")</f>
        <v>Good</v>
      </c>
      <c r="Y273" t="str">
        <f>IFERROR(__xludf.DUMMYFUNCTION("""COMPUTED_VALUE"""),"Good")</f>
        <v>Good</v>
      </c>
      <c r="Z273" t="str">
        <f>IFERROR(__xludf.DUMMYFUNCTION("""COMPUTED_VALUE"""),"Good")</f>
        <v>Good</v>
      </c>
      <c r="AA273" t="str">
        <f>IFERROR(__xludf.DUMMYFUNCTION("""COMPUTED_VALUE"""),"Good")</f>
        <v>Good</v>
      </c>
      <c r="AB273" t="str">
        <f>IFERROR(__xludf.DUMMYFUNCTION("""COMPUTED_VALUE"""),"Good")</f>
        <v>Good</v>
      </c>
      <c r="AC273" t="str">
        <f>IFERROR(__xludf.DUMMYFUNCTION("""COMPUTED_VALUE"""),"Good")</f>
        <v>Good</v>
      </c>
      <c r="AE273" s="11"/>
      <c r="AF273" t="s">
        <v>218</v>
      </c>
      <c r="AG273" s="17" t="s">
        <v>18</v>
      </c>
      <c r="AH273" s="12">
        <v>1215.0</v>
      </c>
      <c r="AI273" s="12" t="s">
        <v>769</v>
      </c>
      <c r="AJ273" s="19" t="s">
        <v>770</v>
      </c>
      <c r="AK273" s="20" t="str">
        <f>HYPERLINK("https://docs.google.com/document/d/1dGjXr-f0fBAgpju4CycNigpwZYO7y6akkSw-DyY80Hg/edit?usp=drivesdk","Silas Tanner - 4/3/2019 7:30 AM")</f>
        <v>Silas Tanner - 4/3/2019 7:30 AM</v>
      </c>
      <c r="AL273" s="12" t="s">
        <v>771</v>
      </c>
    </row>
    <row r="274">
      <c r="A274" s="10">
        <f>IFERROR(__xludf.DUMMYFUNCTION("""COMPUTED_VALUE"""),43563.27693378473)</f>
        <v>43563.27693</v>
      </c>
      <c r="B274" s="11" t="str">
        <f>IFERROR(__xludf.DUMMYFUNCTION("""COMPUTED_VALUE"""),"Silas Tanner")</f>
        <v>Silas Tanner</v>
      </c>
      <c r="C274" t="str">
        <f>IFERROR(__xludf.DUMMYFUNCTION("""COMPUTED_VALUE"""),"silas.tanner@floridadep.gov")</f>
        <v>silas.tanner@floridadep.gov</v>
      </c>
      <c r="D274" t="str">
        <f>IFERROR(__xludf.DUMMYFUNCTION("""COMPUTED_VALUE"""),"Research/Nikki")</f>
        <v>Research/Nikki</v>
      </c>
      <c r="E274" t="str">
        <f>IFERROR(__xludf.DUMMYFUNCTION("""COMPUTED_VALUE"""),"Moses Creek floating dock")</f>
        <v>Moses Creek floating dock</v>
      </c>
      <c r="F274" s="13">
        <f>IFERROR(__xludf.DUMMYFUNCTION("""COMPUTED_VALUE"""),0.3541666666678793)</f>
        <v>0.3541666667</v>
      </c>
      <c r="G274" s="14">
        <f>IFERROR(__xludf.DUMMYFUNCTION("""COMPUTED_VALUE"""),43563.0)</f>
        <v>43563</v>
      </c>
      <c r="H274" t="str">
        <f>IFERROR(__xludf.DUMMYFUNCTION("""COMPUTED_VALUE"""),"Moses Creek SWMP platforms")</f>
        <v>Moses Creek SWMP platforms</v>
      </c>
      <c r="I274" s="15">
        <f>IFERROR(__xludf.DUMMYFUNCTION("""COMPUTED_VALUE"""),0.5625)</f>
        <v>0.5625</v>
      </c>
      <c r="J274" s="16">
        <f>IFERROR(__xludf.DUMMYFUNCTION("""COMPUTED_VALUE"""),43563.60416666667)</f>
        <v>43563.60417</v>
      </c>
      <c r="K274" t="str">
        <f>IFERROR(__xludf.DUMMYFUNCTION("""COMPUTED_VALUE"""),"Canoe(s)")</f>
        <v>Canoe(s)</v>
      </c>
      <c r="L274">
        <f>IFERROR(__xludf.DUMMYFUNCTION("""COMPUTED_VALUE"""),2.0)</f>
        <v>2</v>
      </c>
      <c r="M274" t="str">
        <f>IFERROR(__xludf.DUMMYFUNCTION("""COMPUTED_VALUE"""),"Ford F250 2017 (Moby Dix) - DEP0021578")</f>
        <v>Ford F250 2017 (Moby Dix) - DEP0021578</v>
      </c>
      <c r="N274" t="str">
        <f>IFERROR(__xludf.DUMMYFUNCTION("""COMPUTED_VALUE"""),"Pam Marcum, (480) 332-5414, Shannon Dunnigan, (803) 727-5734, Silas Tanner, (904) 483-8423")</f>
        <v>Pam Marcum, (480) 332-5414, Shannon Dunnigan, (803) 727-5734, Silas Tanner, (904) 483-8423</v>
      </c>
      <c r="P274" t="str">
        <f>IFERROR(__xludf.DUMMYFUNCTION("""COMPUTED_VALUE"""),"S. Tanner")</f>
        <v>S. Tanner</v>
      </c>
      <c r="Q274" t="str">
        <f>IFERROR(__xludf.DUMMYFUNCTION("""COMPUTED_VALUE"""),"Good")</f>
        <v>Good</v>
      </c>
      <c r="R274" t="str">
        <f>IFERROR(__xludf.DUMMYFUNCTION("""COMPUTED_VALUE"""),"Good")</f>
        <v>Good</v>
      </c>
      <c r="S274" t="str">
        <f>IFERROR(__xludf.DUMMYFUNCTION("""COMPUTED_VALUE"""),"Good")</f>
        <v>Good</v>
      </c>
      <c r="T274" t="str">
        <f>IFERROR(__xludf.DUMMYFUNCTION("""COMPUTED_VALUE"""),"Good")</f>
        <v>Good</v>
      </c>
      <c r="U274" t="str">
        <f>IFERROR(__xludf.DUMMYFUNCTION("""COMPUTED_VALUE"""),"Good")</f>
        <v>Good</v>
      </c>
      <c r="V274" t="str">
        <f>IFERROR(__xludf.DUMMYFUNCTION("""COMPUTED_VALUE"""),"Good")</f>
        <v>Good</v>
      </c>
      <c r="W274" t="str">
        <f>IFERROR(__xludf.DUMMYFUNCTION("""COMPUTED_VALUE"""),"Good")</f>
        <v>Good</v>
      </c>
      <c r="X274" t="str">
        <f>IFERROR(__xludf.DUMMYFUNCTION("""COMPUTED_VALUE"""),"Good")</f>
        <v>Good</v>
      </c>
      <c r="Y274" t="str">
        <f>IFERROR(__xludf.DUMMYFUNCTION("""COMPUTED_VALUE"""),"Good")</f>
        <v>Good</v>
      </c>
      <c r="Z274" t="str">
        <f>IFERROR(__xludf.DUMMYFUNCTION("""COMPUTED_VALUE"""),"Good")</f>
        <v>Good</v>
      </c>
      <c r="AA274" t="str">
        <f>IFERROR(__xludf.DUMMYFUNCTION("""COMPUTED_VALUE"""),"Good")</f>
        <v>Good</v>
      </c>
      <c r="AB274" t="str">
        <f>IFERROR(__xludf.DUMMYFUNCTION("""COMPUTED_VALUE"""),"Good")</f>
        <v>Good</v>
      </c>
      <c r="AC274" t="str">
        <f>IFERROR(__xludf.DUMMYFUNCTION("""COMPUTED_VALUE"""),"Good")</f>
        <v>Good</v>
      </c>
      <c r="AE274" s="11"/>
      <c r="AF274" t="s">
        <v>218</v>
      </c>
      <c r="AG274" s="17" t="s">
        <v>60</v>
      </c>
      <c r="AH274" s="12">
        <v>1214.0</v>
      </c>
      <c r="AI274" s="12" t="s">
        <v>772</v>
      </c>
      <c r="AJ274" s="19" t="s">
        <v>773</v>
      </c>
      <c r="AK274" s="20" t="str">
        <f>HYPERLINK("https://docs.google.com/document/d/1zpiiQnRk_ny2eghst2yO43NK7mtn9wSbSuVWKqfFa1w/edit?usp=drivesdk","Silas Tanner - 4/8/2019 8:30 AM")</f>
        <v>Silas Tanner - 4/8/2019 8:30 AM</v>
      </c>
      <c r="AL274" s="12" t="s">
        <v>774</v>
      </c>
    </row>
    <row r="275">
      <c r="A275" s="10">
        <f>IFERROR(__xludf.DUMMYFUNCTION("""COMPUTED_VALUE"""),43563.67906284722)</f>
        <v>43563.67906</v>
      </c>
      <c r="B275" s="11" t="str">
        <f>IFERROR(__xludf.DUMMYFUNCTION("""COMPUTED_VALUE"""),"Pamela Marcum")</f>
        <v>Pamela Marcum</v>
      </c>
      <c r="C275" t="str">
        <f>IFERROR(__xludf.DUMMYFUNCTION("""COMPUTED_VALUE"""),"Pamela.Marcum@dep.state.fl.us")</f>
        <v>Pamela.Marcum@dep.state.fl.us</v>
      </c>
      <c r="D275" t="str">
        <f>IFERROR(__xludf.DUMMYFUNCTION("""COMPUTED_VALUE"""),"Research/Nikki")</f>
        <v>Research/Nikki</v>
      </c>
      <c r="E275" t="str">
        <f>IFERROR(__xludf.DUMMYFUNCTION("""COMPUTED_VALUE"""),"Aunt Kate's")</f>
        <v>Aunt Kate's</v>
      </c>
      <c r="F275" s="13">
        <f>IFERROR(__xludf.DUMMYFUNCTION("""COMPUTED_VALUE"""),0.7291666666678793)</f>
        <v>0.7291666667</v>
      </c>
      <c r="G275" s="14">
        <f>IFERROR(__xludf.DUMMYFUNCTION("""COMPUTED_VALUE"""),43563.0)</f>
        <v>43563</v>
      </c>
      <c r="H275" t="str">
        <f>IFERROR(__xludf.DUMMYFUNCTION("""COMPUTED_VALUE"""),"Tolomato &amp; Guana Rivers")</f>
        <v>Tolomato &amp; Guana Rivers</v>
      </c>
      <c r="I275" s="15">
        <f>IFERROR(__xludf.DUMMYFUNCTION("""COMPUTED_VALUE"""),0.8541666666678793)</f>
        <v>0.8541666667</v>
      </c>
      <c r="J275" s="16">
        <f>IFERROR(__xludf.DUMMYFUNCTION("""COMPUTED_VALUE"""),43563.86458333333)</f>
        <v>43563.86458</v>
      </c>
      <c r="K275" t="str">
        <f>IFERROR(__xludf.DUMMYFUNCTION("""COMPUTED_VALUE"""),"20ft Sea Ark FL5351SJ UNF 2015")</f>
        <v>20ft Sea Ark FL5351SJ UNF 2015</v>
      </c>
      <c r="M275" t="str">
        <f>IFERROR(__xludf.DUMMYFUNCTION("""COMPUTED_VALUE"""),"Ford F250 2017 (Moby Dix) - DEP0021578")</f>
        <v>Ford F250 2017 (Moby Dix) - DEP0021578</v>
      </c>
      <c r="N275" t="str">
        <f>IFERROR(__xludf.DUMMYFUNCTION("""COMPUTED_VALUE"""),"Pam Marcum, (480) 332-5414")</f>
        <v>Pam Marcum, (480) 332-5414</v>
      </c>
      <c r="O275" t="str">
        <f>IFERROR(__xludf.DUMMYFUNCTION("""COMPUTED_VALUE"""),"Nicole Peckham, Adrienne Breef-Pilz")</f>
        <v>Nicole Peckham, Adrienne Breef-Pilz</v>
      </c>
      <c r="P275" t="str">
        <f>IFERROR(__xludf.DUMMYFUNCTION("""COMPUTED_VALUE"""),"Pam")</f>
        <v>Pam</v>
      </c>
      <c r="Q275" t="str">
        <f>IFERROR(__xludf.DUMMYFUNCTION("""COMPUTED_VALUE"""),"Good")</f>
        <v>Good</v>
      </c>
      <c r="R275" t="str">
        <f>IFERROR(__xludf.DUMMYFUNCTION("""COMPUTED_VALUE"""),"Good")</f>
        <v>Good</v>
      </c>
      <c r="S275" t="str">
        <f>IFERROR(__xludf.DUMMYFUNCTION("""COMPUTED_VALUE"""),"Good")</f>
        <v>Good</v>
      </c>
      <c r="T275" t="str">
        <f>IFERROR(__xludf.DUMMYFUNCTION("""COMPUTED_VALUE"""),"Good")</f>
        <v>Good</v>
      </c>
      <c r="U275" t="str">
        <f>IFERROR(__xludf.DUMMYFUNCTION("""COMPUTED_VALUE"""),"Good")</f>
        <v>Good</v>
      </c>
      <c r="V275" t="str">
        <f>IFERROR(__xludf.DUMMYFUNCTION("""COMPUTED_VALUE"""),"Good")</f>
        <v>Good</v>
      </c>
      <c r="W275" t="str">
        <f>IFERROR(__xludf.DUMMYFUNCTION("""COMPUTED_VALUE"""),"Good")</f>
        <v>Good</v>
      </c>
      <c r="X275" t="str">
        <f>IFERROR(__xludf.DUMMYFUNCTION("""COMPUTED_VALUE"""),"Good")</f>
        <v>Good</v>
      </c>
      <c r="Y275" t="str">
        <f>IFERROR(__xludf.DUMMYFUNCTION("""COMPUTED_VALUE"""),"Good")</f>
        <v>Good</v>
      </c>
      <c r="Z275" t="str">
        <f>IFERROR(__xludf.DUMMYFUNCTION("""COMPUTED_VALUE"""),"Good")</f>
        <v>Good</v>
      </c>
      <c r="AA275" t="str">
        <f>IFERROR(__xludf.DUMMYFUNCTION("""COMPUTED_VALUE"""),"Good")</f>
        <v>Good</v>
      </c>
      <c r="AB275" t="str">
        <f>IFERROR(__xludf.DUMMYFUNCTION("""COMPUTED_VALUE"""),"Good")</f>
        <v>Good</v>
      </c>
      <c r="AC275" t="str">
        <f>IFERROR(__xludf.DUMMYFUNCTION("""COMPUTED_VALUE"""),"Good")</f>
        <v>Good</v>
      </c>
      <c r="AE275" s="11"/>
      <c r="AF275" t="s">
        <v>218</v>
      </c>
      <c r="AG275" s="17" t="s">
        <v>775</v>
      </c>
      <c r="AH275" s="12" t="s">
        <v>282</v>
      </c>
      <c r="AI275" s="12" t="s">
        <v>776</v>
      </c>
      <c r="AJ275" s="19" t="s">
        <v>777</v>
      </c>
      <c r="AK275" s="20" t="str">
        <f>HYPERLINK("https://docs.google.com/document/d/1AfS58goBppKK1dhcQ15scXNHmkmINsEIlKN629Yv3FA/edit?usp=drivesdk","Pamela Marcum - 4/8/2019 5:30 PM")</f>
        <v>Pamela Marcum - 4/8/2019 5:30 PM</v>
      </c>
      <c r="AL275" s="12" t="s">
        <v>778</v>
      </c>
    </row>
    <row r="276">
      <c r="A276" s="10">
        <f>IFERROR(__xludf.DUMMYFUNCTION("""COMPUTED_VALUE"""),43564.36415953704)</f>
        <v>43564.36416</v>
      </c>
      <c r="B276" s="11" t="str">
        <f>IFERROR(__xludf.DUMMYFUNCTION("""COMPUTED_VALUE"""),"james tomazinis")</f>
        <v>james tomazinis</v>
      </c>
      <c r="C276" t="str">
        <f>IFERROR(__xludf.DUMMYFUNCTION("""COMPUTED_VALUE"""),"james.tomazinis@floridadep.gov")</f>
        <v>james.tomazinis@floridadep.gov</v>
      </c>
      <c r="D276" t="str">
        <f>IFERROR(__xludf.DUMMYFUNCTION("""COMPUTED_VALUE"""),"Stewardship (Aquatic)")</f>
        <v>Stewardship (Aquatic)</v>
      </c>
      <c r="E276" t="str">
        <f>IFERROR(__xludf.DUMMYFUNCTION("""COMPUTED_VALUE"""),"Palm Valley")</f>
        <v>Palm Valley</v>
      </c>
      <c r="F276" s="13">
        <f>IFERROR(__xludf.DUMMYFUNCTION("""COMPUTED_VALUE"""),0.38888888889050577)</f>
        <v>0.3888888889</v>
      </c>
      <c r="G276" s="14">
        <f>IFERROR(__xludf.DUMMYFUNCTION("""COMPUTED_VALUE"""),43564.0)</f>
        <v>43564</v>
      </c>
      <c r="H276" t="str">
        <f>IFERROR(__xludf.DUMMYFUNCTION("""COMPUTED_VALUE"""),"Tolomato Nekton sites")</f>
        <v>Tolomato Nekton sites</v>
      </c>
      <c r="I276" s="15">
        <f>IFERROR(__xludf.DUMMYFUNCTION("""COMPUTED_VALUE"""),0.6666666666678793)</f>
        <v>0.6666666667</v>
      </c>
      <c r="J276" s="16"/>
      <c r="K276" t="str">
        <f>IFERROR(__xludf.DUMMYFUNCTION("""COMPUTED_VALUE"""),"23ft Skiff (Bertha) FL7972LJ DEP07613")</f>
        <v>23ft Skiff (Bertha) FL7972LJ DEP07613</v>
      </c>
      <c r="M276" t="str">
        <f>IFERROR(__xludf.DUMMYFUNCTION("""COMPUTED_VALUE"""),"Ford F150 2015 (White) - DEP21448")</f>
        <v>Ford F150 2015 (White) - DEP21448</v>
      </c>
      <c r="N276" t="str">
        <f>IFERROR(__xludf.DUMMYFUNCTION("""COMPUTED_VALUE"""),"Jimmy Tomazinis, (904) 547-0094")</f>
        <v>Jimmy Tomazinis, (904) 547-0094</v>
      </c>
      <c r="O276" t="str">
        <f>IFERROR(__xludf.DUMMYFUNCTION("""COMPUTED_VALUE"""),"Suzi, Dickson, Jeff Finnan, Chris Kurtz, Brittany Trawick")</f>
        <v>Suzi, Dickson, Jeff Finnan, Chris Kurtz, Brittany Trawick</v>
      </c>
      <c r="P276" t="str">
        <f>IFERROR(__xludf.DUMMYFUNCTION("""COMPUTED_VALUE"""),"Jimmy")</f>
        <v>Jimmy</v>
      </c>
      <c r="Q276" t="str">
        <f>IFERROR(__xludf.DUMMYFUNCTION("""COMPUTED_VALUE"""),"Good")</f>
        <v>Good</v>
      </c>
      <c r="R276" t="str">
        <f>IFERROR(__xludf.DUMMYFUNCTION("""COMPUTED_VALUE"""),"Good")</f>
        <v>Good</v>
      </c>
      <c r="S276" t="str">
        <f>IFERROR(__xludf.DUMMYFUNCTION("""COMPUTED_VALUE"""),"Good")</f>
        <v>Good</v>
      </c>
      <c r="T276" t="str">
        <f>IFERROR(__xludf.DUMMYFUNCTION("""COMPUTED_VALUE"""),"Good")</f>
        <v>Good</v>
      </c>
      <c r="U276" t="str">
        <f>IFERROR(__xludf.DUMMYFUNCTION("""COMPUTED_VALUE"""),"Good")</f>
        <v>Good</v>
      </c>
      <c r="V276" t="str">
        <f>IFERROR(__xludf.DUMMYFUNCTION("""COMPUTED_VALUE"""),"Good")</f>
        <v>Good</v>
      </c>
      <c r="W276" t="str">
        <f>IFERROR(__xludf.DUMMYFUNCTION("""COMPUTED_VALUE"""),"Good")</f>
        <v>Good</v>
      </c>
      <c r="X276" t="str">
        <f>IFERROR(__xludf.DUMMYFUNCTION("""COMPUTED_VALUE"""),"Good")</f>
        <v>Good</v>
      </c>
      <c r="Y276" t="str">
        <f>IFERROR(__xludf.DUMMYFUNCTION("""COMPUTED_VALUE"""),"Good")</f>
        <v>Good</v>
      </c>
      <c r="Z276" t="str">
        <f>IFERROR(__xludf.DUMMYFUNCTION("""COMPUTED_VALUE"""),"Good")</f>
        <v>Good</v>
      </c>
      <c r="AA276" t="str">
        <f>IFERROR(__xludf.DUMMYFUNCTION("""COMPUTED_VALUE"""),"Good")</f>
        <v>Good</v>
      </c>
      <c r="AB276" t="str">
        <f>IFERROR(__xludf.DUMMYFUNCTION("""COMPUTED_VALUE"""),"Good")</f>
        <v>Good</v>
      </c>
      <c r="AC276" t="str">
        <f>IFERROR(__xludf.DUMMYFUNCTION("""COMPUTED_VALUE"""),"Good")</f>
        <v>Good</v>
      </c>
      <c r="AE276" s="11"/>
      <c r="AF276" t="s">
        <v>32</v>
      </c>
      <c r="AG276" s="17" t="s">
        <v>43</v>
      </c>
      <c r="AH276" s="12">
        <v>1225.0</v>
      </c>
      <c r="AI276" s="12" t="s">
        <v>779</v>
      </c>
      <c r="AJ276" s="19" t="s">
        <v>780</v>
      </c>
      <c r="AK276" s="20" t="str">
        <f>HYPERLINK("https://docs.google.com/document/d/1I5BcUrGICWQ1wd-pOkEzau0SJ4sOIRHp-C2jzuUxtbg/edit?usp=drivesdk","james tomazinis - 4/9/2019 9:20 AM")</f>
        <v>james tomazinis - 4/9/2019 9:20 AM</v>
      </c>
      <c r="AL276" s="12" t="s">
        <v>781</v>
      </c>
    </row>
    <row r="277">
      <c r="A277" s="10">
        <f>IFERROR(__xludf.DUMMYFUNCTION("""COMPUTED_VALUE"""),43564.668178182874)</f>
        <v>43564.66818</v>
      </c>
      <c r="B277" s="11" t="str">
        <f>IFERROR(__xludf.DUMMYFUNCTION("""COMPUTED_VALUE"""),"Jimmy")</f>
        <v>Jimmy</v>
      </c>
      <c r="C277" t="str">
        <f>IFERROR(__xludf.DUMMYFUNCTION("""COMPUTED_VALUE"""),"james.tomazinis@floridadep.gov")</f>
        <v>james.tomazinis@floridadep.gov</v>
      </c>
      <c r="D277" t="str">
        <f>IFERROR(__xludf.DUMMYFUNCTION("""COMPUTED_VALUE"""),"Stewardship (Aquatic)")</f>
        <v>Stewardship (Aquatic)</v>
      </c>
      <c r="E277" t="str">
        <f>IFERROR(__xludf.DUMMYFUNCTION("""COMPUTED_VALUE"""),"Vilano")</f>
        <v>Vilano</v>
      </c>
      <c r="F277" s="13">
        <f>IFERROR(__xludf.DUMMYFUNCTION("""COMPUTED_VALUE"""),0.38888888889050577)</f>
        <v>0.3888888889</v>
      </c>
      <c r="G277" s="14">
        <f>IFERROR(__xludf.DUMMYFUNCTION("""COMPUTED_VALUE"""),43565.0)</f>
        <v>43565</v>
      </c>
      <c r="H277" t="str">
        <f>IFERROR(__xludf.DUMMYFUNCTION("""COMPUTED_VALUE"""),"Tolomato and matanzas Nekton sites")</f>
        <v>Tolomato and matanzas Nekton sites</v>
      </c>
      <c r="I277" s="15">
        <f>IFERROR(__xludf.DUMMYFUNCTION("""COMPUTED_VALUE"""),0.6666666666678793)</f>
        <v>0.6666666667</v>
      </c>
      <c r="J277" s="16"/>
      <c r="K277" t="str">
        <f>IFERROR(__xludf.DUMMYFUNCTION("""COMPUTED_VALUE"""),"23ft Skiff (Bertha) FL7972LJ DEP07613")</f>
        <v>23ft Skiff (Bertha) FL7972LJ DEP07613</v>
      </c>
      <c r="M277" t="str">
        <f>IFERROR(__xludf.DUMMYFUNCTION("""COMPUTED_VALUE"""),"Ford F150 2015 (White) - DEP21448")</f>
        <v>Ford F150 2015 (White) - DEP21448</v>
      </c>
      <c r="N277" t="str">
        <f>IFERROR(__xludf.DUMMYFUNCTION("""COMPUTED_VALUE"""),"Jimmy Tomazinis, (904) 547-0094")</f>
        <v>Jimmy Tomazinis, (904) 547-0094</v>
      </c>
      <c r="O277" t="str">
        <f>IFERROR(__xludf.DUMMYFUNCTION("""COMPUTED_VALUE"""),"Suzi, Jeff Finnan, Dickson, Amy Brownfield, Flagler student")</f>
        <v>Suzi, Jeff Finnan, Dickson, Amy Brownfield, Flagler student</v>
      </c>
      <c r="P277" t="str">
        <f>IFERROR(__xludf.DUMMYFUNCTION("""COMPUTED_VALUE"""),"Jimmy")</f>
        <v>Jimmy</v>
      </c>
      <c r="Q277" t="str">
        <f>IFERROR(__xludf.DUMMYFUNCTION("""COMPUTED_VALUE"""),"Good")</f>
        <v>Good</v>
      </c>
      <c r="R277" t="str">
        <f>IFERROR(__xludf.DUMMYFUNCTION("""COMPUTED_VALUE"""),"Good")</f>
        <v>Good</v>
      </c>
      <c r="S277" t="str">
        <f>IFERROR(__xludf.DUMMYFUNCTION("""COMPUTED_VALUE"""),"Good")</f>
        <v>Good</v>
      </c>
      <c r="T277" t="str">
        <f>IFERROR(__xludf.DUMMYFUNCTION("""COMPUTED_VALUE"""),"Good")</f>
        <v>Good</v>
      </c>
      <c r="U277" t="str">
        <f>IFERROR(__xludf.DUMMYFUNCTION("""COMPUTED_VALUE"""),"Good")</f>
        <v>Good</v>
      </c>
      <c r="V277" t="str">
        <f>IFERROR(__xludf.DUMMYFUNCTION("""COMPUTED_VALUE"""),"Good")</f>
        <v>Good</v>
      </c>
      <c r="W277" t="str">
        <f>IFERROR(__xludf.DUMMYFUNCTION("""COMPUTED_VALUE"""),"Good")</f>
        <v>Good</v>
      </c>
      <c r="X277" t="str">
        <f>IFERROR(__xludf.DUMMYFUNCTION("""COMPUTED_VALUE"""),"Good")</f>
        <v>Good</v>
      </c>
      <c r="Y277" t="str">
        <f>IFERROR(__xludf.DUMMYFUNCTION("""COMPUTED_VALUE"""),"Good")</f>
        <v>Good</v>
      </c>
      <c r="Z277" t="str">
        <f>IFERROR(__xludf.DUMMYFUNCTION("""COMPUTED_VALUE"""),"Good")</f>
        <v>Good</v>
      </c>
      <c r="AA277" t="str">
        <f>IFERROR(__xludf.DUMMYFUNCTION("""COMPUTED_VALUE"""),"Good")</f>
        <v>Good</v>
      </c>
      <c r="AB277" t="str">
        <f>IFERROR(__xludf.DUMMYFUNCTION("""COMPUTED_VALUE"""),"Good")</f>
        <v>Good</v>
      </c>
      <c r="AC277" t="str">
        <f>IFERROR(__xludf.DUMMYFUNCTION("""COMPUTED_VALUE"""),"Good")</f>
        <v>Good</v>
      </c>
      <c r="AE277" s="11"/>
      <c r="AF277" t="s">
        <v>32</v>
      </c>
      <c r="AG277" s="17" t="s">
        <v>18</v>
      </c>
      <c r="AH277" s="12">
        <v>1635.0</v>
      </c>
      <c r="AI277" s="12" t="s">
        <v>782</v>
      </c>
      <c r="AJ277" s="19" t="s">
        <v>783</v>
      </c>
      <c r="AK277" s="20" t="str">
        <f>HYPERLINK("https://docs.google.com/document/d/1Sn9bVL2GIklcZRZgPcVrs4YIzFCqYYDAXCMJVl9B1R0/edit?usp=drivesdk","Jimmy - 4/10/2019 9:20 AM")</f>
        <v>Jimmy - 4/10/2019 9:20 AM</v>
      </c>
      <c r="AL277" s="12" t="s">
        <v>784</v>
      </c>
    </row>
    <row r="278">
      <c r="A278" s="10">
        <f>IFERROR(__xludf.DUMMYFUNCTION("""COMPUTED_VALUE"""),43565.30659571759)</f>
        <v>43565.3066</v>
      </c>
      <c r="B278" s="11" t="str">
        <f>IFERROR(__xludf.DUMMYFUNCTION("""COMPUTED_VALUE"""),"Silas Tanner")</f>
        <v>Silas Tanner</v>
      </c>
      <c r="C278" t="str">
        <f>IFERROR(__xludf.DUMMYFUNCTION("""COMPUTED_VALUE"""),"silas.tanner@floridadep.gov")</f>
        <v>silas.tanner@floridadep.gov</v>
      </c>
      <c r="D278" t="str">
        <f>IFERROR(__xludf.DUMMYFUNCTION("""COMPUTED_VALUE"""),"Research/Nikki")</f>
        <v>Research/Nikki</v>
      </c>
      <c r="E278" t="str">
        <f>IFERROR(__xludf.DUMMYFUNCTION("""COMPUTED_VALUE"""),"Bing's")</f>
        <v>Bing's</v>
      </c>
      <c r="F278" s="13">
        <f>IFERROR(__xludf.DUMMYFUNCTION("""COMPUTED_VALUE"""),0.3541666666678793)</f>
        <v>0.3541666667</v>
      </c>
      <c r="G278" s="14">
        <f>IFERROR(__xludf.DUMMYFUNCTION("""COMPUTED_VALUE"""),43565.0)</f>
        <v>43565</v>
      </c>
      <c r="H278" t="str">
        <f>IFERROR(__xludf.DUMMYFUNCTION("""COMPUTED_VALUE"""),"Washington Oaks SWMP platforms")</f>
        <v>Washington Oaks SWMP platforms</v>
      </c>
      <c r="I278" s="15">
        <f>IFERROR(__xludf.DUMMYFUNCTION("""COMPUTED_VALUE"""),0.5625)</f>
        <v>0.5625</v>
      </c>
      <c r="J278" s="16">
        <f>IFERROR(__xludf.DUMMYFUNCTION("""COMPUTED_VALUE"""),43565.625)</f>
        <v>43565.625</v>
      </c>
      <c r="K278" t="str">
        <f>IFERROR(__xludf.DUMMYFUNCTION("""COMPUTED_VALUE"""),"20ft Sea Ark FL5351SJ UNF 2015")</f>
        <v>20ft Sea Ark FL5351SJ UNF 2015</v>
      </c>
      <c r="M278" t="str">
        <f>IFERROR(__xludf.DUMMYFUNCTION("""COMPUTED_VALUE"""),"Ford F250 2017 (Moby Dix) - DEP0021578")</f>
        <v>Ford F250 2017 (Moby Dix) - DEP0021578</v>
      </c>
      <c r="N278" t="str">
        <f>IFERROR(__xludf.DUMMYFUNCTION("""COMPUTED_VALUE"""),"Shannon Dunnigan, (803) 727-5734, Silas Tanner, (904) 483-8423")</f>
        <v>Shannon Dunnigan, (803) 727-5734, Silas Tanner, (904) 483-8423</v>
      </c>
      <c r="P278" t="str">
        <f>IFERROR(__xludf.DUMMYFUNCTION("""COMPUTED_VALUE"""),"S. Dunnigan")</f>
        <v>S. Dunnigan</v>
      </c>
      <c r="Q278" t="str">
        <f>IFERROR(__xludf.DUMMYFUNCTION("""COMPUTED_VALUE"""),"Good")</f>
        <v>Good</v>
      </c>
      <c r="R278" t="str">
        <f>IFERROR(__xludf.DUMMYFUNCTION("""COMPUTED_VALUE"""),"Good")</f>
        <v>Good</v>
      </c>
      <c r="S278" t="str">
        <f>IFERROR(__xludf.DUMMYFUNCTION("""COMPUTED_VALUE"""),"Good")</f>
        <v>Good</v>
      </c>
      <c r="T278" t="str">
        <f>IFERROR(__xludf.DUMMYFUNCTION("""COMPUTED_VALUE"""),"Good")</f>
        <v>Good</v>
      </c>
      <c r="U278" t="str">
        <f>IFERROR(__xludf.DUMMYFUNCTION("""COMPUTED_VALUE"""),"Good")</f>
        <v>Good</v>
      </c>
      <c r="V278" t="str">
        <f>IFERROR(__xludf.DUMMYFUNCTION("""COMPUTED_VALUE"""),"Good")</f>
        <v>Good</v>
      </c>
      <c r="W278" t="str">
        <f>IFERROR(__xludf.DUMMYFUNCTION("""COMPUTED_VALUE"""),"Good")</f>
        <v>Good</v>
      </c>
      <c r="X278" t="str">
        <f>IFERROR(__xludf.DUMMYFUNCTION("""COMPUTED_VALUE"""),"Good")</f>
        <v>Good</v>
      </c>
      <c r="Y278" t="str">
        <f>IFERROR(__xludf.DUMMYFUNCTION("""COMPUTED_VALUE"""),"Good")</f>
        <v>Good</v>
      </c>
      <c r="Z278" t="str">
        <f>IFERROR(__xludf.DUMMYFUNCTION("""COMPUTED_VALUE"""),"Good")</f>
        <v>Good</v>
      </c>
      <c r="AA278" t="str">
        <f>IFERROR(__xludf.DUMMYFUNCTION("""COMPUTED_VALUE"""),"Good")</f>
        <v>Good</v>
      </c>
      <c r="AB278" t="str">
        <f>IFERROR(__xludf.DUMMYFUNCTION("""COMPUTED_VALUE"""),"Good")</f>
        <v>Good</v>
      </c>
      <c r="AC278" t="str">
        <f>IFERROR(__xludf.DUMMYFUNCTION("""COMPUTED_VALUE"""),"Good")</f>
        <v>Good</v>
      </c>
      <c r="AE278" s="11"/>
      <c r="AF278" t="s">
        <v>218</v>
      </c>
      <c r="AG278" s="17" t="s">
        <v>18</v>
      </c>
      <c r="AH278" s="12">
        <v>1320.0</v>
      </c>
      <c r="AI278" s="12" t="s">
        <v>785</v>
      </c>
      <c r="AJ278" s="19" t="s">
        <v>786</v>
      </c>
      <c r="AK278" s="20" t="str">
        <f>HYPERLINK("https://docs.google.com/document/d/1hzl70eQJdCH-lpArjQbSGfHA1SGjOSraKKhyqg58B68/edit?usp=drivesdk","Silas Tanner - 4/10/2019 8:30 AM")</f>
        <v>Silas Tanner - 4/10/2019 8:30 AM</v>
      </c>
      <c r="AL278" s="12" t="s">
        <v>787</v>
      </c>
    </row>
    <row r="279">
      <c r="A279" s="10">
        <f>IFERROR(__xludf.DUMMYFUNCTION("""COMPUTED_VALUE"""),43565.72106533565)</f>
        <v>43565.72107</v>
      </c>
      <c r="B279" s="11" t="str">
        <f>IFERROR(__xludf.DUMMYFUNCTION("""COMPUTED_VALUE"""),"Jimmy")</f>
        <v>Jimmy</v>
      </c>
      <c r="C279" t="str">
        <f>IFERROR(__xludf.DUMMYFUNCTION("""COMPUTED_VALUE"""),"james.tomazinis@floridadep.gov")</f>
        <v>james.tomazinis@floridadep.gov</v>
      </c>
      <c r="D279" t="str">
        <f>IFERROR(__xludf.DUMMYFUNCTION("""COMPUTED_VALUE"""),"Stewardship (Aquatic)")</f>
        <v>Stewardship (Aquatic)</v>
      </c>
      <c r="E279" t="str">
        <f>IFERROR(__xludf.DUMMYFUNCTION("""COMPUTED_VALUE"""),"Bings")</f>
        <v>Bings</v>
      </c>
      <c r="F279" s="13">
        <f>IFERROR(__xludf.DUMMYFUNCTION("""COMPUTED_VALUE"""),0.4166666666678793)</f>
        <v>0.4166666667</v>
      </c>
      <c r="G279" s="14">
        <f>IFERROR(__xludf.DUMMYFUNCTION("""COMPUTED_VALUE"""),43566.0)</f>
        <v>43566</v>
      </c>
      <c r="H279" t="str">
        <f>IFERROR(__xludf.DUMMYFUNCTION("""COMPUTED_VALUE"""),"Matanzas Nekton sites")</f>
        <v>Matanzas Nekton sites</v>
      </c>
      <c r="I279" s="15">
        <f>IFERROR(__xludf.DUMMYFUNCTION("""COMPUTED_VALUE"""),0.625)</f>
        <v>0.625</v>
      </c>
      <c r="J279" s="16"/>
      <c r="K279" t="str">
        <f>IFERROR(__xludf.DUMMYFUNCTION("""COMPUTED_VALUE"""),"23ft Skiff (Bertha) FL7972LJ DEP07613")</f>
        <v>23ft Skiff (Bertha) FL7972LJ DEP07613</v>
      </c>
      <c r="M279" t="str">
        <f>IFERROR(__xludf.DUMMYFUNCTION("""COMPUTED_VALUE"""),"Ford F150 2015 (White) - DEP21448")</f>
        <v>Ford F150 2015 (White) - DEP21448</v>
      </c>
      <c r="N279" t="str">
        <f>IFERROR(__xludf.DUMMYFUNCTION("""COMPUTED_VALUE"""),"Jimmy Tomazinis, (904) 547-0094")</f>
        <v>Jimmy Tomazinis, (904) 547-0094</v>
      </c>
      <c r="O279" t="str">
        <f>IFERROR(__xludf.DUMMYFUNCTION("""COMPUTED_VALUE"""),"Amy Brownfield, Dickson")</f>
        <v>Amy Brownfield, Dickson</v>
      </c>
      <c r="P279" t="str">
        <f>IFERROR(__xludf.DUMMYFUNCTION("""COMPUTED_VALUE"""),"Jimmy")</f>
        <v>Jimmy</v>
      </c>
      <c r="Q279" t="str">
        <f>IFERROR(__xludf.DUMMYFUNCTION("""COMPUTED_VALUE"""),"Good")</f>
        <v>Good</v>
      </c>
      <c r="R279" t="str">
        <f>IFERROR(__xludf.DUMMYFUNCTION("""COMPUTED_VALUE"""),"Good")</f>
        <v>Good</v>
      </c>
      <c r="S279" t="str">
        <f>IFERROR(__xludf.DUMMYFUNCTION("""COMPUTED_VALUE"""),"Good")</f>
        <v>Good</v>
      </c>
      <c r="T279" t="str">
        <f>IFERROR(__xludf.DUMMYFUNCTION("""COMPUTED_VALUE"""),"Good")</f>
        <v>Good</v>
      </c>
      <c r="U279" t="str">
        <f>IFERROR(__xludf.DUMMYFUNCTION("""COMPUTED_VALUE"""),"Good")</f>
        <v>Good</v>
      </c>
      <c r="V279" t="str">
        <f>IFERROR(__xludf.DUMMYFUNCTION("""COMPUTED_VALUE"""),"Good")</f>
        <v>Good</v>
      </c>
      <c r="W279" t="str">
        <f>IFERROR(__xludf.DUMMYFUNCTION("""COMPUTED_VALUE"""),"Good")</f>
        <v>Good</v>
      </c>
      <c r="X279" t="str">
        <f>IFERROR(__xludf.DUMMYFUNCTION("""COMPUTED_VALUE"""),"Good")</f>
        <v>Good</v>
      </c>
      <c r="Y279" t="str">
        <f>IFERROR(__xludf.DUMMYFUNCTION("""COMPUTED_VALUE"""),"Good")</f>
        <v>Good</v>
      </c>
      <c r="Z279" t="str">
        <f>IFERROR(__xludf.DUMMYFUNCTION("""COMPUTED_VALUE"""),"Good")</f>
        <v>Good</v>
      </c>
      <c r="AA279" t="str">
        <f>IFERROR(__xludf.DUMMYFUNCTION("""COMPUTED_VALUE"""),"Good")</f>
        <v>Good</v>
      </c>
      <c r="AB279" t="str">
        <f>IFERROR(__xludf.DUMMYFUNCTION("""COMPUTED_VALUE"""),"Good")</f>
        <v>Good</v>
      </c>
      <c r="AC279" t="str">
        <f>IFERROR(__xludf.DUMMYFUNCTION("""COMPUTED_VALUE"""),"Good")</f>
        <v>Good</v>
      </c>
      <c r="AE279" s="11"/>
      <c r="AF279" t="s">
        <v>32</v>
      </c>
      <c r="AG279" s="17" t="s">
        <v>18</v>
      </c>
      <c r="AH279" s="12">
        <v>1433.0</v>
      </c>
      <c r="AI279" s="12" t="s">
        <v>788</v>
      </c>
      <c r="AJ279" s="19" t="s">
        <v>789</v>
      </c>
      <c r="AK279" s="20" t="str">
        <f>HYPERLINK("https://docs.google.com/document/d/1uCFtG0-wU4D5kQQg_2QZmZQcdgRoCiQDn3rZkEBvv04/edit?usp=drivesdk","Jimmy - 4/11/2019 10:00 AM")</f>
        <v>Jimmy - 4/11/2019 10:00 AM</v>
      </c>
      <c r="AL279" s="12" t="s">
        <v>790</v>
      </c>
    </row>
    <row r="280">
      <c r="A280" s="10">
        <f>IFERROR(__xludf.DUMMYFUNCTION("""COMPUTED_VALUE"""),43565.72990515047)</f>
        <v>43565.72991</v>
      </c>
      <c r="B280" s="11" t="str">
        <f>IFERROR(__xludf.DUMMYFUNCTION("""COMPUTED_VALUE"""),"Pamela Marcum")</f>
        <v>Pamela Marcum</v>
      </c>
      <c r="C280" t="str">
        <f>IFERROR(__xludf.DUMMYFUNCTION("""COMPUTED_VALUE"""),"Pamela.Marcum@Dep.state.fl.us")</f>
        <v>Pamela.Marcum@Dep.state.fl.us</v>
      </c>
      <c r="D280" t="str">
        <f>IFERROR(__xludf.DUMMYFUNCTION("""COMPUTED_VALUE"""),"Research/Nikki")</f>
        <v>Research/Nikki</v>
      </c>
      <c r="E280" t="str">
        <f>IFERROR(__xludf.DUMMYFUNCTION("""COMPUTED_VALUE"""),"Aunt Kate's")</f>
        <v>Aunt Kate's</v>
      </c>
      <c r="F280" s="13">
        <f>IFERROR(__xludf.DUMMYFUNCTION("""COMPUTED_VALUE"""),0.75)</f>
        <v>0.75</v>
      </c>
      <c r="G280" s="14">
        <f>IFERROR(__xludf.DUMMYFUNCTION("""COMPUTED_VALUE"""),43565.0)</f>
        <v>43565</v>
      </c>
      <c r="H280" t="str">
        <f>IFERROR(__xludf.DUMMYFUNCTION("""COMPUTED_VALUE"""),"Tolomato River - Airport to Pine Island")</f>
        <v>Tolomato River - Airport to Pine Island</v>
      </c>
      <c r="I280" s="15">
        <f>IFERROR(__xludf.DUMMYFUNCTION("""COMPUTED_VALUE"""),0.875)</f>
        <v>0.875</v>
      </c>
      <c r="J280" s="16">
        <f>IFERROR(__xludf.DUMMYFUNCTION("""COMPUTED_VALUE"""),43565.89583333333)</f>
        <v>43565.89583</v>
      </c>
      <c r="K280" t="str">
        <f>IFERROR(__xludf.DUMMYFUNCTION("""COMPUTED_VALUE"""),"F 20ft Sea Ark (Easy 200) FL8534PY DEP21451")</f>
        <v>F 20ft Sea Ark (Easy 200) FL8534PY DEP21451</v>
      </c>
      <c r="M280" t="str">
        <f>IFERROR(__xludf.DUMMYFUNCTION("""COMPUTED_VALUE"""),"Ford F150 2008 - DEP18041 (SWMP Thing)")</f>
        <v>Ford F150 2008 - DEP18041 (SWMP Thing)</v>
      </c>
      <c r="N280" t="str">
        <f>IFERROR(__xludf.DUMMYFUNCTION("""COMPUTED_VALUE"""),"Pam Marcum, (480) 332-5414")</f>
        <v>Pam Marcum, (480) 332-5414</v>
      </c>
      <c r="O280" t="str">
        <f>IFERROR(__xludf.DUMMYFUNCTION("""COMPUTED_VALUE"""),"Nicole Peckham, Adrienned Breef-Pilz")</f>
        <v>Nicole Peckham, Adrienned Breef-Pilz</v>
      </c>
      <c r="P280" t="str">
        <f>IFERROR(__xludf.DUMMYFUNCTION("""COMPUTED_VALUE"""),"Pam")</f>
        <v>Pam</v>
      </c>
      <c r="Q280" t="str">
        <f>IFERROR(__xludf.DUMMYFUNCTION("""COMPUTED_VALUE"""),"Good")</f>
        <v>Good</v>
      </c>
      <c r="R280" t="str">
        <f>IFERROR(__xludf.DUMMYFUNCTION("""COMPUTED_VALUE"""),"Good")</f>
        <v>Good</v>
      </c>
      <c r="S280" t="str">
        <f>IFERROR(__xludf.DUMMYFUNCTION("""COMPUTED_VALUE"""),"Good")</f>
        <v>Good</v>
      </c>
      <c r="T280" t="str">
        <f>IFERROR(__xludf.DUMMYFUNCTION("""COMPUTED_VALUE"""),"Good")</f>
        <v>Good</v>
      </c>
      <c r="U280" t="str">
        <f>IFERROR(__xludf.DUMMYFUNCTION("""COMPUTED_VALUE"""),"Good")</f>
        <v>Good</v>
      </c>
      <c r="V280" t="str">
        <f>IFERROR(__xludf.DUMMYFUNCTION("""COMPUTED_VALUE"""),"Good")</f>
        <v>Good</v>
      </c>
      <c r="W280" t="str">
        <f>IFERROR(__xludf.DUMMYFUNCTION("""COMPUTED_VALUE"""),"Good")</f>
        <v>Good</v>
      </c>
      <c r="X280" t="str">
        <f>IFERROR(__xludf.DUMMYFUNCTION("""COMPUTED_VALUE"""),"Good")</f>
        <v>Good</v>
      </c>
      <c r="Y280" t="str">
        <f>IFERROR(__xludf.DUMMYFUNCTION("""COMPUTED_VALUE"""),"Good")</f>
        <v>Good</v>
      </c>
      <c r="Z280" t="str">
        <f>IFERROR(__xludf.DUMMYFUNCTION("""COMPUTED_VALUE"""),"Good")</f>
        <v>Good</v>
      </c>
      <c r="AA280" t="str">
        <f>IFERROR(__xludf.DUMMYFUNCTION("""COMPUTED_VALUE"""),"Good")</f>
        <v>Good</v>
      </c>
      <c r="AB280" t="str">
        <f>IFERROR(__xludf.DUMMYFUNCTION("""COMPUTED_VALUE"""),"Good")</f>
        <v>Good</v>
      </c>
      <c r="AC280" t="str">
        <f>IFERROR(__xludf.DUMMYFUNCTION("""COMPUTED_VALUE"""),"Good")</f>
        <v>Good</v>
      </c>
      <c r="AE280" s="11"/>
      <c r="AF280" t="s">
        <v>218</v>
      </c>
      <c r="AG280" s="17" t="s">
        <v>43</v>
      </c>
      <c r="AH280" s="12">
        <v>2000.0</v>
      </c>
      <c r="AI280" s="12" t="s">
        <v>791</v>
      </c>
      <c r="AJ280" s="19" t="s">
        <v>792</v>
      </c>
      <c r="AK280" s="20" t="str">
        <f>HYPERLINK("https://docs.google.com/document/d/1vdwGK0Z5I5-j4ULO9LCgVjXiYeUTqd_O3ikT0-SRIwA/edit?usp=drivesdk","Pamela Marcum - 4/10/2019 6:00 PM")</f>
        <v>Pamela Marcum - 4/10/2019 6:00 PM</v>
      </c>
      <c r="AL280" s="12" t="s">
        <v>793</v>
      </c>
    </row>
    <row r="281">
      <c r="A281" s="10">
        <f>IFERROR(__xludf.DUMMYFUNCTION("""COMPUTED_VALUE"""),43566.30049013889)</f>
        <v>43566.30049</v>
      </c>
      <c r="B281" s="11" t="str">
        <f>IFERROR(__xludf.DUMMYFUNCTION("""COMPUTED_VALUE"""),"S. Tanner")</f>
        <v>S. Tanner</v>
      </c>
      <c r="C281" t="str">
        <f>IFERROR(__xludf.DUMMYFUNCTION("""COMPUTED_VALUE"""),"silas.tanner@floridadep.gov")</f>
        <v>silas.tanner@floridadep.gov</v>
      </c>
      <c r="D281" t="str">
        <f>IFERROR(__xludf.DUMMYFUNCTION("""COMPUTED_VALUE"""),"Research/Nikki")</f>
        <v>Research/Nikki</v>
      </c>
      <c r="E281" t="str">
        <f>IFERROR(__xludf.DUMMYFUNCTION("""COMPUTED_VALUE"""),"Palm Valley Ramp")</f>
        <v>Palm Valley Ramp</v>
      </c>
      <c r="F281" s="13">
        <f>IFERROR(__xludf.DUMMYFUNCTION("""COMPUTED_VALUE"""),0.3333333333321207)</f>
        <v>0.3333333333</v>
      </c>
      <c r="G281" s="14">
        <f>IFERROR(__xludf.DUMMYFUNCTION("""COMPUTED_VALUE"""),43566.0)</f>
        <v>43566</v>
      </c>
      <c r="H281" t="str">
        <f>IFERROR(__xludf.DUMMYFUNCTION("""COMPUTED_VALUE"""),"ICW Pine Island SWMP platforms")</f>
        <v>ICW Pine Island SWMP platforms</v>
      </c>
      <c r="I281" s="15">
        <f>IFERROR(__xludf.DUMMYFUNCTION("""COMPUTED_VALUE"""),0.6041666666678793)</f>
        <v>0.6041666667</v>
      </c>
      <c r="J281" s="16">
        <f>IFERROR(__xludf.DUMMYFUNCTION("""COMPUTED_VALUE"""),43566.618055555555)</f>
        <v>43566.61806</v>
      </c>
      <c r="K281" t="str">
        <f>IFERROR(__xludf.DUMMYFUNCTION("""COMPUTED_VALUE"""),"20ft Sea Ark FL5351SJ UNF 2015")</f>
        <v>20ft Sea Ark FL5351SJ UNF 2015</v>
      </c>
      <c r="M281" t="str">
        <f>IFERROR(__xludf.DUMMYFUNCTION("""COMPUTED_VALUE"""),"Ford F250 2017 (Moby Dix) - DEP0021578")</f>
        <v>Ford F250 2017 (Moby Dix) - DEP0021578</v>
      </c>
      <c r="N281" t="str">
        <f>IFERROR(__xludf.DUMMYFUNCTION("""COMPUTED_VALUE"""),"Shannon Dunnigan, (803) 727-5734, Silas Tanner, (904) 483-8423")</f>
        <v>Shannon Dunnigan, (803) 727-5734, Silas Tanner, (904) 483-8423</v>
      </c>
      <c r="O281" t="str">
        <f>IFERROR(__xludf.DUMMYFUNCTION("""COMPUTED_VALUE"""),"Gabby Canas, Matt Sturchio")</f>
        <v>Gabby Canas, Matt Sturchio</v>
      </c>
      <c r="P281" t="str">
        <f>IFERROR(__xludf.DUMMYFUNCTION("""COMPUTED_VALUE"""),"S. Dunnigan")</f>
        <v>S. Dunnigan</v>
      </c>
      <c r="Q281" t="str">
        <f>IFERROR(__xludf.DUMMYFUNCTION("""COMPUTED_VALUE"""),"Good")</f>
        <v>Good</v>
      </c>
      <c r="R281" t="str">
        <f>IFERROR(__xludf.DUMMYFUNCTION("""COMPUTED_VALUE"""),"Good")</f>
        <v>Good</v>
      </c>
      <c r="S281" t="str">
        <f>IFERROR(__xludf.DUMMYFUNCTION("""COMPUTED_VALUE"""),"Good")</f>
        <v>Good</v>
      </c>
      <c r="T281" t="str">
        <f>IFERROR(__xludf.DUMMYFUNCTION("""COMPUTED_VALUE"""),"Good")</f>
        <v>Good</v>
      </c>
      <c r="U281" t="str">
        <f>IFERROR(__xludf.DUMMYFUNCTION("""COMPUTED_VALUE"""),"Good")</f>
        <v>Good</v>
      </c>
      <c r="V281" t="str">
        <f>IFERROR(__xludf.DUMMYFUNCTION("""COMPUTED_VALUE"""),"Good")</f>
        <v>Good</v>
      </c>
      <c r="W281" t="str">
        <f>IFERROR(__xludf.DUMMYFUNCTION("""COMPUTED_VALUE"""),"Good")</f>
        <v>Good</v>
      </c>
      <c r="X281" t="str">
        <f>IFERROR(__xludf.DUMMYFUNCTION("""COMPUTED_VALUE"""),"Good")</f>
        <v>Good</v>
      </c>
      <c r="Y281" t="str">
        <f>IFERROR(__xludf.DUMMYFUNCTION("""COMPUTED_VALUE"""),"Good")</f>
        <v>Good</v>
      </c>
      <c r="Z281" t="str">
        <f>IFERROR(__xludf.DUMMYFUNCTION("""COMPUTED_VALUE"""),"Good")</f>
        <v>Good</v>
      </c>
      <c r="AA281" t="str">
        <f>IFERROR(__xludf.DUMMYFUNCTION("""COMPUTED_VALUE"""),"Good")</f>
        <v>Good</v>
      </c>
      <c r="AB281" t="str">
        <f>IFERROR(__xludf.DUMMYFUNCTION("""COMPUTED_VALUE"""),"Good")</f>
        <v>Good</v>
      </c>
      <c r="AC281" t="str">
        <f>IFERROR(__xludf.DUMMYFUNCTION("""COMPUTED_VALUE"""),"Good")</f>
        <v>Good</v>
      </c>
      <c r="AE281" s="11"/>
      <c r="AF281" t="s">
        <v>218</v>
      </c>
      <c r="AG281" s="17" t="s">
        <v>60</v>
      </c>
      <c r="AH281" s="12">
        <v>1300.0</v>
      </c>
      <c r="AI281" s="12" t="s">
        <v>794</v>
      </c>
      <c r="AJ281" s="19" t="s">
        <v>795</v>
      </c>
      <c r="AK281" s="20" t="str">
        <f>HYPERLINK("https://docs.google.com/document/d/1ukzotZXuW2ove_jHqRm504KzOsplPkmvul8G0QbKoMY/edit?usp=drivesdk","S. Tanner - 4/11/2019 8:00 AM")</f>
        <v>S. Tanner - 4/11/2019 8:00 AM</v>
      </c>
      <c r="AL281" s="12" t="s">
        <v>796</v>
      </c>
    </row>
    <row r="282">
      <c r="A282" s="10">
        <f>IFERROR(__xludf.DUMMYFUNCTION("""COMPUTED_VALUE"""),43566.31581847223)</f>
        <v>43566.31582</v>
      </c>
      <c r="B282" s="11" t="str">
        <f>IFERROR(__xludf.DUMMYFUNCTION("""COMPUTED_VALUE"""),"Pamela Marcum")</f>
        <v>Pamela Marcum</v>
      </c>
      <c r="C282" t="str">
        <f>IFERROR(__xludf.DUMMYFUNCTION("""COMPUTED_VALUE"""),"Pamela.Marcum@dep.state.fl.us")</f>
        <v>Pamela.Marcum@dep.state.fl.us</v>
      </c>
      <c r="D282" t="str">
        <f>IFERROR(__xludf.DUMMYFUNCTION("""COMPUTED_VALUE"""),"Research/Nikki")</f>
        <v>Research/Nikki</v>
      </c>
      <c r="E282" t="str">
        <f>IFERROR(__xludf.DUMMYFUNCTION("""COMPUTED_VALUE"""),"Aunt Kate's")</f>
        <v>Aunt Kate's</v>
      </c>
      <c r="F282" s="13">
        <f>IFERROR(__xludf.DUMMYFUNCTION("""COMPUTED_VALUE"""),0.3333333333321207)</f>
        <v>0.3333333333</v>
      </c>
      <c r="G282" s="14">
        <f>IFERROR(__xludf.DUMMYFUNCTION("""COMPUTED_VALUE"""),43566.0)</f>
        <v>43566</v>
      </c>
      <c r="H282" t="str">
        <f>IFERROR(__xludf.DUMMYFUNCTION("""COMPUTED_VALUE"""),"Guana River")</f>
        <v>Guana River</v>
      </c>
      <c r="I282" s="15">
        <f>IFERROR(__xludf.DUMMYFUNCTION("""COMPUTED_VALUE"""),0.3958333333321207)</f>
        <v>0.3958333333</v>
      </c>
      <c r="J282" s="16">
        <f>IFERROR(__xludf.DUMMYFUNCTION("""COMPUTED_VALUE"""),43566.41666666667)</f>
        <v>43566.41667</v>
      </c>
      <c r="K282" t="str">
        <f>IFERROR(__xludf.DUMMYFUNCTION("""COMPUTED_VALUE"""),"F 20ft Sea Ark (Easy 200) FL8534PY DEP21451")</f>
        <v>F 20ft Sea Ark (Easy 200) FL8534PY DEP21451</v>
      </c>
      <c r="M282" t="str">
        <f>IFERROR(__xludf.DUMMYFUNCTION("""COMPUTED_VALUE"""),"Ford F150 2008 - DEP18041 (SWMP Thing)")</f>
        <v>Ford F150 2008 - DEP18041 (SWMP Thing)</v>
      </c>
      <c r="N282" t="str">
        <f>IFERROR(__xludf.DUMMYFUNCTION("""COMPUTED_VALUE"""),"Pam Marcum, (480) 332-5414")</f>
        <v>Pam Marcum, (480) 332-5414</v>
      </c>
      <c r="O282" t="str">
        <f>IFERROR(__xludf.DUMMYFUNCTION("""COMPUTED_VALUE"""),"Nicole Peckham, Adrienne Breef-Pilz")</f>
        <v>Nicole Peckham, Adrienne Breef-Pilz</v>
      </c>
      <c r="P282" t="str">
        <f>IFERROR(__xludf.DUMMYFUNCTION("""COMPUTED_VALUE"""),"Pam")</f>
        <v>Pam</v>
      </c>
      <c r="Q282" t="str">
        <f>IFERROR(__xludf.DUMMYFUNCTION("""COMPUTED_VALUE"""),"Good")</f>
        <v>Good</v>
      </c>
      <c r="R282" t="str">
        <f>IFERROR(__xludf.DUMMYFUNCTION("""COMPUTED_VALUE"""),"Good")</f>
        <v>Good</v>
      </c>
      <c r="S282" t="str">
        <f>IFERROR(__xludf.DUMMYFUNCTION("""COMPUTED_VALUE"""),"Good")</f>
        <v>Good</v>
      </c>
      <c r="T282" t="str">
        <f>IFERROR(__xludf.DUMMYFUNCTION("""COMPUTED_VALUE"""),"Good")</f>
        <v>Good</v>
      </c>
      <c r="U282" t="str">
        <f>IFERROR(__xludf.DUMMYFUNCTION("""COMPUTED_VALUE"""),"Good")</f>
        <v>Good</v>
      </c>
      <c r="V282" t="str">
        <f>IFERROR(__xludf.DUMMYFUNCTION("""COMPUTED_VALUE"""),"Good")</f>
        <v>Good</v>
      </c>
      <c r="W282" t="str">
        <f>IFERROR(__xludf.DUMMYFUNCTION("""COMPUTED_VALUE"""),"Good")</f>
        <v>Good</v>
      </c>
      <c r="X282" t="str">
        <f>IFERROR(__xludf.DUMMYFUNCTION("""COMPUTED_VALUE"""),"Good")</f>
        <v>Good</v>
      </c>
      <c r="Y282" t="str">
        <f>IFERROR(__xludf.DUMMYFUNCTION("""COMPUTED_VALUE"""),"Good")</f>
        <v>Good</v>
      </c>
      <c r="Z282" t="str">
        <f>IFERROR(__xludf.DUMMYFUNCTION("""COMPUTED_VALUE"""),"Good")</f>
        <v>Good</v>
      </c>
      <c r="AA282" t="str">
        <f>IFERROR(__xludf.DUMMYFUNCTION("""COMPUTED_VALUE"""),"Good")</f>
        <v>Good</v>
      </c>
      <c r="AB282" t="str">
        <f>IFERROR(__xludf.DUMMYFUNCTION("""COMPUTED_VALUE"""),"Good")</f>
        <v>Good</v>
      </c>
      <c r="AC282" t="str">
        <f>IFERROR(__xludf.DUMMYFUNCTION("""COMPUTED_VALUE"""),"Good")</f>
        <v>Good</v>
      </c>
      <c r="AE282" s="11"/>
      <c r="AF282" t="s">
        <v>218</v>
      </c>
      <c r="AG282" s="17" t="s">
        <v>60</v>
      </c>
      <c r="AH282" s="12">
        <v>935.0</v>
      </c>
      <c r="AI282" s="12" t="s">
        <v>797</v>
      </c>
      <c r="AJ282" s="19" t="s">
        <v>798</v>
      </c>
      <c r="AK282" s="20" t="str">
        <f>HYPERLINK("https://docs.google.com/document/d/1oHYrfxnlmihGFpWtZ-1v641ONBZilcpq2UIDfKsPFDs/edit?usp=drivesdk","Pamela Marcum - 4/11/2019 8:00 AM")</f>
        <v>Pamela Marcum - 4/11/2019 8:00 AM</v>
      </c>
      <c r="AL282" s="12" t="s">
        <v>799</v>
      </c>
    </row>
    <row r="283">
      <c r="A283" s="10">
        <f>IFERROR(__xludf.DUMMYFUNCTION("""COMPUTED_VALUE"""),43567.28321722222)</f>
        <v>43567.28322</v>
      </c>
      <c r="B283" s="11" t="str">
        <f>IFERROR(__xludf.DUMMYFUNCTION("""COMPUTED_VALUE"""),"Silas Tanner")</f>
        <v>Silas Tanner</v>
      </c>
      <c r="C283" t="str">
        <f>IFERROR(__xludf.DUMMYFUNCTION("""COMPUTED_VALUE"""),"silas.tanner@floridadep.gov")</f>
        <v>silas.tanner@floridadep.gov</v>
      </c>
      <c r="D283" t="str">
        <f>IFERROR(__xludf.DUMMYFUNCTION("""COMPUTED_VALUE"""),"Research/Nikki")</f>
        <v>Research/Nikki</v>
      </c>
      <c r="E283" t="str">
        <f>IFERROR(__xludf.DUMMYFUNCTION("""COMPUTED_VALUE"""),"Douglas Crane SJC ramp")</f>
        <v>Douglas Crane SJC ramp</v>
      </c>
      <c r="F283" s="13">
        <f>IFERROR(__xludf.DUMMYFUNCTION("""COMPUTED_VALUE"""),0.3125)</f>
        <v>0.3125</v>
      </c>
      <c r="G283" s="14">
        <f>IFERROR(__xludf.DUMMYFUNCTION("""COMPUTED_VALUE"""),43567.0)</f>
        <v>43567</v>
      </c>
      <c r="H283" t="str">
        <f>IFERROR(__xludf.DUMMYFUNCTION("""COMPUTED_VALUE"""),"ICW ""Jason's Creek"" SWMP platforms (site 22)")</f>
        <v>ICW "Jason's Creek" SWMP platforms (site 22)</v>
      </c>
      <c r="I283" s="15">
        <f>IFERROR(__xludf.DUMMYFUNCTION("""COMPUTED_VALUE"""),0.6041666666678793)</f>
        <v>0.6041666667</v>
      </c>
      <c r="J283" s="16">
        <f>IFERROR(__xludf.DUMMYFUNCTION("""COMPUTED_VALUE"""),43567.625)</f>
        <v>43567.625</v>
      </c>
      <c r="K283" t="str">
        <f>IFERROR(__xludf.DUMMYFUNCTION("""COMPUTED_VALUE"""),"20ft Sea Ark FL5351SJ UNF 2015")</f>
        <v>20ft Sea Ark FL5351SJ UNF 2015</v>
      </c>
      <c r="M283" t="str">
        <f>IFERROR(__xludf.DUMMYFUNCTION("""COMPUTED_VALUE"""),"Ford F250 2017 (Moby Dix) - DEP0021578")</f>
        <v>Ford F250 2017 (Moby Dix) - DEP0021578</v>
      </c>
      <c r="N283" t="str">
        <f>IFERROR(__xludf.DUMMYFUNCTION("""COMPUTED_VALUE"""),"Shannon Dunnigan, (803) 727-5734, Silas Tanner, (904) 483-8423")</f>
        <v>Shannon Dunnigan, (803) 727-5734, Silas Tanner, (904) 483-8423</v>
      </c>
      <c r="O283" t="str">
        <f>IFERROR(__xludf.DUMMYFUNCTION("""COMPUTED_VALUE"""),"Jessica Lee, Remo Mondazi")</f>
        <v>Jessica Lee, Remo Mondazi</v>
      </c>
      <c r="P283" t="str">
        <f>IFERROR(__xludf.DUMMYFUNCTION("""COMPUTED_VALUE"""),"S. Dunnigan")</f>
        <v>S. Dunnigan</v>
      </c>
      <c r="Q283" t="str">
        <f>IFERROR(__xludf.DUMMYFUNCTION("""COMPUTED_VALUE"""),"Good")</f>
        <v>Good</v>
      </c>
      <c r="R283" t="str">
        <f>IFERROR(__xludf.DUMMYFUNCTION("""COMPUTED_VALUE"""),"Good")</f>
        <v>Good</v>
      </c>
      <c r="S283" t="str">
        <f>IFERROR(__xludf.DUMMYFUNCTION("""COMPUTED_VALUE"""),"Good")</f>
        <v>Good</v>
      </c>
      <c r="T283" t="str">
        <f>IFERROR(__xludf.DUMMYFUNCTION("""COMPUTED_VALUE"""),"Good")</f>
        <v>Good</v>
      </c>
      <c r="U283" t="str">
        <f>IFERROR(__xludf.DUMMYFUNCTION("""COMPUTED_VALUE"""),"Good")</f>
        <v>Good</v>
      </c>
      <c r="V283" t="str">
        <f>IFERROR(__xludf.DUMMYFUNCTION("""COMPUTED_VALUE"""),"Good")</f>
        <v>Good</v>
      </c>
      <c r="W283" t="str">
        <f>IFERROR(__xludf.DUMMYFUNCTION("""COMPUTED_VALUE"""),"Good")</f>
        <v>Good</v>
      </c>
      <c r="X283" t="str">
        <f>IFERROR(__xludf.DUMMYFUNCTION("""COMPUTED_VALUE"""),"Good")</f>
        <v>Good</v>
      </c>
      <c r="Y283" t="str">
        <f>IFERROR(__xludf.DUMMYFUNCTION("""COMPUTED_VALUE"""),"Good")</f>
        <v>Good</v>
      </c>
      <c r="Z283" t="str">
        <f>IFERROR(__xludf.DUMMYFUNCTION("""COMPUTED_VALUE"""),"Good")</f>
        <v>Good</v>
      </c>
      <c r="AA283" t="str">
        <f>IFERROR(__xludf.DUMMYFUNCTION("""COMPUTED_VALUE"""),"Good")</f>
        <v>Good</v>
      </c>
      <c r="AB283" t="str">
        <f>IFERROR(__xludf.DUMMYFUNCTION("""COMPUTED_VALUE"""),"Good")</f>
        <v>Good</v>
      </c>
      <c r="AC283" t="str">
        <f>IFERROR(__xludf.DUMMYFUNCTION("""COMPUTED_VALUE"""),"Good")</f>
        <v>Good</v>
      </c>
      <c r="AE283" s="11"/>
      <c r="AF283" t="s">
        <v>218</v>
      </c>
      <c r="AG283" s="17" t="s">
        <v>128</v>
      </c>
      <c r="AH283" s="12">
        <v>1104.0</v>
      </c>
      <c r="AI283" s="12" t="s">
        <v>800</v>
      </c>
      <c r="AJ283" s="19" t="s">
        <v>801</v>
      </c>
      <c r="AK283" s="20" t="str">
        <f>HYPERLINK("https://docs.google.com/document/d/1j4CjBxVsEV7eiXaAaDkQ54i3LKlo5QbAlHvFo8FQYLI/edit?usp=drivesdk","Silas Tanner - 4/12/2019 7:30 AM")</f>
        <v>Silas Tanner - 4/12/2019 7:30 AM</v>
      </c>
      <c r="AL283" s="12" t="s">
        <v>802</v>
      </c>
    </row>
    <row r="284">
      <c r="A284" s="10">
        <f>IFERROR(__xludf.DUMMYFUNCTION("""COMPUTED_VALUE"""),43570.333977685186)</f>
        <v>43570.33398</v>
      </c>
      <c r="B284" s="11" t="str">
        <f>IFERROR(__xludf.DUMMYFUNCTION("""COMPUTED_VALUE"""),"S. Tanner")</f>
        <v>S. Tanner</v>
      </c>
      <c r="C284" t="str">
        <f>IFERROR(__xludf.DUMMYFUNCTION("""COMPUTED_VALUE"""),"silas.tanner@floridadep.gov")</f>
        <v>silas.tanner@floridadep.gov</v>
      </c>
      <c r="D284" t="str">
        <f>IFERROR(__xludf.DUMMYFUNCTION("""COMPUTED_VALUE"""),"Research/Pam")</f>
        <v>Research/Pam</v>
      </c>
      <c r="E284" t="str">
        <f>IFERROR(__xludf.DUMMYFUNCTION("""COMPUTED_VALUE"""),"Usina County Ramp")</f>
        <v>Usina County Ramp</v>
      </c>
      <c r="F284" s="13">
        <f>IFERROR(__xludf.DUMMYFUNCTION("""COMPUTED_VALUE"""),0.3541666666678793)</f>
        <v>0.3541666667</v>
      </c>
      <c r="G284" s="14">
        <f>IFERROR(__xludf.DUMMYFUNCTION("""COMPUTED_VALUE"""),43570.0)</f>
        <v>43570</v>
      </c>
      <c r="H284" t="str">
        <f>IFERROR(__xludf.DUMMYFUNCTION("""COMPUTED_VALUE"""),"ICW - North River: Hat Island SWMP platforms")</f>
        <v>ICW - North River: Hat Island SWMP platforms</v>
      </c>
      <c r="I284" s="15">
        <f>IFERROR(__xludf.DUMMYFUNCTION("""COMPUTED_VALUE"""),0.5625)</f>
        <v>0.5625</v>
      </c>
      <c r="J284" s="16">
        <f>IFERROR(__xludf.DUMMYFUNCTION("""COMPUTED_VALUE"""),43570.58333333333)</f>
        <v>43570.58333</v>
      </c>
      <c r="K284" t="str">
        <f>IFERROR(__xludf.DUMMYFUNCTION("""COMPUTED_VALUE"""),"20ft Sea Ark FL5351SJ UNF 2015")</f>
        <v>20ft Sea Ark FL5351SJ UNF 2015</v>
      </c>
      <c r="M284" t="str">
        <f>IFERROR(__xludf.DUMMYFUNCTION("""COMPUTED_VALUE"""),"Ford F250 2017 (Moby Dix) - DEP0021578")</f>
        <v>Ford F250 2017 (Moby Dix) - DEP0021578</v>
      </c>
      <c r="N284" t="str">
        <f>IFERROR(__xludf.DUMMYFUNCTION("""COMPUTED_VALUE"""),"Shannon Dunnigan, (803) 727-5734, Silas Tanner, (904) 483-8423")</f>
        <v>Shannon Dunnigan, (803) 727-5734, Silas Tanner, (904) 483-8423</v>
      </c>
      <c r="O284" t="str">
        <f>IFERROR(__xludf.DUMMYFUNCTION("""COMPUTED_VALUE"""),"Jeff Finnan")</f>
        <v>Jeff Finnan</v>
      </c>
      <c r="P284" t="str">
        <f>IFERROR(__xludf.DUMMYFUNCTION("""COMPUTED_VALUE"""),"S. Dunnigan")</f>
        <v>S. Dunnigan</v>
      </c>
      <c r="Q284" t="str">
        <f>IFERROR(__xludf.DUMMYFUNCTION("""COMPUTED_VALUE"""),"Good")</f>
        <v>Good</v>
      </c>
      <c r="R284" t="str">
        <f>IFERROR(__xludf.DUMMYFUNCTION("""COMPUTED_VALUE"""),"Good")</f>
        <v>Good</v>
      </c>
      <c r="S284" t="str">
        <f>IFERROR(__xludf.DUMMYFUNCTION("""COMPUTED_VALUE"""),"Good")</f>
        <v>Good</v>
      </c>
      <c r="T284" t="str">
        <f>IFERROR(__xludf.DUMMYFUNCTION("""COMPUTED_VALUE"""),"Good")</f>
        <v>Good</v>
      </c>
      <c r="U284" t="str">
        <f>IFERROR(__xludf.DUMMYFUNCTION("""COMPUTED_VALUE"""),"Good")</f>
        <v>Good</v>
      </c>
      <c r="V284" t="str">
        <f>IFERROR(__xludf.DUMMYFUNCTION("""COMPUTED_VALUE"""),"Good")</f>
        <v>Good</v>
      </c>
      <c r="W284" t="str">
        <f>IFERROR(__xludf.DUMMYFUNCTION("""COMPUTED_VALUE"""),"Good")</f>
        <v>Good</v>
      </c>
      <c r="X284" t="str">
        <f>IFERROR(__xludf.DUMMYFUNCTION("""COMPUTED_VALUE"""),"Good")</f>
        <v>Good</v>
      </c>
      <c r="Y284" t="str">
        <f>IFERROR(__xludf.DUMMYFUNCTION("""COMPUTED_VALUE"""),"Good")</f>
        <v>Good</v>
      </c>
      <c r="Z284" t="str">
        <f>IFERROR(__xludf.DUMMYFUNCTION("""COMPUTED_VALUE"""),"Good")</f>
        <v>Good</v>
      </c>
      <c r="AA284" t="str">
        <f>IFERROR(__xludf.DUMMYFUNCTION("""COMPUTED_VALUE"""),"Good")</f>
        <v>Good</v>
      </c>
      <c r="AB284" t="str">
        <f>IFERROR(__xludf.DUMMYFUNCTION("""COMPUTED_VALUE"""),"Good")</f>
        <v>Good</v>
      </c>
      <c r="AC284" t="str">
        <f>IFERROR(__xludf.DUMMYFUNCTION("""COMPUTED_VALUE"""),"Good")</f>
        <v>Good</v>
      </c>
      <c r="AE284" s="11"/>
      <c r="AF284" t="s">
        <v>262</v>
      </c>
      <c r="AG284" s="17" t="s">
        <v>18</v>
      </c>
      <c r="AH284" s="12">
        <v>1430.0</v>
      </c>
      <c r="AI284" s="12" t="s">
        <v>803</v>
      </c>
      <c r="AJ284" s="19" t="s">
        <v>804</v>
      </c>
      <c r="AK284" s="20" t="str">
        <f>HYPERLINK("https://docs.google.com/document/d/1TyLRb51S5K0bKOXgD50rIy_6EfG9cLwNzFQtV53qkSg/edit?usp=drivesdk","S. Tanner - 4/15/2019 8:30 AM")</f>
        <v>S. Tanner - 4/15/2019 8:30 AM</v>
      </c>
      <c r="AL284" s="12" t="s">
        <v>805</v>
      </c>
    </row>
    <row r="285">
      <c r="A285" s="10">
        <f>IFERROR(__xludf.DUMMYFUNCTION("""COMPUTED_VALUE"""),43572.60655274305)</f>
        <v>43572.60655</v>
      </c>
      <c r="B285" s="11" t="str">
        <f>IFERROR(__xludf.DUMMYFUNCTION("""COMPUTED_VALUE"""),"Silas Tanner")</f>
        <v>Silas Tanner</v>
      </c>
      <c r="C285" t="str">
        <f>IFERROR(__xludf.DUMMYFUNCTION("""COMPUTED_VALUE"""),"silas.tanner@floridadep.gov")</f>
        <v>silas.tanner@floridadep.gov</v>
      </c>
      <c r="D285" t="str">
        <f>IFERROR(__xludf.DUMMYFUNCTION("""COMPUTED_VALUE"""),"Research/Nikki")</f>
        <v>Research/Nikki</v>
      </c>
      <c r="E285" t="str">
        <f>IFERROR(__xludf.DUMMYFUNCTION("""COMPUTED_VALUE"""),"Vilano Landing")</f>
        <v>Vilano Landing</v>
      </c>
      <c r="F285" s="13">
        <f>IFERROR(__xludf.DUMMYFUNCTION("""COMPUTED_VALUE"""),0.34375)</f>
        <v>0.34375</v>
      </c>
      <c r="G285" s="14">
        <f>IFERROR(__xludf.DUMMYFUNCTION("""COMPUTED_VALUE"""),43573.0)</f>
        <v>43573</v>
      </c>
      <c r="H285" t="str">
        <f>IFERROR(__xludf.DUMMYFUNCTION("""COMPUTED_VALUE"""),"ICW - SWMP sites")</f>
        <v>ICW - SWMP sites</v>
      </c>
      <c r="I285" s="15">
        <f>IFERROR(__xludf.DUMMYFUNCTION("""COMPUTED_VALUE"""),0.5520833333321207)</f>
        <v>0.5520833333</v>
      </c>
      <c r="J285" s="16">
        <f>IFERROR(__xludf.DUMMYFUNCTION("""COMPUTED_VALUE"""),43573.5625)</f>
        <v>43573.5625</v>
      </c>
      <c r="K285" t="str">
        <f>IFERROR(__xludf.DUMMYFUNCTION("""COMPUTED_VALUE"""),"20ft Sea Ark FL5351SJ UNF 2015")</f>
        <v>20ft Sea Ark FL5351SJ UNF 2015</v>
      </c>
      <c r="M285" t="str">
        <f>IFERROR(__xludf.DUMMYFUNCTION("""COMPUTED_VALUE"""),"Ford F150 2015 (White) - DEP21448")</f>
        <v>Ford F150 2015 (White) - DEP21448</v>
      </c>
      <c r="N285" t="str">
        <f>IFERROR(__xludf.DUMMYFUNCTION("""COMPUTED_VALUE"""),"Silas Tanner, (904) 483-8423")</f>
        <v>Silas Tanner, (904) 483-8423</v>
      </c>
      <c r="O285" t="str">
        <f>IFERROR(__xludf.DUMMYFUNCTION("""COMPUTED_VALUE"""),"Jeff Finnan")</f>
        <v>Jeff Finnan</v>
      </c>
      <c r="P285" t="str">
        <f>IFERROR(__xludf.DUMMYFUNCTION("""COMPUTED_VALUE"""),"Tanner")</f>
        <v>Tanner</v>
      </c>
      <c r="Q285" t="str">
        <f>IFERROR(__xludf.DUMMYFUNCTION("""COMPUTED_VALUE"""),"Good")</f>
        <v>Good</v>
      </c>
      <c r="R285" t="str">
        <f>IFERROR(__xludf.DUMMYFUNCTION("""COMPUTED_VALUE"""),"Good")</f>
        <v>Good</v>
      </c>
      <c r="S285" t="str">
        <f>IFERROR(__xludf.DUMMYFUNCTION("""COMPUTED_VALUE"""),"Good")</f>
        <v>Good</v>
      </c>
      <c r="T285" t="str">
        <f>IFERROR(__xludf.DUMMYFUNCTION("""COMPUTED_VALUE"""),"Good")</f>
        <v>Good</v>
      </c>
      <c r="U285" t="str">
        <f>IFERROR(__xludf.DUMMYFUNCTION("""COMPUTED_VALUE"""),"Good")</f>
        <v>Good</v>
      </c>
      <c r="V285" t="str">
        <f>IFERROR(__xludf.DUMMYFUNCTION("""COMPUTED_VALUE"""),"Good")</f>
        <v>Good</v>
      </c>
      <c r="W285" t="str">
        <f>IFERROR(__xludf.DUMMYFUNCTION("""COMPUTED_VALUE"""),"Good")</f>
        <v>Good</v>
      </c>
      <c r="X285" t="str">
        <f>IFERROR(__xludf.DUMMYFUNCTION("""COMPUTED_VALUE"""),"Good")</f>
        <v>Good</v>
      </c>
      <c r="Y285" t="str">
        <f>IFERROR(__xludf.DUMMYFUNCTION("""COMPUTED_VALUE"""),"Good")</f>
        <v>Good</v>
      </c>
      <c r="Z285" t="str">
        <f>IFERROR(__xludf.DUMMYFUNCTION("""COMPUTED_VALUE"""),"Good")</f>
        <v>Good</v>
      </c>
      <c r="AA285" t="str">
        <f>IFERROR(__xludf.DUMMYFUNCTION("""COMPUTED_VALUE"""),"Good")</f>
        <v>Good</v>
      </c>
      <c r="AB285" t="str">
        <f>IFERROR(__xludf.DUMMYFUNCTION("""COMPUTED_VALUE"""),"Good")</f>
        <v>Good</v>
      </c>
      <c r="AC285" t="str">
        <f>IFERROR(__xludf.DUMMYFUNCTION("""COMPUTED_VALUE"""),"Good")</f>
        <v>Good</v>
      </c>
      <c r="AE285" s="11"/>
      <c r="AF285" t="s">
        <v>218</v>
      </c>
      <c r="AG285" s="17" t="s">
        <v>60</v>
      </c>
      <c r="AH285" s="12">
        <v>1255.0</v>
      </c>
      <c r="AI285" s="12" t="s">
        <v>806</v>
      </c>
      <c r="AJ285" s="19" t="s">
        <v>807</v>
      </c>
      <c r="AK285" s="20" t="str">
        <f>HYPERLINK("https://docs.google.com/document/d/1Jwwqnazwww9YKvWyHVkc7djKCR6FkjdvBevqEEgTxgc/edit?usp=drivesdk","Silas Tanner - 4/18/2019 8:15 AM")</f>
        <v>Silas Tanner - 4/18/2019 8:15 AM</v>
      </c>
      <c r="AL285" s="12" t="s">
        <v>808</v>
      </c>
    </row>
    <row r="286">
      <c r="A286" s="10">
        <f>IFERROR(__xludf.DUMMYFUNCTION("""COMPUTED_VALUE"""),43581.549160925926)</f>
        <v>43581.54916</v>
      </c>
      <c r="B286" s="11" t="str">
        <f>IFERROR(__xludf.DUMMYFUNCTION("""COMPUTED_VALUE"""),"Pamela Marcum")</f>
        <v>Pamela Marcum</v>
      </c>
      <c r="C286" t="str">
        <f>IFERROR(__xludf.DUMMYFUNCTION("""COMPUTED_VALUE"""),"Pamela.Marcum@dep.state.fl.us")</f>
        <v>Pamela.Marcum@dep.state.fl.us</v>
      </c>
      <c r="D286" t="str">
        <f>IFERROR(__xludf.DUMMYFUNCTION("""COMPUTED_VALUE"""),"Research/Nikki")</f>
        <v>Research/Nikki</v>
      </c>
      <c r="E286" t="str">
        <f>IFERROR(__xludf.DUMMYFUNCTION("""COMPUTED_VALUE"""),"Shore Dr")</f>
        <v>Shore Dr</v>
      </c>
      <c r="F286" s="13">
        <f>IFERROR(__xludf.DUMMYFUNCTION("""COMPUTED_VALUE"""),0.5833333333321207)</f>
        <v>0.5833333333</v>
      </c>
      <c r="G286" s="14">
        <f>IFERROR(__xludf.DUMMYFUNCTION("""COMPUTED_VALUE"""),43581.0)</f>
        <v>43581</v>
      </c>
      <c r="H286" t="str">
        <f>IFERROR(__xludf.DUMMYFUNCTION("""COMPUTED_VALUE"""),"Gabbys Creek - WETFEET site")</f>
        <v>Gabbys Creek - WETFEET site</v>
      </c>
      <c r="I286" s="15">
        <f>IFERROR(__xludf.DUMMYFUNCTION("""COMPUTED_VALUE"""),0.7291666666678793)</f>
        <v>0.7291666667</v>
      </c>
      <c r="J286" s="16">
        <f>IFERROR(__xludf.DUMMYFUNCTION("""COMPUTED_VALUE"""),43581.75)</f>
        <v>43581.75</v>
      </c>
      <c r="K286" t="str">
        <f>IFERROR(__xludf.DUMMYFUNCTION("""COMPUTED_VALUE"""),"20ft Sea Ark FL5351SJ UNF 2015")</f>
        <v>20ft Sea Ark FL5351SJ UNF 2015</v>
      </c>
      <c r="M286" t="str">
        <f>IFERROR(__xludf.DUMMYFUNCTION("""COMPUTED_VALUE"""),"Ford F150 2008 - DEP18041 (SWMP Thing)")</f>
        <v>Ford F150 2008 - DEP18041 (SWMP Thing)</v>
      </c>
      <c r="N286" t="str">
        <f>IFERROR(__xludf.DUMMYFUNCTION("""COMPUTED_VALUE"""),"Pam Marcum, (480) 332-5414")</f>
        <v>Pam Marcum, (480) 332-5414</v>
      </c>
      <c r="O286" t="str">
        <f>IFERROR(__xludf.DUMMYFUNCTION("""COMPUTED_VALUE"""),"Gabriela Canas, (904) 891-9743")</f>
        <v>Gabriela Canas, (904) 891-9743</v>
      </c>
      <c r="P286" t="str">
        <f>IFERROR(__xludf.DUMMYFUNCTION("""COMPUTED_VALUE"""),"Pam")</f>
        <v>Pam</v>
      </c>
      <c r="Q286" t="str">
        <f>IFERROR(__xludf.DUMMYFUNCTION("""COMPUTED_VALUE"""),"Good")</f>
        <v>Good</v>
      </c>
      <c r="R286" t="str">
        <f>IFERROR(__xludf.DUMMYFUNCTION("""COMPUTED_VALUE"""),"Good")</f>
        <v>Good</v>
      </c>
      <c r="S286" t="str">
        <f>IFERROR(__xludf.DUMMYFUNCTION("""COMPUTED_VALUE"""),"Good")</f>
        <v>Good</v>
      </c>
      <c r="T286" t="str">
        <f>IFERROR(__xludf.DUMMYFUNCTION("""COMPUTED_VALUE"""),"Good")</f>
        <v>Good</v>
      </c>
      <c r="U286" t="str">
        <f>IFERROR(__xludf.DUMMYFUNCTION("""COMPUTED_VALUE"""),"Good")</f>
        <v>Good</v>
      </c>
      <c r="V286" t="str">
        <f>IFERROR(__xludf.DUMMYFUNCTION("""COMPUTED_VALUE"""),"Good")</f>
        <v>Good</v>
      </c>
      <c r="W286" t="str">
        <f>IFERROR(__xludf.DUMMYFUNCTION("""COMPUTED_VALUE"""),"Good")</f>
        <v>Good</v>
      </c>
      <c r="X286" t="str">
        <f>IFERROR(__xludf.DUMMYFUNCTION("""COMPUTED_VALUE"""),"Good")</f>
        <v>Good</v>
      </c>
      <c r="Y286" t="str">
        <f>IFERROR(__xludf.DUMMYFUNCTION("""COMPUTED_VALUE"""),"Good")</f>
        <v>Good</v>
      </c>
      <c r="Z286" t="str">
        <f>IFERROR(__xludf.DUMMYFUNCTION("""COMPUTED_VALUE"""),"Good")</f>
        <v>Good</v>
      </c>
      <c r="AA286" t="str">
        <f>IFERROR(__xludf.DUMMYFUNCTION("""COMPUTED_VALUE"""),"Good")</f>
        <v>Good</v>
      </c>
      <c r="AB286" t="str">
        <f>IFERROR(__xludf.DUMMYFUNCTION("""COMPUTED_VALUE"""),"Good")</f>
        <v>Good</v>
      </c>
      <c r="AC286" t="str">
        <f>IFERROR(__xludf.DUMMYFUNCTION("""COMPUTED_VALUE"""),"Good")</f>
        <v>Good</v>
      </c>
      <c r="AE286" s="11"/>
      <c r="AF286" t="s">
        <v>218</v>
      </c>
      <c r="AG286" s="17" t="s">
        <v>43</v>
      </c>
      <c r="AH286" s="12">
        <v>1615.0</v>
      </c>
      <c r="AI286" s="12" t="s">
        <v>809</v>
      </c>
      <c r="AJ286" s="19" t="s">
        <v>810</v>
      </c>
      <c r="AK286" s="20" t="str">
        <f>HYPERLINK("https://docs.google.com/document/d/1u7s5sF6N4c08VUpD9QaNfb9XH2JWFuYc9n9uv0nmrXs/edit?usp=drivesdk","Pamela Marcum - 4/26/2019 2:00 PM")</f>
        <v>Pamela Marcum - 4/26/2019 2:00 PM</v>
      </c>
      <c r="AL286" s="12" t="s">
        <v>811</v>
      </c>
    </row>
    <row r="287">
      <c r="A287" s="10">
        <f>IFERROR(__xludf.DUMMYFUNCTION("""COMPUTED_VALUE"""),43585.37313579861)</f>
        <v>43585.37314</v>
      </c>
      <c r="B287" s="11" t="str">
        <f>IFERROR(__xludf.DUMMYFUNCTION("""COMPUTED_VALUE"""),"Silas Tanner")</f>
        <v>Silas Tanner</v>
      </c>
      <c r="D287" t="str">
        <f>IFERROR(__xludf.DUMMYFUNCTION("""COMPUTED_VALUE"""),"Research/Nikki")</f>
        <v>Research/Nikki</v>
      </c>
      <c r="E287" t="str">
        <f>IFERROR(__xludf.DUMMYFUNCTION("""COMPUTED_VALUE"""),"Vilano Landing")</f>
        <v>Vilano Landing</v>
      </c>
      <c r="F287" s="13">
        <f>IFERROR(__xludf.DUMMYFUNCTION("""COMPUTED_VALUE"""),0.3020833333321207)</f>
        <v>0.3020833333</v>
      </c>
      <c r="G287" s="14">
        <f>IFERROR(__xludf.DUMMYFUNCTION("""COMPUTED_VALUE"""),43586.0)</f>
        <v>43586</v>
      </c>
      <c r="H287" t="str">
        <f>IFERROR(__xludf.DUMMYFUNCTION("""COMPUTED_VALUE"""),"ICW SWMP sites")</f>
        <v>ICW SWMP sites</v>
      </c>
      <c r="I287" s="15">
        <f>IFERROR(__xludf.DUMMYFUNCTION("""COMPUTED_VALUE"""),0.5104166666678793)</f>
        <v>0.5104166667</v>
      </c>
      <c r="J287" s="16">
        <f>IFERROR(__xludf.DUMMYFUNCTION("""COMPUTED_VALUE"""),43586.52083333333)</f>
        <v>43586.52083</v>
      </c>
      <c r="K287" t="str">
        <f>IFERROR(__xludf.DUMMYFUNCTION("""COMPUTED_VALUE"""),"F 20ft Sea Ark (Easy 200) FL8534PY DEP21451")</f>
        <v>F 20ft Sea Ark (Easy 200) FL8534PY DEP21451</v>
      </c>
      <c r="M287" t="str">
        <f>IFERROR(__xludf.DUMMYFUNCTION("""COMPUTED_VALUE"""),"Ford F250 2017 (Moby Dix) - DEP0021578")</f>
        <v>Ford F250 2017 (Moby Dix) - DEP0021578</v>
      </c>
      <c r="N287" t="str">
        <f>IFERROR(__xludf.DUMMYFUNCTION("""COMPUTED_VALUE"""),"Silas Tanner, (904) 483-8423, Jimmy Tomazinis, (904) 547-0094")</f>
        <v>Silas Tanner, (904) 483-8423, Jimmy Tomazinis, (904) 547-0094</v>
      </c>
      <c r="O287" t="str">
        <f>IFERROR(__xludf.DUMMYFUNCTION("""COMPUTED_VALUE"""),"Bella Kitzis")</f>
        <v>Bella Kitzis</v>
      </c>
      <c r="P287" t="str">
        <f>IFERROR(__xludf.DUMMYFUNCTION("""COMPUTED_VALUE"""),"J. Tomazinis")</f>
        <v>J. Tomazinis</v>
      </c>
      <c r="Q287" t="str">
        <f>IFERROR(__xludf.DUMMYFUNCTION("""COMPUTED_VALUE"""),"Good")</f>
        <v>Good</v>
      </c>
      <c r="R287" t="str">
        <f>IFERROR(__xludf.DUMMYFUNCTION("""COMPUTED_VALUE"""),"Good")</f>
        <v>Good</v>
      </c>
      <c r="S287" t="str">
        <f>IFERROR(__xludf.DUMMYFUNCTION("""COMPUTED_VALUE"""),"Good")</f>
        <v>Good</v>
      </c>
      <c r="T287" t="str">
        <f>IFERROR(__xludf.DUMMYFUNCTION("""COMPUTED_VALUE"""),"Good")</f>
        <v>Good</v>
      </c>
      <c r="U287" t="str">
        <f>IFERROR(__xludf.DUMMYFUNCTION("""COMPUTED_VALUE"""),"Good")</f>
        <v>Good</v>
      </c>
      <c r="V287" t="str">
        <f>IFERROR(__xludf.DUMMYFUNCTION("""COMPUTED_VALUE"""),"Good")</f>
        <v>Good</v>
      </c>
      <c r="W287" t="str">
        <f>IFERROR(__xludf.DUMMYFUNCTION("""COMPUTED_VALUE"""),"Good")</f>
        <v>Good</v>
      </c>
      <c r="X287" t="str">
        <f>IFERROR(__xludf.DUMMYFUNCTION("""COMPUTED_VALUE"""),"Good")</f>
        <v>Good</v>
      </c>
      <c r="Y287" t="str">
        <f>IFERROR(__xludf.DUMMYFUNCTION("""COMPUTED_VALUE"""),"Good")</f>
        <v>Good</v>
      </c>
      <c r="Z287" t="str">
        <f>IFERROR(__xludf.DUMMYFUNCTION("""COMPUTED_VALUE"""),"Good")</f>
        <v>Good</v>
      </c>
      <c r="AA287" t="str">
        <f>IFERROR(__xludf.DUMMYFUNCTION("""COMPUTED_VALUE"""),"Good")</f>
        <v>Good</v>
      </c>
      <c r="AB287" t="str">
        <f>IFERROR(__xludf.DUMMYFUNCTION("""COMPUTED_VALUE"""),"Good")</f>
        <v>Good</v>
      </c>
      <c r="AC287" t="str">
        <f>IFERROR(__xludf.DUMMYFUNCTION("""COMPUTED_VALUE"""),"Good")</f>
        <v>Good</v>
      </c>
      <c r="AE287" s="11"/>
      <c r="AF287" t="s">
        <v>218</v>
      </c>
      <c r="AG287" s="17" t="s">
        <v>18</v>
      </c>
      <c r="AH287" s="12">
        <v>1135.0</v>
      </c>
      <c r="AI287" s="12" t="s">
        <v>812</v>
      </c>
      <c r="AJ287" s="19" t="s">
        <v>813</v>
      </c>
      <c r="AK287" s="20" t="str">
        <f>HYPERLINK("https://docs.google.com/document/d/1yVYWUcznor89rZKLN7JNHkOJi-hKAXwvKPawozANPrs/edit?usp=drivesdk","Silas Tanner - 5/1/2019 7:15 AM")</f>
        <v>Silas Tanner - 5/1/2019 7:15 AM</v>
      </c>
      <c r="AL287" s="12" t="s">
        <v>814</v>
      </c>
    </row>
    <row r="288">
      <c r="A288" s="10">
        <f>IFERROR(__xludf.DUMMYFUNCTION("""COMPUTED_VALUE"""),43586.36768940972)</f>
        <v>43586.36769</v>
      </c>
      <c r="B288" s="11" t="str">
        <f>IFERROR(__xludf.DUMMYFUNCTION("""COMPUTED_VALUE"""),"Pamela Marcum")</f>
        <v>Pamela Marcum</v>
      </c>
      <c r="C288" t="str">
        <f>IFERROR(__xludf.DUMMYFUNCTION("""COMPUTED_VALUE"""),"Pamela.Marcum@dep.state.fl.us")</f>
        <v>Pamela.Marcum@dep.state.fl.us</v>
      </c>
      <c r="D288" t="str">
        <f>IFERROR(__xludf.DUMMYFUNCTION("""COMPUTED_VALUE"""),"Research/Nikki")</f>
        <v>Research/Nikki</v>
      </c>
      <c r="E288" t="str">
        <f>IFERROR(__xludf.DUMMYFUNCTION("""COMPUTED_VALUE"""),"Vilano")</f>
        <v>Vilano</v>
      </c>
      <c r="F288" s="13">
        <f>IFERROR(__xludf.DUMMYFUNCTION("""COMPUTED_VALUE"""),0.4583333333321207)</f>
        <v>0.4583333333</v>
      </c>
      <c r="G288" s="14">
        <f>IFERROR(__xludf.DUMMYFUNCTION("""COMPUTED_VALUE"""),43586.0)</f>
        <v>43586</v>
      </c>
      <c r="H288" t="str">
        <f>IFERROR(__xludf.DUMMYFUNCTION("""COMPUTED_VALUE"""),"Salt Run, St Augustine, Matanzas River Spat Trees")</f>
        <v>Salt Run, St Augustine, Matanzas River Spat Trees</v>
      </c>
      <c r="I288" s="15">
        <f>IFERROR(__xludf.DUMMYFUNCTION("""COMPUTED_VALUE"""),0.6875)</f>
        <v>0.6875</v>
      </c>
      <c r="J288" s="16">
        <f>IFERROR(__xludf.DUMMYFUNCTION("""COMPUTED_VALUE"""),43586.70833333333)</f>
        <v>43586.70833</v>
      </c>
      <c r="K288" t="str">
        <f>IFERROR(__xludf.DUMMYFUNCTION("""COMPUTED_VALUE"""),"20ft Sea Ark FL5351SJ UNF 2015")</f>
        <v>20ft Sea Ark FL5351SJ UNF 2015</v>
      </c>
      <c r="M288" t="str">
        <f>IFERROR(__xludf.DUMMYFUNCTION("""COMPUTED_VALUE"""),"Ford F150 2008 - DEP18041 (SWMP Thing)")</f>
        <v>Ford F150 2008 - DEP18041 (SWMP Thing)</v>
      </c>
      <c r="N288" t="str">
        <f>IFERROR(__xludf.DUMMYFUNCTION("""COMPUTED_VALUE"""),"Pam Marcum, (480) 332-5414")</f>
        <v>Pam Marcum, (480) 332-5414</v>
      </c>
      <c r="O288" t="str">
        <f>IFERROR(__xludf.DUMMYFUNCTION("""COMPUTED_VALUE"""),"Terri Calleson")</f>
        <v>Terri Calleson</v>
      </c>
      <c r="P288" t="str">
        <f>IFERROR(__xludf.DUMMYFUNCTION("""COMPUTED_VALUE"""),"Pam")</f>
        <v>Pam</v>
      </c>
      <c r="Q288" t="str">
        <f>IFERROR(__xludf.DUMMYFUNCTION("""COMPUTED_VALUE"""),"Good")</f>
        <v>Good</v>
      </c>
      <c r="R288" t="str">
        <f>IFERROR(__xludf.DUMMYFUNCTION("""COMPUTED_VALUE"""),"Good")</f>
        <v>Good</v>
      </c>
      <c r="S288" t="str">
        <f>IFERROR(__xludf.DUMMYFUNCTION("""COMPUTED_VALUE"""),"Good")</f>
        <v>Good</v>
      </c>
      <c r="T288" t="str">
        <f>IFERROR(__xludf.DUMMYFUNCTION("""COMPUTED_VALUE"""),"Good")</f>
        <v>Good</v>
      </c>
      <c r="U288" t="str">
        <f>IFERROR(__xludf.DUMMYFUNCTION("""COMPUTED_VALUE"""),"Good")</f>
        <v>Good</v>
      </c>
      <c r="V288" t="str">
        <f>IFERROR(__xludf.DUMMYFUNCTION("""COMPUTED_VALUE"""),"Good")</f>
        <v>Good</v>
      </c>
      <c r="W288" t="str">
        <f>IFERROR(__xludf.DUMMYFUNCTION("""COMPUTED_VALUE"""),"Good")</f>
        <v>Good</v>
      </c>
      <c r="X288" t="str">
        <f>IFERROR(__xludf.DUMMYFUNCTION("""COMPUTED_VALUE"""),"Good")</f>
        <v>Good</v>
      </c>
      <c r="Y288" t="str">
        <f>IFERROR(__xludf.DUMMYFUNCTION("""COMPUTED_VALUE"""),"Good")</f>
        <v>Good</v>
      </c>
      <c r="Z288" t="str">
        <f>IFERROR(__xludf.DUMMYFUNCTION("""COMPUTED_VALUE"""),"Good")</f>
        <v>Good</v>
      </c>
      <c r="AA288" t="str">
        <f>IFERROR(__xludf.DUMMYFUNCTION("""COMPUTED_VALUE"""),"Good")</f>
        <v>Good</v>
      </c>
      <c r="AB288" t="str">
        <f>IFERROR(__xludf.DUMMYFUNCTION("""COMPUTED_VALUE"""),"Good")</f>
        <v>Good</v>
      </c>
      <c r="AC288" t="str">
        <f>IFERROR(__xludf.DUMMYFUNCTION("""COMPUTED_VALUE"""),"Good")</f>
        <v>Good</v>
      </c>
      <c r="AE288" s="11"/>
      <c r="AF288" t="s">
        <v>218</v>
      </c>
      <c r="AG288" s="17" t="s">
        <v>43</v>
      </c>
      <c r="AH288" s="12">
        <v>1645.0</v>
      </c>
      <c r="AI288" s="12" t="s">
        <v>815</v>
      </c>
      <c r="AJ288" s="19" t="s">
        <v>816</v>
      </c>
      <c r="AK288" s="20" t="str">
        <f>HYPERLINK("https://docs.google.com/document/d/1eXlcmMIv9zUf7k-HL1ZFahKVKf9u1qFeaJAyflX6R20/edit?usp=drivesdk","Pamela Marcum - 5/1/2019 11:00 AM")</f>
        <v>Pamela Marcum - 5/1/2019 11:00 AM</v>
      </c>
      <c r="AL288" s="12" t="s">
        <v>817</v>
      </c>
    </row>
    <row r="289">
      <c r="A289" s="10">
        <f>IFERROR(__xludf.DUMMYFUNCTION("""COMPUTED_VALUE"""),43586.67928586806)</f>
        <v>43586.67929</v>
      </c>
      <c r="B289" s="11" t="str">
        <f>IFERROR(__xludf.DUMMYFUNCTION("""COMPUTED_VALUE"""),"James Tomazinis")</f>
        <v>James Tomazinis</v>
      </c>
      <c r="C289" t="str">
        <f>IFERROR(__xludf.DUMMYFUNCTION("""COMPUTED_VALUE"""),"james.tomazinis@floridadep.gov")</f>
        <v>james.tomazinis@floridadep.gov</v>
      </c>
      <c r="D289" t="str">
        <f>IFERROR(__xludf.DUMMYFUNCTION("""COMPUTED_VALUE"""),"Stewardship (Aquatic)")</f>
        <v>Stewardship (Aquatic)</v>
      </c>
      <c r="E289" t="str">
        <f>IFERROR(__xludf.DUMMYFUNCTION("""COMPUTED_VALUE"""),"Guana Dam")</f>
        <v>Guana Dam</v>
      </c>
      <c r="F289" s="13">
        <f>IFERROR(__xludf.DUMMYFUNCTION("""COMPUTED_VALUE"""),0.3541666666678793)</f>
        <v>0.3541666667</v>
      </c>
      <c r="G289" s="14">
        <f>IFERROR(__xludf.DUMMYFUNCTION("""COMPUTED_VALUE"""),43587.0)</f>
        <v>43587</v>
      </c>
      <c r="H289" t="str">
        <f>IFERROR(__xludf.DUMMYFUNCTION("""COMPUTED_VALUE"""),"Guana River WQ sites")</f>
        <v>Guana River WQ sites</v>
      </c>
      <c r="I289" s="15">
        <f>IFERROR(__xludf.DUMMYFUNCTION("""COMPUTED_VALUE"""),0.4375)</f>
        <v>0.4375</v>
      </c>
      <c r="J289" s="16"/>
      <c r="K289" t="str">
        <f>IFERROR(__xludf.DUMMYFUNCTION("""COMPUTED_VALUE"""),"Jon Boat FL0484NP DEP06819")</f>
        <v>Jon Boat FL0484NP DEP06819</v>
      </c>
      <c r="M289" t="str">
        <f>IFERROR(__xludf.DUMMYFUNCTION("""COMPUTED_VALUE"""),"Ford F150 2015 (White) - DEP21448")</f>
        <v>Ford F150 2015 (White) - DEP21448</v>
      </c>
      <c r="N289" t="str">
        <f>IFERROR(__xludf.DUMMYFUNCTION("""COMPUTED_VALUE"""),"Jimmy Tomazinis, (904) 547-0094")</f>
        <v>Jimmy Tomazinis, (904) 547-0094</v>
      </c>
      <c r="O289" t="str">
        <f>IFERROR(__xludf.DUMMYFUNCTION("""COMPUTED_VALUE"""),"Jessica Lee")</f>
        <v>Jessica Lee</v>
      </c>
      <c r="P289" t="str">
        <f>IFERROR(__xludf.DUMMYFUNCTION("""COMPUTED_VALUE"""),"Jimmy")</f>
        <v>Jimmy</v>
      </c>
      <c r="Q289" t="str">
        <f>IFERROR(__xludf.DUMMYFUNCTION("""COMPUTED_VALUE"""),"Good")</f>
        <v>Good</v>
      </c>
      <c r="R289" t="str">
        <f>IFERROR(__xludf.DUMMYFUNCTION("""COMPUTED_VALUE"""),"Good")</f>
        <v>Good</v>
      </c>
      <c r="S289" t="str">
        <f>IFERROR(__xludf.DUMMYFUNCTION("""COMPUTED_VALUE"""),"Good")</f>
        <v>Good</v>
      </c>
      <c r="T289" t="str">
        <f>IFERROR(__xludf.DUMMYFUNCTION("""COMPUTED_VALUE"""),"Good")</f>
        <v>Good</v>
      </c>
      <c r="U289" t="str">
        <f>IFERROR(__xludf.DUMMYFUNCTION("""COMPUTED_VALUE"""),"Good")</f>
        <v>Good</v>
      </c>
      <c r="V289" t="str">
        <f>IFERROR(__xludf.DUMMYFUNCTION("""COMPUTED_VALUE"""),"Good")</f>
        <v>Good</v>
      </c>
      <c r="W289" t="str">
        <f>IFERROR(__xludf.DUMMYFUNCTION("""COMPUTED_VALUE"""),"Good")</f>
        <v>Good</v>
      </c>
      <c r="X289" t="str">
        <f>IFERROR(__xludf.DUMMYFUNCTION("""COMPUTED_VALUE"""),"Good")</f>
        <v>Good</v>
      </c>
      <c r="Y289" t="str">
        <f>IFERROR(__xludf.DUMMYFUNCTION("""COMPUTED_VALUE"""),"Good")</f>
        <v>Good</v>
      </c>
      <c r="Z289" t="str">
        <f>IFERROR(__xludf.DUMMYFUNCTION("""COMPUTED_VALUE"""),"Good")</f>
        <v>Good</v>
      </c>
      <c r="AA289" t="str">
        <f>IFERROR(__xludf.DUMMYFUNCTION("""COMPUTED_VALUE"""),"Good")</f>
        <v>Good</v>
      </c>
      <c r="AB289" t="str">
        <f>IFERROR(__xludf.DUMMYFUNCTION("""COMPUTED_VALUE"""),"Good")</f>
        <v>Good</v>
      </c>
      <c r="AC289" t="str">
        <f>IFERROR(__xludf.DUMMYFUNCTION("""COMPUTED_VALUE"""),"Good")</f>
        <v>Good</v>
      </c>
      <c r="AE289" s="11"/>
      <c r="AF289" t="s">
        <v>32</v>
      </c>
      <c r="AG289" s="17" t="s">
        <v>18</v>
      </c>
      <c r="AH289" s="12">
        <v>1030.0</v>
      </c>
      <c r="AI289" s="12" t="s">
        <v>818</v>
      </c>
      <c r="AJ289" s="19" t="s">
        <v>819</v>
      </c>
      <c r="AK289" s="20" t="str">
        <f>HYPERLINK("https://docs.google.com/document/d/1Si4U5YmHvfX7oP5-r6Jt3hFsP-8Kn9NMVMWY0BZp7kU/edit?usp=drivesdk","James Tomazinis - 5/2/2019 8:30 AM")</f>
        <v>James Tomazinis - 5/2/2019 8:30 AM</v>
      </c>
      <c r="AL289" s="12" t="s">
        <v>820</v>
      </c>
    </row>
    <row r="290">
      <c r="A290" s="10">
        <f>IFERROR(__xludf.DUMMYFUNCTION("""COMPUTED_VALUE"""),43587.39818188658)</f>
        <v>43587.39818</v>
      </c>
      <c r="B290" s="11" t="str">
        <f>IFERROR(__xludf.DUMMYFUNCTION("""COMPUTED_VALUE"""),"Pamela Marcum")</f>
        <v>Pamela Marcum</v>
      </c>
      <c r="C290" t="str">
        <f>IFERROR(__xludf.DUMMYFUNCTION("""COMPUTED_VALUE"""),"Pamela.Marcum@dep.state.fl.us")</f>
        <v>Pamela.Marcum@dep.state.fl.us</v>
      </c>
      <c r="D290" t="str">
        <f>IFERROR(__xludf.DUMMYFUNCTION("""COMPUTED_VALUE"""),"Research/Nikki")</f>
        <v>Research/Nikki</v>
      </c>
      <c r="E290" t="str">
        <f>IFERROR(__xludf.DUMMYFUNCTION("""COMPUTED_VALUE"""),"Aunt Kate's")</f>
        <v>Aunt Kate's</v>
      </c>
      <c r="F290" s="13">
        <f>IFERROR(__xludf.DUMMYFUNCTION("""COMPUTED_VALUE"""),0.4791666666678793)</f>
        <v>0.4791666667</v>
      </c>
      <c r="G290" s="14">
        <f>IFERROR(__xludf.DUMMYFUNCTION("""COMPUTED_VALUE"""),43587.0)</f>
        <v>43587</v>
      </c>
      <c r="H290" t="str">
        <f>IFERROR(__xludf.DUMMYFUNCTION("""COMPUTED_VALUE"""),"Guana/Tolomato Rivers")</f>
        <v>Guana/Tolomato Rivers</v>
      </c>
      <c r="I290" s="15">
        <f>IFERROR(__xludf.DUMMYFUNCTION("""COMPUTED_VALUE"""),0.6666666666678793)</f>
        <v>0.6666666667</v>
      </c>
      <c r="J290" s="16">
        <f>IFERROR(__xludf.DUMMYFUNCTION("""COMPUTED_VALUE"""),43587.6875)</f>
        <v>43587.6875</v>
      </c>
      <c r="K290" t="str">
        <f>IFERROR(__xludf.DUMMYFUNCTION("""COMPUTED_VALUE"""),"20ft Sea Ark FL5351SJ UNF 2015")</f>
        <v>20ft Sea Ark FL5351SJ UNF 2015</v>
      </c>
      <c r="M290" t="str">
        <f>IFERROR(__xludf.DUMMYFUNCTION("""COMPUTED_VALUE"""),"Ford F150 2008 - DEP18041 (SWMP Thing)")</f>
        <v>Ford F150 2008 - DEP18041 (SWMP Thing)</v>
      </c>
      <c r="N290" t="str">
        <f>IFERROR(__xludf.DUMMYFUNCTION("""COMPUTED_VALUE"""),"Pam Marcum, (480) 332-5414")</f>
        <v>Pam Marcum, (480) 332-5414</v>
      </c>
      <c r="O290" t="str">
        <f>IFERROR(__xludf.DUMMYFUNCTION("""COMPUTED_VALUE"""),"Nicole Peckham, Adrienne Breef-Pilz")</f>
        <v>Nicole Peckham, Adrienne Breef-Pilz</v>
      </c>
      <c r="P290" t="str">
        <f>IFERROR(__xludf.DUMMYFUNCTION("""COMPUTED_VALUE"""),"Pam")</f>
        <v>Pam</v>
      </c>
      <c r="Q290" t="str">
        <f>IFERROR(__xludf.DUMMYFUNCTION("""COMPUTED_VALUE"""),"Good")</f>
        <v>Good</v>
      </c>
      <c r="R290" t="str">
        <f>IFERROR(__xludf.DUMMYFUNCTION("""COMPUTED_VALUE"""),"Good")</f>
        <v>Good</v>
      </c>
      <c r="S290" t="str">
        <f>IFERROR(__xludf.DUMMYFUNCTION("""COMPUTED_VALUE"""),"Good")</f>
        <v>Good</v>
      </c>
      <c r="T290" t="str">
        <f>IFERROR(__xludf.DUMMYFUNCTION("""COMPUTED_VALUE"""),"Good")</f>
        <v>Good</v>
      </c>
      <c r="U290" t="str">
        <f>IFERROR(__xludf.DUMMYFUNCTION("""COMPUTED_VALUE"""),"Good")</f>
        <v>Good</v>
      </c>
      <c r="V290" t="str">
        <f>IFERROR(__xludf.DUMMYFUNCTION("""COMPUTED_VALUE"""),"Good")</f>
        <v>Good</v>
      </c>
      <c r="W290" t="str">
        <f>IFERROR(__xludf.DUMMYFUNCTION("""COMPUTED_VALUE"""),"Good")</f>
        <v>Good</v>
      </c>
      <c r="X290" t="str">
        <f>IFERROR(__xludf.DUMMYFUNCTION("""COMPUTED_VALUE"""),"Good")</f>
        <v>Good</v>
      </c>
      <c r="Y290" t="str">
        <f>IFERROR(__xludf.DUMMYFUNCTION("""COMPUTED_VALUE"""),"Good")</f>
        <v>Good</v>
      </c>
      <c r="Z290" t="str">
        <f>IFERROR(__xludf.DUMMYFUNCTION("""COMPUTED_VALUE"""),"Good")</f>
        <v>Good</v>
      </c>
      <c r="AA290" t="str">
        <f>IFERROR(__xludf.DUMMYFUNCTION("""COMPUTED_VALUE"""),"Good")</f>
        <v>Good</v>
      </c>
      <c r="AB290" t="str">
        <f>IFERROR(__xludf.DUMMYFUNCTION("""COMPUTED_VALUE"""),"Good")</f>
        <v>Good</v>
      </c>
      <c r="AC290" t="str">
        <f>IFERROR(__xludf.DUMMYFUNCTION("""COMPUTED_VALUE"""),"Good")</f>
        <v>Good</v>
      </c>
      <c r="AE290" s="11"/>
      <c r="AF290" t="s">
        <v>218</v>
      </c>
      <c r="AG290" s="17" t="s">
        <v>18</v>
      </c>
      <c r="AH290" s="12">
        <v>1515.0</v>
      </c>
      <c r="AI290" s="12" t="s">
        <v>821</v>
      </c>
      <c r="AJ290" s="19" t="s">
        <v>822</v>
      </c>
      <c r="AK290" s="20" t="str">
        <f>HYPERLINK("https://docs.google.com/document/d/1Q9ML7tL-eCbAh36Z_OcvQHcpvugY7Asf2P4_F6COnTE/edit?usp=drivesdk","Pamela Marcum - 5/2/2019 11:30 AM")</f>
        <v>Pamela Marcum - 5/2/2019 11:30 AM</v>
      </c>
      <c r="AL290" s="12" t="s">
        <v>823</v>
      </c>
    </row>
    <row r="291">
      <c r="A291" s="10">
        <f>IFERROR(__xludf.DUMMYFUNCTION("""COMPUTED_VALUE"""),43591.59816425927)</f>
        <v>43591.59816</v>
      </c>
      <c r="B291" s="11" t="str">
        <f>IFERROR(__xludf.DUMMYFUNCTION("""COMPUTED_VALUE"""),"Pamela Marcum")</f>
        <v>Pamela Marcum</v>
      </c>
      <c r="C291" t="str">
        <f>IFERROR(__xludf.DUMMYFUNCTION("""COMPUTED_VALUE"""),"Pamela.Marcum@dep.state.fl.us")</f>
        <v>Pamela.Marcum@dep.state.fl.us</v>
      </c>
      <c r="D291" t="str">
        <f>IFERROR(__xludf.DUMMYFUNCTION("""COMPUTED_VALUE"""),"Research/Nikki")</f>
        <v>Research/Nikki</v>
      </c>
      <c r="E291" t="str">
        <f>IFERROR(__xludf.DUMMYFUNCTION("""COMPUTED_VALUE"""),"Aunt Kates")</f>
        <v>Aunt Kates</v>
      </c>
      <c r="F291" s="13">
        <f>IFERROR(__xludf.DUMMYFUNCTION("""COMPUTED_VALUE"""),0.6145833333321207)</f>
        <v>0.6145833333</v>
      </c>
      <c r="G291" s="14">
        <f>IFERROR(__xludf.DUMMYFUNCTION("""COMPUTED_VALUE"""),43591.0)</f>
        <v>43591</v>
      </c>
      <c r="H291" t="str">
        <f>IFERROR(__xludf.DUMMYFUNCTION("""COMPUTED_VALUE"""),"Tolomato River")</f>
        <v>Tolomato River</v>
      </c>
      <c r="I291" s="15">
        <f>IFERROR(__xludf.DUMMYFUNCTION("""COMPUTED_VALUE"""),0.8125)</f>
        <v>0.8125</v>
      </c>
      <c r="J291" s="16">
        <f>IFERROR(__xludf.DUMMYFUNCTION("""COMPUTED_VALUE"""),43591.83333333333)</f>
        <v>43591.83333</v>
      </c>
      <c r="K291" t="str">
        <f>IFERROR(__xludf.DUMMYFUNCTION("""COMPUTED_VALUE"""),"20ft Sea Ark FL5351SJ UNF 2015")</f>
        <v>20ft Sea Ark FL5351SJ UNF 2015</v>
      </c>
      <c r="M291" t="str">
        <f>IFERROR(__xludf.DUMMYFUNCTION("""COMPUTED_VALUE"""),"Ford F150 2015 (White) - DEP21448")</f>
        <v>Ford F150 2015 (White) - DEP21448</v>
      </c>
      <c r="N291" t="str">
        <f>IFERROR(__xludf.DUMMYFUNCTION("""COMPUTED_VALUE"""),"Pam Marcum, (480) 332-5414")</f>
        <v>Pam Marcum, (480) 332-5414</v>
      </c>
      <c r="O291" t="str">
        <f>IFERROR(__xludf.DUMMYFUNCTION("""COMPUTED_VALUE"""),"Adrienne Breef-Pilz, Nicole Peckham")</f>
        <v>Adrienne Breef-Pilz, Nicole Peckham</v>
      </c>
      <c r="P291" t="str">
        <f>IFERROR(__xludf.DUMMYFUNCTION("""COMPUTED_VALUE"""),"Pam")</f>
        <v>Pam</v>
      </c>
      <c r="Q291" t="str">
        <f>IFERROR(__xludf.DUMMYFUNCTION("""COMPUTED_VALUE"""),"Good")</f>
        <v>Good</v>
      </c>
      <c r="R291" t="str">
        <f>IFERROR(__xludf.DUMMYFUNCTION("""COMPUTED_VALUE"""),"Good")</f>
        <v>Good</v>
      </c>
      <c r="S291" t="str">
        <f>IFERROR(__xludf.DUMMYFUNCTION("""COMPUTED_VALUE"""),"Good")</f>
        <v>Good</v>
      </c>
      <c r="T291" t="str">
        <f>IFERROR(__xludf.DUMMYFUNCTION("""COMPUTED_VALUE"""),"Good")</f>
        <v>Good</v>
      </c>
      <c r="U291" t="str">
        <f>IFERROR(__xludf.DUMMYFUNCTION("""COMPUTED_VALUE"""),"Good")</f>
        <v>Good</v>
      </c>
      <c r="V291" t="str">
        <f>IFERROR(__xludf.DUMMYFUNCTION("""COMPUTED_VALUE"""),"Good")</f>
        <v>Good</v>
      </c>
      <c r="W291" t="str">
        <f>IFERROR(__xludf.DUMMYFUNCTION("""COMPUTED_VALUE"""),"Good")</f>
        <v>Good</v>
      </c>
      <c r="X291" t="str">
        <f>IFERROR(__xludf.DUMMYFUNCTION("""COMPUTED_VALUE"""),"Good")</f>
        <v>Good</v>
      </c>
      <c r="Y291" t="str">
        <f>IFERROR(__xludf.DUMMYFUNCTION("""COMPUTED_VALUE"""),"Good")</f>
        <v>Good</v>
      </c>
      <c r="Z291" t="str">
        <f>IFERROR(__xludf.DUMMYFUNCTION("""COMPUTED_VALUE"""),"Good")</f>
        <v>Good</v>
      </c>
      <c r="AA291" t="str">
        <f>IFERROR(__xludf.DUMMYFUNCTION("""COMPUTED_VALUE"""),"Good")</f>
        <v>Good</v>
      </c>
      <c r="AB291" t="str">
        <f>IFERROR(__xludf.DUMMYFUNCTION("""COMPUTED_VALUE"""),"Good")</f>
        <v>Good</v>
      </c>
      <c r="AC291" t="str">
        <f>IFERROR(__xludf.DUMMYFUNCTION("""COMPUTED_VALUE"""),"Good")</f>
        <v>Good</v>
      </c>
      <c r="AE291" s="11"/>
      <c r="AF291" t="s">
        <v>218</v>
      </c>
      <c r="AG291" s="17" t="s">
        <v>43</v>
      </c>
      <c r="AH291" s="12">
        <v>1933.0</v>
      </c>
      <c r="AI291" s="12" t="s">
        <v>824</v>
      </c>
      <c r="AJ291" s="19" t="s">
        <v>825</v>
      </c>
      <c r="AK291" s="20" t="str">
        <f>HYPERLINK("https://docs.google.com/document/d/1T405mthEps_AdPOWw3Iy-nbrUnZ7A60jSwUoncMXVKg/edit?usp=drivesdk","Pamela Marcum - 5/6/2019 2:45 PM")</f>
        <v>Pamela Marcum - 5/6/2019 2:45 PM</v>
      </c>
      <c r="AL291" s="12" t="s">
        <v>826</v>
      </c>
    </row>
    <row r="292">
      <c r="A292" s="10">
        <f>IFERROR(__xludf.DUMMYFUNCTION("""COMPUTED_VALUE"""),43592.26221043982)</f>
        <v>43592.26221</v>
      </c>
      <c r="B292" s="11" t="str">
        <f>IFERROR(__xludf.DUMMYFUNCTION("""COMPUTED_VALUE"""),"Pamela Marcum")</f>
        <v>Pamela Marcum</v>
      </c>
      <c r="C292" t="str">
        <f>IFERROR(__xludf.DUMMYFUNCTION("""COMPUTED_VALUE"""),"Pamela.Marcum@dep.state.fl.us")</f>
        <v>Pamela.Marcum@dep.state.fl.us</v>
      </c>
      <c r="D292" t="str">
        <f>IFERROR(__xludf.DUMMYFUNCTION("""COMPUTED_VALUE"""),"Research/Nikki")</f>
        <v>Research/Nikki</v>
      </c>
      <c r="E292" t="str">
        <f>IFERROR(__xludf.DUMMYFUNCTION("""COMPUTED_VALUE"""),"Aunt Kate's ")</f>
        <v>Aunt Kate's </v>
      </c>
      <c r="F292" s="13">
        <f>IFERROR(__xludf.DUMMYFUNCTION("""COMPUTED_VALUE"""),0.28125)</f>
        <v>0.28125</v>
      </c>
      <c r="G292" s="14">
        <f>IFERROR(__xludf.DUMMYFUNCTION("""COMPUTED_VALUE"""),43592.0)</f>
        <v>43592</v>
      </c>
      <c r="H292" t="str">
        <f>IFERROR(__xludf.DUMMYFUNCTION("""COMPUTED_VALUE"""),"Pine Island")</f>
        <v>Pine Island</v>
      </c>
      <c r="I292" s="15">
        <f>IFERROR(__xludf.DUMMYFUNCTION("""COMPUTED_VALUE"""),0.375)</f>
        <v>0.375</v>
      </c>
      <c r="J292" s="16">
        <f>IFERROR(__xludf.DUMMYFUNCTION("""COMPUTED_VALUE"""),43592.39583333333)</f>
        <v>43592.39583</v>
      </c>
      <c r="K292" t="str">
        <f>IFERROR(__xludf.DUMMYFUNCTION("""COMPUTED_VALUE"""),"20ft Sea Ark FL5351SJ UNF 2015")</f>
        <v>20ft Sea Ark FL5351SJ UNF 2015</v>
      </c>
      <c r="M292" t="str">
        <f>IFERROR(__xludf.DUMMYFUNCTION("""COMPUTED_VALUE"""),"Ford F150 2015 (White) - DEP21448")</f>
        <v>Ford F150 2015 (White) - DEP21448</v>
      </c>
      <c r="N292" t="str">
        <f>IFERROR(__xludf.DUMMYFUNCTION("""COMPUTED_VALUE"""),"Pam Marcum, (480) 332-5414")</f>
        <v>Pam Marcum, (480) 332-5414</v>
      </c>
      <c r="O292" t="str">
        <f>IFERROR(__xludf.DUMMYFUNCTION("""COMPUTED_VALUE"""),"Nicole Peckham, Adrienne Breef-Pilz")</f>
        <v>Nicole Peckham, Adrienne Breef-Pilz</v>
      </c>
      <c r="P292" t="str">
        <f>IFERROR(__xludf.DUMMYFUNCTION("""COMPUTED_VALUE"""),"Pam")</f>
        <v>Pam</v>
      </c>
      <c r="Q292" t="str">
        <f>IFERROR(__xludf.DUMMYFUNCTION("""COMPUTED_VALUE"""),"Good")</f>
        <v>Good</v>
      </c>
      <c r="R292" t="str">
        <f>IFERROR(__xludf.DUMMYFUNCTION("""COMPUTED_VALUE"""),"Good")</f>
        <v>Good</v>
      </c>
      <c r="S292" t="str">
        <f>IFERROR(__xludf.DUMMYFUNCTION("""COMPUTED_VALUE"""),"Good")</f>
        <v>Good</v>
      </c>
      <c r="T292" t="str">
        <f>IFERROR(__xludf.DUMMYFUNCTION("""COMPUTED_VALUE"""),"Good")</f>
        <v>Good</v>
      </c>
      <c r="U292" t="str">
        <f>IFERROR(__xludf.DUMMYFUNCTION("""COMPUTED_VALUE"""),"Good")</f>
        <v>Good</v>
      </c>
      <c r="V292" t="str">
        <f>IFERROR(__xludf.DUMMYFUNCTION("""COMPUTED_VALUE"""),"Good")</f>
        <v>Good</v>
      </c>
      <c r="W292" t="str">
        <f>IFERROR(__xludf.DUMMYFUNCTION("""COMPUTED_VALUE"""),"Good")</f>
        <v>Good</v>
      </c>
      <c r="X292" t="str">
        <f>IFERROR(__xludf.DUMMYFUNCTION("""COMPUTED_VALUE"""),"Good")</f>
        <v>Good</v>
      </c>
      <c r="Y292" t="str">
        <f>IFERROR(__xludf.DUMMYFUNCTION("""COMPUTED_VALUE"""),"Good")</f>
        <v>Good</v>
      </c>
      <c r="Z292" t="str">
        <f>IFERROR(__xludf.DUMMYFUNCTION("""COMPUTED_VALUE"""),"Good")</f>
        <v>Good</v>
      </c>
      <c r="AA292" t="str">
        <f>IFERROR(__xludf.DUMMYFUNCTION("""COMPUTED_VALUE"""),"Good")</f>
        <v>Good</v>
      </c>
      <c r="AB292" t="str">
        <f>IFERROR(__xludf.DUMMYFUNCTION("""COMPUTED_VALUE"""),"Good")</f>
        <v>Good</v>
      </c>
      <c r="AC292" t="str">
        <f>IFERROR(__xludf.DUMMYFUNCTION("""COMPUTED_VALUE"""),"Good")</f>
        <v>Good</v>
      </c>
      <c r="AE292" s="11"/>
      <c r="AF292" t="s">
        <v>218</v>
      </c>
      <c r="AG292" s="17" t="s">
        <v>18</v>
      </c>
      <c r="AH292" s="12">
        <v>815.0</v>
      </c>
      <c r="AI292" s="12" t="s">
        <v>827</v>
      </c>
      <c r="AJ292" s="19" t="s">
        <v>828</v>
      </c>
      <c r="AK292" s="20" t="str">
        <f>HYPERLINK("https://docs.google.com/document/d/1g4e1jL6_o4Bnaqlw071EP28KdZfsft1fTcxM7y5K3hY/edit?usp=drivesdk","Pamela Marcum - 5/7/2019 6:45 AM")</f>
        <v>Pamela Marcum - 5/7/2019 6:45 AM</v>
      </c>
      <c r="AL292" s="12" t="s">
        <v>829</v>
      </c>
    </row>
    <row r="293">
      <c r="A293" s="10">
        <f>IFERROR(__xludf.DUMMYFUNCTION("""COMPUTED_VALUE"""),43592.33089668981)</f>
        <v>43592.3309</v>
      </c>
      <c r="B293" s="11" t="str">
        <f>IFERROR(__xludf.DUMMYFUNCTION("""COMPUTED_VALUE"""),"Silas Tanner")</f>
        <v>Silas Tanner</v>
      </c>
      <c r="C293" t="str">
        <f>IFERROR(__xludf.DUMMYFUNCTION("""COMPUTED_VALUE"""),"silas.tanner@floridadep.gov")</f>
        <v>silas.tanner@floridadep.gov</v>
      </c>
      <c r="D293" t="str">
        <f>IFERROR(__xludf.DUMMYFUNCTION("""COMPUTED_VALUE"""),"Research/Nikki")</f>
        <v>Research/Nikki</v>
      </c>
      <c r="E293" t="str">
        <f>IFERROR(__xludf.DUMMYFUNCTION("""COMPUTED_VALUE"""),"GTM Guana River launch")</f>
        <v>GTM Guana River launch</v>
      </c>
      <c r="F293" s="13">
        <f>IFERROR(__xludf.DUMMYFUNCTION("""COMPUTED_VALUE"""),0.3958333333321207)</f>
        <v>0.3958333333</v>
      </c>
      <c r="G293" s="14">
        <f>IFERROR(__xludf.DUMMYFUNCTION("""COMPUTED_VALUE"""),43592.0)</f>
        <v>43592</v>
      </c>
      <c r="H293" t="str">
        <f>IFERROR(__xludf.DUMMYFUNCTION("""COMPUTED_VALUE"""),"Guana River")</f>
        <v>Guana River</v>
      </c>
      <c r="I293" s="15">
        <f>IFERROR(__xludf.DUMMYFUNCTION("""COMPUTED_VALUE"""),0.5625)</f>
        <v>0.5625</v>
      </c>
      <c r="J293" s="16">
        <f>IFERROR(__xludf.DUMMYFUNCTION("""COMPUTED_VALUE"""),43592.56597222222)</f>
        <v>43592.56597</v>
      </c>
      <c r="K293" t="str">
        <f>IFERROR(__xludf.DUMMYFUNCTION("""COMPUTED_VALUE"""),"Jon Boat FL0484NP DEP06819")</f>
        <v>Jon Boat FL0484NP DEP06819</v>
      </c>
      <c r="M293" t="str">
        <f>IFERROR(__xludf.DUMMYFUNCTION("""COMPUTED_VALUE"""),"Ford F250 2017 (Moby Dix) - DEP0021578")</f>
        <v>Ford F250 2017 (Moby Dix) - DEP0021578</v>
      </c>
      <c r="N293" t="str">
        <f>IFERROR(__xludf.DUMMYFUNCTION("""COMPUTED_VALUE"""),"Silas Tanner, (904) 483-8423")</f>
        <v>Silas Tanner, (904) 483-8423</v>
      </c>
      <c r="O293" t="str">
        <f>IFERROR(__xludf.DUMMYFUNCTION("""COMPUTED_VALUE"""),"Jessica Lee")</f>
        <v>Jessica Lee</v>
      </c>
      <c r="P293" t="str">
        <f>IFERROR(__xludf.DUMMYFUNCTION("""COMPUTED_VALUE"""),"S. Tanner")</f>
        <v>S. Tanner</v>
      </c>
      <c r="Q293" t="str">
        <f>IFERROR(__xludf.DUMMYFUNCTION("""COMPUTED_VALUE"""),"Good")</f>
        <v>Good</v>
      </c>
      <c r="R293" t="str">
        <f>IFERROR(__xludf.DUMMYFUNCTION("""COMPUTED_VALUE"""),"Good")</f>
        <v>Good</v>
      </c>
      <c r="S293" t="str">
        <f>IFERROR(__xludf.DUMMYFUNCTION("""COMPUTED_VALUE"""),"Good")</f>
        <v>Good</v>
      </c>
      <c r="T293" t="str">
        <f>IFERROR(__xludf.DUMMYFUNCTION("""COMPUTED_VALUE"""),"Good")</f>
        <v>Good</v>
      </c>
      <c r="U293" t="str">
        <f>IFERROR(__xludf.DUMMYFUNCTION("""COMPUTED_VALUE"""),"Good")</f>
        <v>Good</v>
      </c>
      <c r="V293" t="str">
        <f>IFERROR(__xludf.DUMMYFUNCTION("""COMPUTED_VALUE"""),"Good")</f>
        <v>Good</v>
      </c>
      <c r="W293" t="str">
        <f>IFERROR(__xludf.DUMMYFUNCTION("""COMPUTED_VALUE"""),"Good")</f>
        <v>Good</v>
      </c>
      <c r="X293" t="str">
        <f>IFERROR(__xludf.DUMMYFUNCTION("""COMPUTED_VALUE"""),"Good")</f>
        <v>Good</v>
      </c>
      <c r="Y293" t="str">
        <f>IFERROR(__xludf.DUMMYFUNCTION("""COMPUTED_VALUE"""),"Good")</f>
        <v>Good</v>
      </c>
      <c r="Z293" t="str">
        <f>IFERROR(__xludf.DUMMYFUNCTION("""COMPUTED_VALUE"""),"Good")</f>
        <v>Good</v>
      </c>
      <c r="AA293" t="str">
        <f>IFERROR(__xludf.DUMMYFUNCTION("""COMPUTED_VALUE"""),"Good")</f>
        <v>Good</v>
      </c>
      <c r="AB293" t="str">
        <f>IFERROR(__xludf.DUMMYFUNCTION("""COMPUTED_VALUE"""),"Good")</f>
        <v>Good</v>
      </c>
      <c r="AC293" t="str">
        <f>IFERROR(__xludf.DUMMYFUNCTION("""COMPUTED_VALUE"""),"Good")</f>
        <v>Good</v>
      </c>
      <c r="AE293" s="11"/>
      <c r="AF293" t="s">
        <v>218</v>
      </c>
      <c r="AG293" s="17" t="s">
        <v>18</v>
      </c>
      <c r="AH293" s="12">
        <v>1315.0</v>
      </c>
      <c r="AI293" s="12" t="s">
        <v>830</v>
      </c>
      <c r="AJ293" s="19" t="s">
        <v>831</v>
      </c>
      <c r="AK293" s="20" t="str">
        <f>HYPERLINK("https://docs.google.com/document/d/1vkQaUeNfFpD_o02fHgg_xTiGVFe9jSGR2yTxiIOVFIE/edit?usp=drivesdk","Silas Tanner - 5/7/2019 9:30 AM")</f>
        <v>Silas Tanner - 5/7/2019 9:30 AM</v>
      </c>
      <c r="AL293" s="12" t="s">
        <v>832</v>
      </c>
    </row>
    <row r="294">
      <c r="A294" s="10">
        <f>IFERROR(__xludf.DUMMYFUNCTION("""COMPUTED_VALUE"""),43592.61112174769)</f>
        <v>43592.61112</v>
      </c>
      <c r="B294" s="11" t="str">
        <f>IFERROR(__xludf.DUMMYFUNCTION("""COMPUTED_VALUE"""),"Pamela Marcum")</f>
        <v>Pamela Marcum</v>
      </c>
      <c r="C294" t="str">
        <f>IFERROR(__xludf.DUMMYFUNCTION("""COMPUTED_VALUE"""),"Pamela.Marcum@dep.state.fl.us")</f>
        <v>Pamela.Marcum@dep.state.fl.us</v>
      </c>
      <c r="D294" t="str">
        <f>IFERROR(__xludf.DUMMYFUNCTION("""COMPUTED_VALUE"""),"Research/Nikki")</f>
        <v>Research/Nikki</v>
      </c>
      <c r="E294" t="str">
        <f>IFERROR(__xludf.DUMMYFUNCTION("""COMPUTED_VALUE"""),"Aunt Kate's")</f>
        <v>Aunt Kate's</v>
      </c>
      <c r="F294" s="13">
        <f>IFERROR(__xludf.DUMMYFUNCTION("""COMPUTED_VALUE"""),0.6354166666678793)</f>
        <v>0.6354166667</v>
      </c>
      <c r="G294" s="14">
        <f>IFERROR(__xludf.DUMMYFUNCTION("""COMPUTED_VALUE"""),43592.0)</f>
        <v>43592</v>
      </c>
      <c r="H294" t="str">
        <f>IFERROR(__xludf.DUMMYFUNCTION("""COMPUTED_VALUE"""),"Guana River")</f>
        <v>Guana River</v>
      </c>
      <c r="I294" s="15">
        <f>IFERROR(__xludf.DUMMYFUNCTION("""COMPUTED_VALUE"""),0.7916666666678793)</f>
        <v>0.7916666667</v>
      </c>
      <c r="J294" s="16">
        <f>IFERROR(__xludf.DUMMYFUNCTION("""COMPUTED_VALUE"""),43592.8125)</f>
        <v>43592.8125</v>
      </c>
      <c r="K294" t="str">
        <f>IFERROR(__xludf.DUMMYFUNCTION("""COMPUTED_VALUE"""),"20ft Sea Ark FL5351SJ UNF 2015")</f>
        <v>20ft Sea Ark FL5351SJ UNF 2015</v>
      </c>
      <c r="M294" t="str">
        <f>IFERROR(__xludf.DUMMYFUNCTION("""COMPUTED_VALUE"""),"Ford F150 2015 (White) - DEP21448")</f>
        <v>Ford F150 2015 (White) - DEP21448</v>
      </c>
      <c r="N294" t="str">
        <f>IFERROR(__xludf.DUMMYFUNCTION("""COMPUTED_VALUE"""),"Pam Marcum, (480) 332-5414")</f>
        <v>Pam Marcum, (480) 332-5414</v>
      </c>
      <c r="O294" t="str">
        <f>IFERROR(__xludf.DUMMYFUNCTION("""COMPUTED_VALUE"""),"Nicole Peckham, Adrienne Breef-Pilz")</f>
        <v>Nicole Peckham, Adrienne Breef-Pilz</v>
      </c>
      <c r="P294" t="str">
        <f>IFERROR(__xludf.DUMMYFUNCTION("""COMPUTED_VALUE"""),"Pam")</f>
        <v>Pam</v>
      </c>
      <c r="Q294" t="str">
        <f>IFERROR(__xludf.DUMMYFUNCTION("""COMPUTED_VALUE"""),"Good")</f>
        <v>Good</v>
      </c>
      <c r="R294" t="str">
        <f>IFERROR(__xludf.DUMMYFUNCTION("""COMPUTED_VALUE"""),"Good")</f>
        <v>Good</v>
      </c>
      <c r="S294" t="str">
        <f>IFERROR(__xludf.DUMMYFUNCTION("""COMPUTED_VALUE"""),"Good")</f>
        <v>Good</v>
      </c>
      <c r="T294" t="str">
        <f>IFERROR(__xludf.DUMMYFUNCTION("""COMPUTED_VALUE"""),"Good")</f>
        <v>Good</v>
      </c>
      <c r="U294" t="str">
        <f>IFERROR(__xludf.DUMMYFUNCTION("""COMPUTED_VALUE"""),"Good")</f>
        <v>Good</v>
      </c>
      <c r="V294" t="str">
        <f>IFERROR(__xludf.DUMMYFUNCTION("""COMPUTED_VALUE"""),"Good")</f>
        <v>Good</v>
      </c>
      <c r="W294" t="str">
        <f>IFERROR(__xludf.DUMMYFUNCTION("""COMPUTED_VALUE"""),"Good")</f>
        <v>Good</v>
      </c>
      <c r="X294" t="str">
        <f>IFERROR(__xludf.DUMMYFUNCTION("""COMPUTED_VALUE"""),"Good")</f>
        <v>Good</v>
      </c>
      <c r="Y294" t="str">
        <f>IFERROR(__xludf.DUMMYFUNCTION("""COMPUTED_VALUE"""),"Good")</f>
        <v>Good</v>
      </c>
      <c r="Z294" t="str">
        <f>IFERROR(__xludf.DUMMYFUNCTION("""COMPUTED_VALUE"""),"Good")</f>
        <v>Good</v>
      </c>
      <c r="AA294" t="str">
        <f>IFERROR(__xludf.DUMMYFUNCTION("""COMPUTED_VALUE"""),"Good")</f>
        <v>Good</v>
      </c>
      <c r="AB294" t="str">
        <f>IFERROR(__xludf.DUMMYFUNCTION("""COMPUTED_VALUE"""),"Good")</f>
        <v>Good</v>
      </c>
      <c r="AC294" t="str">
        <f>IFERROR(__xludf.DUMMYFUNCTION("""COMPUTED_VALUE"""),"Good")</f>
        <v>Good</v>
      </c>
      <c r="AE294" s="11"/>
      <c r="AF294" t="s">
        <v>218</v>
      </c>
      <c r="AG294" s="17" t="s">
        <v>43</v>
      </c>
      <c r="AH294" s="12">
        <v>1825.0</v>
      </c>
      <c r="AI294" s="12" t="s">
        <v>833</v>
      </c>
      <c r="AJ294" s="19" t="s">
        <v>834</v>
      </c>
      <c r="AK294" s="20" t="str">
        <f>HYPERLINK("https://docs.google.com/document/d/1gYNhicIovTf1c9Zf3C3aODQwJQQizjlNU7MM4uM7Cq8/edit?usp=drivesdk","Pamela Marcum - 5/7/2019 3:15 PM")</f>
        <v>Pamela Marcum - 5/7/2019 3:15 PM</v>
      </c>
      <c r="AL294" s="12" t="s">
        <v>835</v>
      </c>
    </row>
    <row r="295">
      <c r="A295" s="10">
        <f>IFERROR(__xludf.DUMMYFUNCTION("""COMPUTED_VALUE"""),43593.25513798611)</f>
        <v>43593.25514</v>
      </c>
      <c r="B295" s="11" t="str">
        <f>IFERROR(__xludf.DUMMYFUNCTION("""COMPUTED_VALUE"""),"Pamela Marcum")</f>
        <v>Pamela Marcum</v>
      </c>
      <c r="C295" t="str">
        <f>IFERROR(__xludf.DUMMYFUNCTION("""COMPUTED_VALUE"""),"Pamela.Marcum@dep.state.fl.us")</f>
        <v>Pamela.Marcum@dep.state.fl.us</v>
      </c>
      <c r="D295" t="str">
        <f>IFERROR(__xludf.DUMMYFUNCTION("""COMPUTED_VALUE"""),"Research/Nikki")</f>
        <v>Research/Nikki</v>
      </c>
      <c r="E295" t="str">
        <f>IFERROR(__xludf.DUMMYFUNCTION("""COMPUTED_VALUE"""),"Aunt Kate's")</f>
        <v>Aunt Kate's</v>
      </c>
      <c r="F295" s="13">
        <f>IFERROR(__xludf.DUMMYFUNCTION("""COMPUTED_VALUE"""),0.2708333333321207)</f>
        <v>0.2708333333</v>
      </c>
      <c r="G295" s="14">
        <f>IFERROR(__xludf.DUMMYFUNCTION("""COMPUTED_VALUE"""),43593.0)</f>
        <v>43593</v>
      </c>
      <c r="H295" t="str">
        <f>IFERROR(__xludf.DUMMYFUNCTION("""COMPUTED_VALUE"""),"Guana &amp; Tolomato Rivers")</f>
        <v>Guana &amp; Tolomato Rivers</v>
      </c>
      <c r="I295" s="15">
        <f>IFERROR(__xludf.DUMMYFUNCTION("""COMPUTED_VALUE"""),0.4375)</f>
        <v>0.4375</v>
      </c>
      <c r="J295" s="16">
        <f>IFERROR(__xludf.DUMMYFUNCTION("""COMPUTED_VALUE"""),43593.45833333333)</f>
        <v>43593.45833</v>
      </c>
      <c r="K295" t="str">
        <f>IFERROR(__xludf.DUMMYFUNCTION("""COMPUTED_VALUE"""),"20ft Sea Ark FL5351SJ UNF 2015")</f>
        <v>20ft Sea Ark FL5351SJ UNF 2015</v>
      </c>
      <c r="M295" t="str">
        <f>IFERROR(__xludf.DUMMYFUNCTION("""COMPUTED_VALUE"""),"Ford F150 2015 (White) - DEP21448")</f>
        <v>Ford F150 2015 (White) - DEP21448</v>
      </c>
      <c r="N295" t="str">
        <f>IFERROR(__xludf.DUMMYFUNCTION("""COMPUTED_VALUE"""),"Pam Marcum, (480) 332-5414")</f>
        <v>Pam Marcum, (480) 332-5414</v>
      </c>
      <c r="O295" t="str">
        <f>IFERROR(__xludf.DUMMYFUNCTION("""COMPUTED_VALUE"""),"Nicole Peckham, Adrienne Breef-Pilz, David Kimbro")</f>
        <v>Nicole Peckham, Adrienne Breef-Pilz, David Kimbro</v>
      </c>
      <c r="P295" t="str">
        <f>IFERROR(__xludf.DUMMYFUNCTION("""COMPUTED_VALUE"""),"Pam")</f>
        <v>Pam</v>
      </c>
      <c r="Q295" t="str">
        <f>IFERROR(__xludf.DUMMYFUNCTION("""COMPUTED_VALUE"""),"Good")</f>
        <v>Good</v>
      </c>
      <c r="R295" t="str">
        <f>IFERROR(__xludf.DUMMYFUNCTION("""COMPUTED_VALUE"""),"Good")</f>
        <v>Good</v>
      </c>
      <c r="S295" t="str">
        <f>IFERROR(__xludf.DUMMYFUNCTION("""COMPUTED_VALUE"""),"Good")</f>
        <v>Good</v>
      </c>
      <c r="T295" t="str">
        <f>IFERROR(__xludf.DUMMYFUNCTION("""COMPUTED_VALUE"""),"Good")</f>
        <v>Good</v>
      </c>
      <c r="U295" t="str">
        <f>IFERROR(__xludf.DUMMYFUNCTION("""COMPUTED_VALUE"""),"Good")</f>
        <v>Good</v>
      </c>
      <c r="V295" t="str">
        <f>IFERROR(__xludf.DUMMYFUNCTION("""COMPUTED_VALUE"""),"Good")</f>
        <v>Good</v>
      </c>
      <c r="W295" t="str">
        <f>IFERROR(__xludf.DUMMYFUNCTION("""COMPUTED_VALUE"""),"Good")</f>
        <v>Good</v>
      </c>
      <c r="X295" t="str">
        <f>IFERROR(__xludf.DUMMYFUNCTION("""COMPUTED_VALUE"""),"Good")</f>
        <v>Good</v>
      </c>
      <c r="Y295" t="str">
        <f>IFERROR(__xludf.DUMMYFUNCTION("""COMPUTED_VALUE"""),"Good")</f>
        <v>Good</v>
      </c>
      <c r="Z295" t="str">
        <f>IFERROR(__xludf.DUMMYFUNCTION("""COMPUTED_VALUE"""),"Good")</f>
        <v>Good</v>
      </c>
      <c r="AA295" t="str">
        <f>IFERROR(__xludf.DUMMYFUNCTION("""COMPUTED_VALUE"""),"Good")</f>
        <v>Good</v>
      </c>
      <c r="AB295" t="str">
        <f>IFERROR(__xludf.DUMMYFUNCTION("""COMPUTED_VALUE"""),"Good")</f>
        <v>Good</v>
      </c>
      <c r="AC295" t="str">
        <f>IFERROR(__xludf.DUMMYFUNCTION("""COMPUTED_VALUE"""),"Good")</f>
        <v>Good</v>
      </c>
      <c r="AE295" s="11"/>
      <c r="AF295" t="s">
        <v>218</v>
      </c>
      <c r="AG295" s="17" t="s">
        <v>18</v>
      </c>
      <c r="AH295" s="12">
        <v>930.0</v>
      </c>
      <c r="AI295" s="12" t="s">
        <v>836</v>
      </c>
      <c r="AJ295" s="19" t="s">
        <v>837</v>
      </c>
      <c r="AK295" s="20" t="str">
        <f>HYPERLINK("https://docs.google.com/document/d/1zlJ_Fo8-K64oCgIGfP5Aj5buqM1dyZx_BJk8QFySHVc/edit?usp=drivesdk","Pamela Marcum - 5/8/2019 6:30 AM")</f>
        <v>Pamela Marcum - 5/8/2019 6:30 AM</v>
      </c>
      <c r="AL295" s="12" t="s">
        <v>838</v>
      </c>
    </row>
    <row r="296">
      <c r="A296" s="10">
        <f>IFERROR(__xludf.DUMMYFUNCTION("""COMPUTED_VALUE"""),43594.26646572917)</f>
        <v>43594.26647</v>
      </c>
      <c r="B296" s="11" t="str">
        <f>IFERROR(__xludf.DUMMYFUNCTION("""COMPUTED_VALUE"""),"Pamela Marcum")</f>
        <v>Pamela Marcum</v>
      </c>
      <c r="C296" t="str">
        <f>IFERROR(__xludf.DUMMYFUNCTION("""COMPUTED_VALUE"""),"Pamela.Marcum@dep.state.fl.us")</f>
        <v>Pamela.Marcum@dep.state.fl.us</v>
      </c>
      <c r="D296" t="str">
        <f>IFERROR(__xludf.DUMMYFUNCTION("""COMPUTED_VALUE"""),"Research/Nikki")</f>
        <v>Research/Nikki</v>
      </c>
      <c r="E296" t="str">
        <f>IFERROR(__xludf.DUMMYFUNCTION("""COMPUTED_VALUE"""),"Aunt Kate's")</f>
        <v>Aunt Kate's</v>
      </c>
      <c r="F296" s="13">
        <f>IFERROR(__xludf.DUMMYFUNCTION("""COMPUTED_VALUE"""),0.28125)</f>
        <v>0.28125</v>
      </c>
      <c r="G296" s="14">
        <f>IFERROR(__xludf.DUMMYFUNCTION("""COMPUTED_VALUE"""),43594.0)</f>
        <v>43594</v>
      </c>
      <c r="H296" t="str">
        <f>IFERROR(__xludf.DUMMYFUNCTION("""COMPUTED_VALUE"""),"Pine Island/Guana River")</f>
        <v>Pine Island/Guana River</v>
      </c>
      <c r="I296" s="15">
        <f>IFERROR(__xludf.DUMMYFUNCTION("""COMPUTED_VALUE"""),0.4166666666678793)</f>
        <v>0.4166666667</v>
      </c>
      <c r="J296" s="16">
        <f>IFERROR(__xludf.DUMMYFUNCTION("""COMPUTED_VALUE"""),43594.4375)</f>
        <v>43594.4375</v>
      </c>
      <c r="K296" t="str">
        <f>IFERROR(__xludf.DUMMYFUNCTION("""COMPUTED_VALUE"""),"20ft Sea Ark FL5351SJ UNF 2015")</f>
        <v>20ft Sea Ark FL5351SJ UNF 2015</v>
      </c>
      <c r="M296" t="str">
        <f>IFERROR(__xludf.DUMMYFUNCTION("""COMPUTED_VALUE"""),"Ford F150 2015 (White) - DEP21448")</f>
        <v>Ford F150 2015 (White) - DEP21448</v>
      </c>
      <c r="N296" t="str">
        <f>IFERROR(__xludf.DUMMYFUNCTION("""COMPUTED_VALUE"""),"Pam Marcum, (480) 332-5414")</f>
        <v>Pam Marcum, (480) 332-5414</v>
      </c>
      <c r="O296" t="str">
        <f>IFERROR(__xludf.DUMMYFUNCTION("""COMPUTED_VALUE"""),"David Kimbro, Nicole Peckham, Adrienne Breef-Pilz")</f>
        <v>David Kimbro, Nicole Peckham, Adrienne Breef-Pilz</v>
      </c>
      <c r="P296" t="str">
        <f>IFERROR(__xludf.DUMMYFUNCTION("""COMPUTED_VALUE"""),"Pam")</f>
        <v>Pam</v>
      </c>
      <c r="Q296" t="str">
        <f>IFERROR(__xludf.DUMMYFUNCTION("""COMPUTED_VALUE"""),"Good")</f>
        <v>Good</v>
      </c>
      <c r="R296" t="str">
        <f>IFERROR(__xludf.DUMMYFUNCTION("""COMPUTED_VALUE"""),"Good")</f>
        <v>Good</v>
      </c>
      <c r="S296" t="str">
        <f>IFERROR(__xludf.DUMMYFUNCTION("""COMPUTED_VALUE"""),"Good")</f>
        <v>Good</v>
      </c>
      <c r="T296" t="str">
        <f>IFERROR(__xludf.DUMMYFUNCTION("""COMPUTED_VALUE"""),"Good")</f>
        <v>Good</v>
      </c>
      <c r="U296" t="str">
        <f>IFERROR(__xludf.DUMMYFUNCTION("""COMPUTED_VALUE"""),"Good")</f>
        <v>Good</v>
      </c>
      <c r="V296" t="str">
        <f>IFERROR(__xludf.DUMMYFUNCTION("""COMPUTED_VALUE"""),"Good")</f>
        <v>Good</v>
      </c>
      <c r="W296" t="str">
        <f>IFERROR(__xludf.DUMMYFUNCTION("""COMPUTED_VALUE"""),"Good")</f>
        <v>Good</v>
      </c>
      <c r="X296" t="str">
        <f>IFERROR(__xludf.DUMMYFUNCTION("""COMPUTED_VALUE"""),"Good")</f>
        <v>Good</v>
      </c>
      <c r="Y296" t="str">
        <f>IFERROR(__xludf.DUMMYFUNCTION("""COMPUTED_VALUE"""),"Good")</f>
        <v>Good</v>
      </c>
      <c r="Z296" t="str">
        <f>IFERROR(__xludf.DUMMYFUNCTION("""COMPUTED_VALUE"""),"Good")</f>
        <v>Good</v>
      </c>
      <c r="AA296" t="str">
        <f>IFERROR(__xludf.DUMMYFUNCTION("""COMPUTED_VALUE"""),"Good")</f>
        <v>Good</v>
      </c>
      <c r="AB296" t="str">
        <f>IFERROR(__xludf.DUMMYFUNCTION("""COMPUTED_VALUE"""),"Good")</f>
        <v>Good</v>
      </c>
      <c r="AC296" t="str">
        <f>IFERROR(__xludf.DUMMYFUNCTION("""COMPUTED_VALUE"""),"Good")</f>
        <v>Good</v>
      </c>
      <c r="AE296" s="11"/>
      <c r="AF296" t="s">
        <v>218</v>
      </c>
      <c r="AG296" s="17" t="s">
        <v>115</v>
      </c>
      <c r="AH296" s="12">
        <v>1000.0</v>
      </c>
      <c r="AI296" s="12" t="s">
        <v>839</v>
      </c>
      <c r="AJ296" s="19" t="s">
        <v>840</v>
      </c>
      <c r="AK296" s="20" t="str">
        <f>HYPERLINK("https://docs.google.com/document/d/190TNo4ZUiEWHJnPN5QI9eTlWaIaeW3i_-JNB6ri0AA4/edit?usp=drivesdk","Pamela Marcum - 5/9/2019 6:45 AM")</f>
        <v>Pamela Marcum - 5/9/2019 6:45 AM</v>
      </c>
      <c r="AL296" s="12" t="s">
        <v>841</v>
      </c>
    </row>
    <row r="297">
      <c r="A297" s="10">
        <f>IFERROR(__xludf.DUMMYFUNCTION("""COMPUTED_VALUE"""),43595.26505815972)</f>
        <v>43595.26506</v>
      </c>
      <c r="B297" s="11" t="str">
        <f>IFERROR(__xludf.DUMMYFUNCTION("""COMPUTED_VALUE"""),"Pamela Marcu")</f>
        <v>Pamela Marcu</v>
      </c>
      <c r="C297" t="str">
        <f>IFERROR(__xludf.DUMMYFUNCTION("""COMPUTED_VALUE"""),"Pamela.Marcum@dep.state.fl.us")</f>
        <v>Pamela.Marcum@dep.state.fl.us</v>
      </c>
      <c r="D297" t="str">
        <f>IFERROR(__xludf.DUMMYFUNCTION("""COMPUTED_VALUE"""),"Research/Nikki")</f>
        <v>Research/Nikki</v>
      </c>
      <c r="E297" t="str">
        <f>IFERROR(__xludf.DUMMYFUNCTION("""COMPUTED_VALUE"""),"Aunt Kate's")</f>
        <v>Aunt Kate's</v>
      </c>
      <c r="F297" s="13">
        <f>IFERROR(__xludf.DUMMYFUNCTION("""COMPUTED_VALUE"""),0.2708333333321207)</f>
        <v>0.2708333333</v>
      </c>
      <c r="G297" s="14">
        <f>IFERROR(__xludf.DUMMYFUNCTION("""COMPUTED_VALUE"""),43595.0)</f>
        <v>43595</v>
      </c>
      <c r="H297" t="str">
        <f>IFERROR(__xludf.DUMMYFUNCTION("""COMPUTED_VALUE"""),"Guana River")</f>
        <v>Guana River</v>
      </c>
      <c r="I297" s="15">
        <f>IFERROR(__xludf.DUMMYFUNCTION("""COMPUTED_VALUE"""),0.4583333333321207)</f>
        <v>0.4583333333</v>
      </c>
      <c r="J297" s="16">
        <f>IFERROR(__xludf.DUMMYFUNCTION("""COMPUTED_VALUE"""),43595.47916666667)</f>
        <v>43595.47917</v>
      </c>
      <c r="K297" t="str">
        <f>IFERROR(__xludf.DUMMYFUNCTION("""COMPUTED_VALUE"""),"20ft Sea Ark FL5351SJ UNF 2015")</f>
        <v>20ft Sea Ark FL5351SJ UNF 2015</v>
      </c>
      <c r="M297" t="str">
        <f>IFERROR(__xludf.DUMMYFUNCTION("""COMPUTED_VALUE"""),"Ford F150 2015 (White) - DEP21448")</f>
        <v>Ford F150 2015 (White) - DEP21448</v>
      </c>
      <c r="N297" t="str">
        <f>IFERROR(__xludf.DUMMYFUNCTION("""COMPUTED_VALUE"""),"Pam Marcum, (480) 332-5414")</f>
        <v>Pam Marcum, (480) 332-5414</v>
      </c>
      <c r="O297" t="str">
        <f>IFERROR(__xludf.DUMMYFUNCTION("""COMPUTED_VALUE"""),"Nicole Peckham, Adrienne Breef-Pilz, David Kimbro")</f>
        <v>Nicole Peckham, Adrienne Breef-Pilz, David Kimbro</v>
      </c>
      <c r="P297" t="str">
        <f>IFERROR(__xludf.DUMMYFUNCTION("""COMPUTED_VALUE"""),"Pam")</f>
        <v>Pam</v>
      </c>
      <c r="Q297" t="str">
        <f>IFERROR(__xludf.DUMMYFUNCTION("""COMPUTED_VALUE"""),"Good")</f>
        <v>Good</v>
      </c>
      <c r="R297" t="str">
        <f>IFERROR(__xludf.DUMMYFUNCTION("""COMPUTED_VALUE"""),"Good")</f>
        <v>Good</v>
      </c>
      <c r="S297" t="str">
        <f>IFERROR(__xludf.DUMMYFUNCTION("""COMPUTED_VALUE"""),"Good")</f>
        <v>Good</v>
      </c>
      <c r="T297" t="str">
        <f>IFERROR(__xludf.DUMMYFUNCTION("""COMPUTED_VALUE"""),"Good")</f>
        <v>Good</v>
      </c>
      <c r="U297" t="str">
        <f>IFERROR(__xludf.DUMMYFUNCTION("""COMPUTED_VALUE"""),"Good")</f>
        <v>Good</v>
      </c>
      <c r="V297" t="str">
        <f>IFERROR(__xludf.DUMMYFUNCTION("""COMPUTED_VALUE"""),"Good")</f>
        <v>Good</v>
      </c>
      <c r="W297" t="str">
        <f>IFERROR(__xludf.DUMMYFUNCTION("""COMPUTED_VALUE"""),"Good")</f>
        <v>Good</v>
      </c>
      <c r="X297" t="str">
        <f>IFERROR(__xludf.DUMMYFUNCTION("""COMPUTED_VALUE"""),"Good")</f>
        <v>Good</v>
      </c>
      <c r="Y297" t="str">
        <f>IFERROR(__xludf.DUMMYFUNCTION("""COMPUTED_VALUE"""),"Good")</f>
        <v>Good</v>
      </c>
      <c r="Z297" t="str">
        <f>IFERROR(__xludf.DUMMYFUNCTION("""COMPUTED_VALUE"""),"Good")</f>
        <v>Good</v>
      </c>
      <c r="AA297" t="str">
        <f>IFERROR(__xludf.DUMMYFUNCTION("""COMPUTED_VALUE"""),"Good")</f>
        <v>Good</v>
      </c>
      <c r="AB297" t="str">
        <f>IFERROR(__xludf.DUMMYFUNCTION("""COMPUTED_VALUE"""),"Good")</f>
        <v>Good</v>
      </c>
      <c r="AC297" t="str">
        <f>IFERROR(__xludf.DUMMYFUNCTION("""COMPUTED_VALUE"""),"Good")</f>
        <v>Good</v>
      </c>
      <c r="AE297" s="11"/>
      <c r="AF297" t="s">
        <v>218</v>
      </c>
      <c r="AG297" s="17" t="s">
        <v>18</v>
      </c>
      <c r="AH297" s="12">
        <v>1030.0</v>
      </c>
      <c r="AI297" s="12" t="s">
        <v>842</v>
      </c>
      <c r="AJ297" s="19" t="s">
        <v>843</v>
      </c>
      <c r="AK297" s="20" t="str">
        <f>HYPERLINK("https://docs.google.com/document/d/1_V2iYWUNuyPpcY9McAiWWBOBaQ-9nnGnLE3AXu3Ways/edit?usp=drivesdk","Pamela Marcu - 5/10/2019 6:30 AM")</f>
        <v>Pamela Marcu - 5/10/2019 6:30 AM</v>
      </c>
      <c r="AL297" s="12" t="s">
        <v>844</v>
      </c>
    </row>
    <row r="298">
      <c r="A298" s="10">
        <f>IFERROR(__xludf.DUMMYFUNCTION("""COMPUTED_VALUE"""),43599.34336379629)</f>
        <v>43599.34336</v>
      </c>
      <c r="B298" s="11" t="str">
        <f>IFERROR(__xludf.DUMMYFUNCTION("""COMPUTED_VALUE"""),"James Tomazinis")</f>
        <v>James Tomazinis</v>
      </c>
      <c r="C298" t="str">
        <f>IFERROR(__xludf.DUMMYFUNCTION("""COMPUTED_VALUE"""),"james.tomazinis@floridadep.gov")</f>
        <v>james.tomazinis@floridadep.gov</v>
      </c>
      <c r="D298" t="str">
        <f>IFERROR(__xludf.DUMMYFUNCTION("""COMPUTED_VALUE"""),"Stewardship (Aquatic)")</f>
        <v>Stewardship (Aquatic)</v>
      </c>
      <c r="E298" t="str">
        <f>IFERROR(__xludf.DUMMYFUNCTION("""COMPUTED_VALUE"""),"Vilano")</f>
        <v>Vilano</v>
      </c>
      <c r="F298" s="13">
        <f>IFERROR(__xludf.DUMMYFUNCTION("""COMPUTED_VALUE"""),0.3854166666678793)</f>
        <v>0.3854166667</v>
      </c>
      <c r="G298" s="14">
        <f>IFERROR(__xludf.DUMMYFUNCTION("""COMPUTED_VALUE"""),43599.0)</f>
        <v>43599</v>
      </c>
      <c r="H298" t="str">
        <f>IFERROR(__xludf.DUMMYFUNCTION("""COMPUTED_VALUE"""),"Tolomato Nekton Sites")</f>
        <v>Tolomato Nekton Sites</v>
      </c>
      <c r="I298" s="15">
        <f>IFERROR(__xludf.DUMMYFUNCTION("""COMPUTED_VALUE"""),0.6875)</f>
        <v>0.6875</v>
      </c>
      <c r="J298" s="16"/>
      <c r="K298" t="str">
        <f>IFERROR(__xludf.DUMMYFUNCTION("""COMPUTED_VALUE"""),"23ft Skiff (Bertha) FL7972LJ DEP07613")</f>
        <v>23ft Skiff (Bertha) FL7972LJ DEP07613</v>
      </c>
      <c r="M298" t="str">
        <f>IFERROR(__xludf.DUMMYFUNCTION("""COMPUTED_VALUE"""),"Ford F150 2015 (White) - DEP21448")</f>
        <v>Ford F150 2015 (White) - DEP21448</v>
      </c>
      <c r="N298" t="str">
        <f>IFERROR(__xludf.DUMMYFUNCTION("""COMPUTED_VALUE"""),"Jimmy Tomazinis, (904) 547-0094")</f>
        <v>Jimmy Tomazinis, (904) 547-0094</v>
      </c>
      <c r="O298" t="str">
        <f>IFERROR(__xludf.DUMMYFUNCTION("""COMPUTED_VALUE"""),"Amy Brownfield, Chris Kurtz, Ed Mahon")</f>
        <v>Amy Brownfield, Chris Kurtz, Ed Mahon</v>
      </c>
      <c r="P298" t="str">
        <f>IFERROR(__xludf.DUMMYFUNCTION("""COMPUTED_VALUE"""),"Jimmy")</f>
        <v>Jimmy</v>
      </c>
      <c r="Q298" t="str">
        <f>IFERROR(__xludf.DUMMYFUNCTION("""COMPUTED_VALUE"""),"Good")</f>
        <v>Good</v>
      </c>
      <c r="R298" t="str">
        <f>IFERROR(__xludf.DUMMYFUNCTION("""COMPUTED_VALUE"""),"Good")</f>
        <v>Good</v>
      </c>
      <c r="S298" t="str">
        <f>IFERROR(__xludf.DUMMYFUNCTION("""COMPUTED_VALUE"""),"Good")</f>
        <v>Good</v>
      </c>
      <c r="T298" t="str">
        <f>IFERROR(__xludf.DUMMYFUNCTION("""COMPUTED_VALUE"""),"Good")</f>
        <v>Good</v>
      </c>
      <c r="U298" t="str">
        <f>IFERROR(__xludf.DUMMYFUNCTION("""COMPUTED_VALUE"""),"Good")</f>
        <v>Good</v>
      </c>
      <c r="V298" t="str">
        <f>IFERROR(__xludf.DUMMYFUNCTION("""COMPUTED_VALUE"""),"Good")</f>
        <v>Good</v>
      </c>
      <c r="W298" t="str">
        <f>IFERROR(__xludf.DUMMYFUNCTION("""COMPUTED_VALUE"""),"Good")</f>
        <v>Good</v>
      </c>
      <c r="X298" t="str">
        <f>IFERROR(__xludf.DUMMYFUNCTION("""COMPUTED_VALUE"""),"Good")</f>
        <v>Good</v>
      </c>
      <c r="Y298" t="str">
        <f>IFERROR(__xludf.DUMMYFUNCTION("""COMPUTED_VALUE"""),"Good")</f>
        <v>Good</v>
      </c>
      <c r="Z298" t="str">
        <f>IFERROR(__xludf.DUMMYFUNCTION("""COMPUTED_VALUE"""),"Good")</f>
        <v>Good</v>
      </c>
      <c r="AA298" t="str">
        <f>IFERROR(__xludf.DUMMYFUNCTION("""COMPUTED_VALUE"""),"Good")</f>
        <v>Good</v>
      </c>
      <c r="AB298" t="str">
        <f>IFERROR(__xludf.DUMMYFUNCTION("""COMPUTED_VALUE"""),"Good")</f>
        <v>Good</v>
      </c>
      <c r="AC298" t="str">
        <f>IFERROR(__xludf.DUMMYFUNCTION("""COMPUTED_VALUE"""),"Good")</f>
        <v>Good</v>
      </c>
      <c r="AE298" s="11"/>
      <c r="AF298" t="s">
        <v>32</v>
      </c>
      <c r="AG298" s="17" t="s">
        <v>18</v>
      </c>
      <c r="AH298" s="12">
        <v>1640.0</v>
      </c>
      <c r="AI298" s="12" t="s">
        <v>845</v>
      </c>
      <c r="AJ298" s="19" t="s">
        <v>846</v>
      </c>
      <c r="AK298" s="20" t="str">
        <f>HYPERLINK("https://docs.google.com/document/d/1LBsjMCrOKskybnaVJZ8DrnF0haojvF7rUr38aeeaaBQ/edit?usp=drivesdk","James Tomazinis - 5/14/2019 9:15 AM")</f>
        <v>James Tomazinis - 5/14/2019 9:15 AM</v>
      </c>
      <c r="AL298" s="12" t="s">
        <v>847</v>
      </c>
    </row>
    <row r="299">
      <c r="A299" s="10">
        <f>IFERROR(__xludf.DUMMYFUNCTION("""COMPUTED_VALUE"""),43599.42866834491)</f>
        <v>43599.42867</v>
      </c>
      <c r="B299" s="11" t="str">
        <f>IFERROR(__xludf.DUMMYFUNCTION("""COMPUTED_VALUE"""),"Pamela Marcum")</f>
        <v>Pamela Marcum</v>
      </c>
      <c r="C299" t="str">
        <f>IFERROR(__xludf.DUMMYFUNCTION("""COMPUTED_VALUE"""),"pamela.marcum@dep.state.fl.us")</f>
        <v>pamela.marcum@dep.state.fl.us</v>
      </c>
      <c r="D299" t="str">
        <f>IFERROR(__xludf.DUMMYFUNCTION("""COMPUTED_VALUE"""),"Research/Nikki")</f>
        <v>Research/Nikki</v>
      </c>
      <c r="E299" t="str">
        <f>IFERROR(__xludf.DUMMYFUNCTION("""COMPUTED_VALUE"""),"Green Rd")</f>
        <v>Green Rd</v>
      </c>
      <c r="F299" s="13">
        <f>IFERROR(__xludf.DUMMYFUNCTION("""COMPUTED_VALUE"""),0.4375)</f>
        <v>0.4375</v>
      </c>
      <c r="G299" s="14">
        <f>IFERROR(__xludf.DUMMYFUNCTION("""COMPUTED_VALUE"""),43599.0)</f>
        <v>43599</v>
      </c>
      <c r="H299" t="str">
        <f>IFERROR(__xludf.DUMMYFUNCTION("""COMPUTED_VALUE"""),"Devils Elbow")</f>
        <v>Devils Elbow</v>
      </c>
      <c r="I299" s="15">
        <f>IFERROR(__xludf.DUMMYFUNCTION("""COMPUTED_VALUE"""),0.6666666666678793)</f>
        <v>0.6666666667</v>
      </c>
      <c r="J299" s="16">
        <f>IFERROR(__xludf.DUMMYFUNCTION("""COMPUTED_VALUE"""),43599.6875)</f>
        <v>43599.6875</v>
      </c>
      <c r="K299" t="str">
        <f>IFERROR(__xludf.DUMMYFUNCTION("""COMPUTED_VALUE"""),"17ft Skill FL0642GW DEP07239")</f>
        <v>17ft Skill FL0642GW DEP07239</v>
      </c>
      <c r="M299" t="str">
        <f>IFERROR(__xludf.DUMMYFUNCTION("""COMPUTED_VALUE"""),"Ford F150 2008 - DEP18041 (SWMP Thing)")</f>
        <v>Ford F150 2008 - DEP18041 (SWMP Thing)</v>
      </c>
      <c r="N299" t="str">
        <f>IFERROR(__xludf.DUMMYFUNCTION("""COMPUTED_VALUE"""),"Pam Marcum, (480) 332-5414")</f>
        <v>Pam Marcum, (480) 332-5414</v>
      </c>
      <c r="O299" t="str">
        <f>IFERROR(__xludf.DUMMYFUNCTION("""COMPUTED_VALUE"""),"Nicole Peckham, Adrienne Breef-Pilz")</f>
        <v>Nicole Peckham, Adrienne Breef-Pilz</v>
      </c>
      <c r="P299" t="str">
        <f>IFERROR(__xludf.DUMMYFUNCTION("""COMPUTED_VALUE"""),"Pam")</f>
        <v>Pam</v>
      </c>
      <c r="Q299" t="str">
        <f>IFERROR(__xludf.DUMMYFUNCTION("""COMPUTED_VALUE"""),"Good")</f>
        <v>Good</v>
      </c>
      <c r="R299" t="str">
        <f>IFERROR(__xludf.DUMMYFUNCTION("""COMPUTED_VALUE"""),"Good")</f>
        <v>Good</v>
      </c>
      <c r="S299" t="str">
        <f>IFERROR(__xludf.DUMMYFUNCTION("""COMPUTED_VALUE"""),"Good")</f>
        <v>Good</v>
      </c>
      <c r="T299" t="str">
        <f>IFERROR(__xludf.DUMMYFUNCTION("""COMPUTED_VALUE"""),"Good")</f>
        <v>Good</v>
      </c>
      <c r="U299" t="str">
        <f>IFERROR(__xludf.DUMMYFUNCTION("""COMPUTED_VALUE"""),"Good")</f>
        <v>Good</v>
      </c>
      <c r="V299" t="str">
        <f>IFERROR(__xludf.DUMMYFUNCTION("""COMPUTED_VALUE"""),"Good")</f>
        <v>Good</v>
      </c>
      <c r="W299" t="str">
        <f>IFERROR(__xludf.DUMMYFUNCTION("""COMPUTED_VALUE"""),"Good")</f>
        <v>Good</v>
      </c>
      <c r="X299" t="str">
        <f>IFERROR(__xludf.DUMMYFUNCTION("""COMPUTED_VALUE"""),"Good")</f>
        <v>Good</v>
      </c>
      <c r="Y299" t="str">
        <f>IFERROR(__xludf.DUMMYFUNCTION("""COMPUTED_VALUE"""),"Good")</f>
        <v>Good</v>
      </c>
      <c r="Z299" t="str">
        <f>IFERROR(__xludf.DUMMYFUNCTION("""COMPUTED_VALUE"""),"Good")</f>
        <v>Good</v>
      </c>
      <c r="AA299" t="str">
        <f>IFERROR(__xludf.DUMMYFUNCTION("""COMPUTED_VALUE"""),"Good")</f>
        <v>Good</v>
      </c>
      <c r="AB299" t="str">
        <f>IFERROR(__xludf.DUMMYFUNCTION("""COMPUTED_VALUE"""),"Good")</f>
        <v>Good</v>
      </c>
      <c r="AC299" t="str">
        <f>IFERROR(__xludf.DUMMYFUNCTION("""COMPUTED_VALUE"""),"Good")</f>
        <v>Good</v>
      </c>
      <c r="AE299" s="11"/>
      <c r="AF299" t="s">
        <v>218</v>
      </c>
      <c r="AG299" s="17" t="s">
        <v>18</v>
      </c>
      <c r="AH299" s="12">
        <v>1445.0</v>
      </c>
      <c r="AI299" s="12" t="s">
        <v>848</v>
      </c>
      <c r="AJ299" s="19" t="s">
        <v>849</v>
      </c>
      <c r="AK299" s="20" t="str">
        <f>HYPERLINK("https://docs.google.com/document/d/1UEl-2dca8hhWbxoBq3pZJzZcixkeZmJLnspPZQ9oT-Q/edit?usp=drivesdk","Pamela Marcum - 5/14/2019 10:30 AM")</f>
        <v>Pamela Marcum - 5/14/2019 10:30 AM</v>
      </c>
      <c r="AL299" s="12" t="s">
        <v>850</v>
      </c>
    </row>
    <row r="300">
      <c r="A300" s="10">
        <f>IFERROR(__xludf.DUMMYFUNCTION("""COMPUTED_VALUE"""),43600.35831609953)</f>
        <v>43600.35832</v>
      </c>
      <c r="B300" s="11" t="str">
        <f>IFERROR(__xludf.DUMMYFUNCTION("""COMPUTED_VALUE"""),"James Tomazinis")</f>
        <v>James Tomazinis</v>
      </c>
      <c r="C300" t="str">
        <f>IFERROR(__xludf.DUMMYFUNCTION("""COMPUTED_VALUE"""),"james.tomazinis@floridadep.gov")</f>
        <v>james.tomazinis@floridadep.gov</v>
      </c>
      <c r="D300" t="str">
        <f>IFERROR(__xludf.DUMMYFUNCTION("""COMPUTED_VALUE"""),"Stewardship (Aquatic)")</f>
        <v>Stewardship (Aquatic)</v>
      </c>
      <c r="E300" t="str">
        <f>IFERROR(__xludf.DUMMYFUNCTION("""COMPUTED_VALUE"""),"Vilano")</f>
        <v>Vilano</v>
      </c>
      <c r="F300" s="13">
        <f>IFERROR(__xludf.DUMMYFUNCTION("""COMPUTED_VALUE"""),0.3854166666678793)</f>
        <v>0.3854166667</v>
      </c>
      <c r="G300" s="14">
        <f>IFERROR(__xludf.DUMMYFUNCTION("""COMPUTED_VALUE"""),43600.0)</f>
        <v>43600</v>
      </c>
      <c r="H300" t="str">
        <f>IFERROR(__xludf.DUMMYFUNCTION("""COMPUTED_VALUE"""),"Matanzas Nekton sites")</f>
        <v>Matanzas Nekton sites</v>
      </c>
      <c r="I300" s="15">
        <f>IFERROR(__xludf.DUMMYFUNCTION("""COMPUTED_VALUE"""),0.6875)</f>
        <v>0.6875</v>
      </c>
      <c r="J300" s="16"/>
      <c r="K300" t="str">
        <f>IFERROR(__xludf.DUMMYFUNCTION("""COMPUTED_VALUE"""),"23ft Skiff (Bertha) FL7972LJ DEP07613")</f>
        <v>23ft Skiff (Bertha) FL7972LJ DEP07613</v>
      </c>
      <c r="M300" t="str">
        <f>IFERROR(__xludf.DUMMYFUNCTION("""COMPUTED_VALUE"""),"Ford F150 2015 (White) - DEP21448")</f>
        <v>Ford F150 2015 (White) - DEP21448</v>
      </c>
      <c r="N300" t="str">
        <f>IFERROR(__xludf.DUMMYFUNCTION("""COMPUTED_VALUE"""),"Jimmy Tomazinis, (904) 547-0094")</f>
        <v>Jimmy Tomazinis, (904) 547-0094</v>
      </c>
      <c r="O300" t="str">
        <f>IFERROR(__xludf.DUMMYFUNCTION("""COMPUTED_VALUE"""),"Suzi Porterfield, Amy Brownfield, Vincent Mclure")</f>
        <v>Suzi Porterfield, Amy Brownfield, Vincent Mclure</v>
      </c>
      <c r="P300" t="str">
        <f>IFERROR(__xludf.DUMMYFUNCTION("""COMPUTED_VALUE"""),"Jimmy")</f>
        <v>Jimmy</v>
      </c>
      <c r="Q300" t="str">
        <f>IFERROR(__xludf.DUMMYFUNCTION("""COMPUTED_VALUE"""),"Good")</f>
        <v>Good</v>
      </c>
      <c r="R300" t="str">
        <f>IFERROR(__xludf.DUMMYFUNCTION("""COMPUTED_VALUE"""),"Good")</f>
        <v>Good</v>
      </c>
      <c r="S300" t="str">
        <f>IFERROR(__xludf.DUMMYFUNCTION("""COMPUTED_VALUE"""),"Good")</f>
        <v>Good</v>
      </c>
      <c r="T300" t="str">
        <f>IFERROR(__xludf.DUMMYFUNCTION("""COMPUTED_VALUE"""),"Good")</f>
        <v>Good</v>
      </c>
      <c r="U300" t="str">
        <f>IFERROR(__xludf.DUMMYFUNCTION("""COMPUTED_VALUE"""),"Good")</f>
        <v>Good</v>
      </c>
      <c r="V300" t="str">
        <f>IFERROR(__xludf.DUMMYFUNCTION("""COMPUTED_VALUE"""),"Good")</f>
        <v>Good</v>
      </c>
      <c r="W300" t="str">
        <f>IFERROR(__xludf.DUMMYFUNCTION("""COMPUTED_VALUE"""),"Good")</f>
        <v>Good</v>
      </c>
      <c r="X300" t="str">
        <f>IFERROR(__xludf.DUMMYFUNCTION("""COMPUTED_VALUE"""),"Good")</f>
        <v>Good</v>
      </c>
      <c r="Y300" t="str">
        <f>IFERROR(__xludf.DUMMYFUNCTION("""COMPUTED_VALUE"""),"Good")</f>
        <v>Good</v>
      </c>
      <c r="Z300" t="str">
        <f>IFERROR(__xludf.DUMMYFUNCTION("""COMPUTED_VALUE"""),"Good")</f>
        <v>Good</v>
      </c>
      <c r="AA300" t="str">
        <f>IFERROR(__xludf.DUMMYFUNCTION("""COMPUTED_VALUE"""),"Good")</f>
        <v>Good</v>
      </c>
      <c r="AB300" t="str">
        <f>IFERROR(__xludf.DUMMYFUNCTION("""COMPUTED_VALUE"""),"Good")</f>
        <v>Good</v>
      </c>
      <c r="AC300" t="str">
        <f>IFERROR(__xludf.DUMMYFUNCTION("""COMPUTED_VALUE"""),"Good")</f>
        <v>Good</v>
      </c>
      <c r="AE300" s="11"/>
      <c r="AF300" t="s">
        <v>32</v>
      </c>
      <c r="AG300" s="17" t="s">
        <v>851</v>
      </c>
      <c r="AH300" s="12">
        <v>1600.0</v>
      </c>
      <c r="AI300" s="12" t="s">
        <v>852</v>
      </c>
      <c r="AJ300" s="19" t="s">
        <v>853</v>
      </c>
      <c r="AK300" s="20" t="str">
        <f>HYPERLINK("https://docs.google.com/document/d/1tRygHe_g-Mb2L8SiXS2htKn66bxuHvsx3mLZX6RrvRw/edit?usp=drivesdk","James Tomazinis - 5/15/2019 9:15 AM")</f>
        <v>James Tomazinis - 5/15/2019 9:15 AM</v>
      </c>
      <c r="AL300" s="12" t="s">
        <v>854</v>
      </c>
    </row>
    <row r="301">
      <c r="A301" s="10">
        <f>IFERROR(__xludf.DUMMYFUNCTION("""COMPUTED_VALUE"""),43600.49849452546)</f>
        <v>43600.49849</v>
      </c>
      <c r="B301" s="11" t="str">
        <f>IFERROR(__xludf.DUMMYFUNCTION("""COMPUTED_VALUE"""),"Silas Tanner")</f>
        <v>Silas Tanner</v>
      </c>
      <c r="C301" t="str">
        <f>IFERROR(__xludf.DUMMYFUNCTION("""COMPUTED_VALUE"""),"silas.tanner@floridadep.gov")</f>
        <v>silas.tanner@floridadep.gov</v>
      </c>
      <c r="D301" t="str">
        <f>IFERROR(__xludf.DUMMYFUNCTION("""COMPUTED_VALUE"""),"Research/Nikki")</f>
        <v>Research/Nikki</v>
      </c>
      <c r="E301" t="str">
        <f>IFERROR(__xludf.DUMMYFUNCTION("""COMPUTED_VALUE"""),"Vilano Landing")</f>
        <v>Vilano Landing</v>
      </c>
      <c r="F301" s="13">
        <f>IFERROR(__xludf.DUMMYFUNCTION("""COMPUTED_VALUE"""),0.3229166666678793)</f>
        <v>0.3229166667</v>
      </c>
      <c r="G301" s="14">
        <f>IFERROR(__xludf.DUMMYFUNCTION("""COMPUTED_VALUE"""),43601.0)</f>
        <v>43601</v>
      </c>
      <c r="H301" t="str">
        <f>IFERROR(__xludf.DUMMYFUNCTION("""COMPUTED_VALUE"""),"ICW SWMP sites")</f>
        <v>ICW SWMP sites</v>
      </c>
      <c r="I301" s="15">
        <f>IFERROR(__xludf.DUMMYFUNCTION("""COMPUTED_VALUE"""),0.53125)</f>
        <v>0.53125</v>
      </c>
      <c r="J301" s="16">
        <f>IFERROR(__xludf.DUMMYFUNCTION("""COMPUTED_VALUE"""),43601.54166666667)</f>
        <v>43601.54167</v>
      </c>
      <c r="K301" t="str">
        <f>IFERROR(__xludf.DUMMYFUNCTION("""COMPUTED_VALUE"""),"20ft Sea Ark FL5351SJ UNF 2015")</f>
        <v>20ft Sea Ark FL5351SJ UNF 2015</v>
      </c>
      <c r="M301" t="str">
        <f>IFERROR(__xludf.DUMMYFUNCTION("""COMPUTED_VALUE"""),"Ford F250 2017 (Moby Dix) - DEP0021578")</f>
        <v>Ford F250 2017 (Moby Dix) - DEP0021578</v>
      </c>
      <c r="N301" t="str">
        <f>IFERROR(__xludf.DUMMYFUNCTION("""COMPUTED_VALUE"""),"Silas Tanner, (904) 483-8423")</f>
        <v>Silas Tanner, (904) 483-8423</v>
      </c>
      <c r="O301" t="str">
        <f>IFERROR(__xludf.DUMMYFUNCTION("""COMPUTED_VALUE"""),"Charles Snavely")</f>
        <v>Charles Snavely</v>
      </c>
      <c r="P301" t="str">
        <f>IFERROR(__xludf.DUMMYFUNCTION("""COMPUTED_VALUE"""),"S. Tanner")</f>
        <v>S. Tanner</v>
      </c>
      <c r="Q301" t="str">
        <f>IFERROR(__xludf.DUMMYFUNCTION("""COMPUTED_VALUE"""),"Good")</f>
        <v>Good</v>
      </c>
      <c r="R301" t="str">
        <f>IFERROR(__xludf.DUMMYFUNCTION("""COMPUTED_VALUE"""),"Good")</f>
        <v>Good</v>
      </c>
      <c r="S301" t="str">
        <f>IFERROR(__xludf.DUMMYFUNCTION("""COMPUTED_VALUE"""),"Good")</f>
        <v>Good</v>
      </c>
      <c r="T301" t="str">
        <f>IFERROR(__xludf.DUMMYFUNCTION("""COMPUTED_VALUE"""),"Good")</f>
        <v>Good</v>
      </c>
      <c r="U301" t="str">
        <f>IFERROR(__xludf.DUMMYFUNCTION("""COMPUTED_VALUE"""),"Good")</f>
        <v>Good</v>
      </c>
      <c r="V301" t="str">
        <f>IFERROR(__xludf.DUMMYFUNCTION("""COMPUTED_VALUE"""),"Good")</f>
        <v>Good</v>
      </c>
      <c r="W301" t="str">
        <f>IFERROR(__xludf.DUMMYFUNCTION("""COMPUTED_VALUE"""),"Good")</f>
        <v>Good</v>
      </c>
      <c r="X301" t="str">
        <f>IFERROR(__xludf.DUMMYFUNCTION("""COMPUTED_VALUE"""),"Good")</f>
        <v>Good</v>
      </c>
      <c r="Y301" t="str">
        <f>IFERROR(__xludf.DUMMYFUNCTION("""COMPUTED_VALUE"""),"Good")</f>
        <v>Good</v>
      </c>
      <c r="Z301" t="str">
        <f>IFERROR(__xludf.DUMMYFUNCTION("""COMPUTED_VALUE"""),"Good")</f>
        <v>Good</v>
      </c>
      <c r="AA301" t="str">
        <f>IFERROR(__xludf.DUMMYFUNCTION("""COMPUTED_VALUE"""),"Good")</f>
        <v>Good</v>
      </c>
      <c r="AB301" t="str">
        <f>IFERROR(__xludf.DUMMYFUNCTION("""COMPUTED_VALUE"""),"Good")</f>
        <v>Good</v>
      </c>
      <c r="AC301" t="str">
        <f>IFERROR(__xludf.DUMMYFUNCTION("""COMPUTED_VALUE"""),"Good")</f>
        <v>Good</v>
      </c>
      <c r="AE301" s="11"/>
      <c r="AF301" t="s">
        <v>218</v>
      </c>
      <c r="AG301" s="17" t="s">
        <v>128</v>
      </c>
      <c r="AH301" s="12">
        <v>1135.0</v>
      </c>
      <c r="AI301" s="12" t="s">
        <v>855</v>
      </c>
      <c r="AJ301" s="19" t="s">
        <v>856</v>
      </c>
      <c r="AK301" s="20" t="str">
        <f>HYPERLINK("https://docs.google.com/document/d/1pqnHvRBe93jYVA63NlfI2hkZWWO8LEXrZ0jP21_TsIw/edit?usp=drivesdk","Silas Tanner - 5/16/2019 7:45 AM")</f>
        <v>Silas Tanner - 5/16/2019 7:45 AM</v>
      </c>
      <c r="AL301" s="12" t="s">
        <v>857</v>
      </c>
    </row>
    <row r="302">
      <c r="A302" s="10">
        <f>IFERROR(__xludf.DUMMYFUNCTION("""COMPUTED_VALUE"""),43600.72839038194)</f>
        <v>43600.72839</v>
      </c>
      <c r="B302" s="11" t="str">
        <f>IFERROR(__xludf.DUMMYFUNCTION("""COMPUTED_VALUE"""),"James Tomazinis")</f>
        <v>James Tomazinis</v>
      </c>
      <c r="C302" t="str">
        <f>IFERROR(__xludf.DUMMYFUNCTION("""COMPUTED_VALUE"""),"james.tomazinis@floridadep.gov")</f>
        <v>james.tomazinis@floridadep.gov</v>
      </c>
      <c r="D302" t="str">
        <f>IFERROR(__xludf.DUMMYFUNCTION("""COMPUTED_VALUE"""),"Stewardship (Aquatic)")</f>
        <v>Stewardship (Aquatic)</v>
      </c>
      <c r="E302" t="str">
        <f>IFERROR(__xludf.DUMMYFUNCTION("""COMPUTED_VALUE"""),"Bings")</f>
        <v>Bings</v>
      </c>
      <c r="F302" s="13">
        <f>IFERROR(__xludf.DUMMYFUNCTION("""COMPUTED_VALUE"""),0.4166666666678793)</f>
        <v>0.4166666667</v>
      </c>
      <c r="G302" s="14">
        <f>IFERROR(__xludf.DUMMYFUNCTION("""COMPUTED_VALUE"""),43601.0)</f>
        <v>43601</v>
      </c>
      <c r="H302" t="str">
        <f>IFERROR(__xludf.DUMMYFUNCTION("""COMPUTED_VALUE"""),"Netkon sites 17,18,19,20")</f>
        <v>Netkon sites 17,18,19,20</v>
      </c>
      <c r="I302" s="15">
        <f>IFERROR(__xludf.DUMMYFUNCTION("""COMPUTED_VALUE"""),0.5833333333321207)</f>
        <v>0.5833333333</v>
      </c>
      <c r="J302" s="16"/>
      <c r="K302" t="str">
        <f>IFERROR(__xludf.DUMMYFUNCTION("""COMPUTED_VALUE"""),"23ft Skiff (Bertha) FL7972LJ DEP07613")</f>
        <v>23ft Skiff (Bertha) FL7972LJ DEP07613</v>
      </c>
      <c r="M302" t="str">
        <f>IFERROR(__xludf.DUMMYFUNCTION("""COMPUTED_VALUE"""),"Ford F150 2015 (White) - DEP21448")</f>
        <v>Ford F150 2015 (White) - DEP21448</v>
      </c>
      <c r="N302" t="str">
        <f>IFERROR(__xludf.DUMMYFUNCTION("""COMPUTED_VALUE"""),"Jimmy Tomazinis, (904) 547-0094, Mike Dickson")</f>
        <v>Jimmy Tomazinis, (904) 547-0094, Mike Dickson</v>
      </c>
      <c r="O302" t="str">
        <f>IFERROR(__xludf.DUMMYFUNCTION("""COMPUTED_VALUE"""),"Chris Kurtz, Suzi Porterfield")</f>
        <v>Chris Kurtz, Suzi Porterfield</v>
      </c>
      <c r="P302" t="str">
        <f>IFERROR(__xludf.DUMMYFUNCTION("""COMPUTED_VALUE"""),"Jimmy")</f>
        <v>Jimmy</v>
      </c>
      <c r="Q302" t="str">
        <f>IFERROR(__xludf.DUMMYFUNCTION("""COMPUTED_VALUE"""),"Good")</f>
        <v>Good</v>
      </c>
      <c r="R302" t="str">
        <f>IFERROR(__xludf.DUMMYFUNCTION("""COMPUTED_VALUE"""),"Good")</f>
        <v>Good</v>
      </c>
      <c r="S302" t="str">
        <f>IFERROR(__xludf.DUMMYFUNCTION("""COMPUTED_VALUE"""),"Good")</f>
        <v>Good</v>
      </c>
      <c r="T302" t="str">
        <f>IFERROR(__xludf.DUMMYFUNCTION("""COMPUTED_VALUE"""),"Good")</f>
        <v>Good</v>
      </c>
      <c r="U302" t="str">
        <f>IFERROR(__xludf.DUMMYFUNCTION("""COMPUTED_VALUE"""),"Good")</f>
        <v>Good</v>
      </c>
      <c r="V302" t="str">
        <f>IFERROR(__xludf.DUMMYFUNCTION("""COMPUTED_VALUE"""),"Good")</f>
        <v>Good</v>
      </c>
      <c r="W302" t="str">
        <f>IFERROR(__xludf.DUMMYFUNCTION("""COMPUTED_VALUE"""),"Good")</f>
        <v>Good</v>
      </c>
      <c r="X302" t="str">
        <f>IFERROR(__xludf.DUMMYFUNCTION("""COMPUTED_VALUE"""),"Good")</f>
        <v>Good</v>
      </c>
      <c r="Y302" t="str">
        <f>IFERROR(__xludf.DUMMYFUNCTION("""COMPUTED_VALUE"""),"Good")</f>
        <v>Good</v>
      </c>
      <c r="Z302" t="str">
        <f>IFERROR(__xludf.DUMMYFUNCTION("""COMPUTED_VALUE"""),"Good")</f>
        <v>Good</v>
      </c>
      <c r="AA302" t="str">
        <f>IFERROR(__xludf.DUMMYFUNCTION("""COMPUTED_VALUE"""),"Good")</f>
        <v>Good</v>
      </c>
      <c r="AB302" t="str">
        <f>IFERROR(__xludf.DUMMYFUNCTION("""COMPUTED_VALUE"""),"Good")</f>
        <v>Good</v>
      </c>
      <c r="AC302" t="str">
        <f>IFERROR(__xludf.DUMMYFUNCTION("""COMPUTED_VALUE"""),"Good")</f>
        <v>Good</v>
      </c>
      <c r="AE302" s="11"/>
      <c r="AF302" t="s">
        <v>32</v>
      </c>
      <c r="AG302" s="17" t="s">
        <v>128</v>
      </c>
      <c r="AH302" s="12">
        <v>1430.0</v>
      </c>
      <c r="AI302" s="12" t="s">
        <v>858</v>
      </c>
      <c r="AJ302" s="19" t="s">
        <v>859</v>
      </c>
      <c r="AK302" s="20" t="str">
        <f>HYPERLINK("https://docs.google.com/document/d/1hNWRIRHrwQ2y_KjvuP6GF3lI-qpLwHP1zU8ba6Th2A8/edit?usp=drivesdk","James Tomazinis - 5/16/2019 10:00 AM")</f>
        <v>James Tomazinis - 5/16/2019 10:00 AM</v>
      </c>
      <c r="AL302" s="12" t="s">
        <v>860</v>
      </c>
    </row>
    <row r="303">
      <c r="A303" s="10">
        <f>IFERROR(__xludf.DUMMYFUNCTION("""COMPUTED_VALUE"""),43601.52554824074)</f>
        <v>43601.52555</v>
      </c>
      <c r="B303" s="11" t="str">
        <f>IFERROR(__xludf.DUMMYFUNCTION("""COMPUTED_VALUE"""),"Pamela Marcum")</f>
        <v>Pamela Marcum</v>
      </c>
      <c r="C303" t="str">
        <f>IFERROR(__xludf.DUMMYFUNCTION("""COMPUTED_VALUE"""),"Pamela.Marcum@dep.state.fl.us")</f>
        <v>Pamela.Marcum@dep.state.fl.us</v>
      </c>
      <c r="D303" t="str">
        <f>IFERROR(__xludf.DUMMYFUNCTION("""COMPUTED_VALUE"""),"Research/Nikki")</f>
        <v>Research/Nikki</v>
      </c>
      <c r="E303" t="str">
        <f>IFERROR(__xludf.DUMMYFUNCTION("""COMPUTED_VALUE"""),"Green Rd")</f>
        <v>Green Rd</v>
      </c>
      <c r="F303" s="13">
        <f>IFERROR(__xludf.DUMMYFUNCTION("""COMPUTED_VALUE"""),0.59375)</f>
        <v>0.59375</v>
      </c>
      <c r="G303" s="14">
        <f>IFERROR(__xludf.DUMMYFUNCTION("""COMPUTED_VALUE"""),43601.0)</f>
        <v>43601</v>
      </c>
      <c r="H303" t="str">
        <f>IFERROR(__xludf.DUMMYFUNCTION("""COMPUTED_VALUE"""),"Matanzas River - Butler area")</f>
        <v>Matanzas River - Butler area</v>
      </c>
      <c r="I303" s="15">
        <f>IFERROR(__xludf.DUMMYFUNCTION("""COMPUTED_VALUE"""),0.7708333333321207)</f>
        <v>0.7708333333</v>
      </c>
      <c r="J303" s="16">
        <f>IFERROR(__xludf.DUMMYFUNCTION("""COMPUTED_VALUE"""),43601.79166666667)</f>
        <v>43601.79167</v>
      </c>
      <c r="K303" t="str">
        <f>IFERROR(__xludf.DUMMYFUNCTION("""COMPUTED_VALUE"""),"17ft Skill FL0642GW DEP07239")</f>
        <v>17ft Skill FL0642GW DEP07239</v>
      </c>
      <c r="M303" t="str">
        <f>IFERROR(__xludf.DUMMYFUNCTION("""COMPUTED_VALUE"""),"Ford F150 2008 - DEP18041 (SWMP Thing)")</f>
        <v>Ford F150 2008 - DEP18041 (SWMP Thing)</v>
      </c>
      <c r="N303" t="str">
        <f>IFERROR(__xludf.DUMMYFUNCTION("""COMPUTED_VALUE"""),"Pam Marcum, (480) 332-5414")</f>
        <v>Pam Marcum, (480) 332-5414</v>
      </c>
      <c r="O303" t="str">
        <f>IFERROR(__xludf.DUMMYFUNCTION("""COMPUTED_VALUE"""),"Nicole Peckham, Adrienne Breef-Pilz")</f>
        <v>Nicole Peckham, Adrienne Breef-Pilz</v>
      </c>
      <c r="P303" t="str">
        <f>IFERROR(__xludf.DUMMYFUNCTION("""COMPUTED_VALUE"""),"Pam")</f>
        <v>Pam</v>
      </c>
      <c r="Q303" t="str">
        <f>IFERROR(__xludf.DUMMYFUNCTION("""COMPUTED_VALUE"""),"Good")</f>
        <v>Good</v>
      </c>
      <c r="R303" t="str">
        <f>IFERROR(__xludf.DUMMYFUNCTION("""COMPUTED_VALUE"""),"Good")</f>
        <v>Good</v>
      </c>
      <c r="S303" t="str">
        <f>IFERROR(__xludf.DUMMYFUNCTION("""COMPUTED_VALUE"""),"Good")</f>
        <v>Good</v>
      </c>
      <c r="T303" t="str">
        <f>IFERROR(__xludf.DUMMYFUNCTION("""COMPUTED_VALUE"""),"Good")</f>
        <v>Good</v>
      </c>
      <c r="U303" t="str">
        <f>IFERROR(__xludf.DUMMYFUNCTION("""COMPUTED_VALUE"""),"Good")</f>
        <v>Good</v>
      </c>
      <c r="V303" t="str">
        <f>IFERROR(__xludf.DUMMYFUNCTION("""COMPUTED_VALUE"""),"Good")</f>
        <v>Good</v>
      </c>
      <c r="W303" t="str">
        <f>IFERROR(__xludf.DUMMYFUNCTION("""COMPUTED_VALUE"""),"Good")</f>
        <v>Good</v>
      </c>
      <c r="X303" t="str">
        <f>IFERROR(__xludf.DUMMYFUNCTION("""COMPUTED_VALUE"""),"Good")</f>
        <v>Good</v>
      </c>
      <c r="Y303" t="str">
        <f>IFERROR(__xludf.DUMMYFUNCTION("""COMPUTED_VALUE"""),"Good")</f>
        <v>Good</v>
      </c>
      <c r="Z303" t="str">
        <f>IFERROR(__xludf.DUMMYFUNCTION("""COMPUTED_VALUE"""),"Good")</f>
        <v>Good</v>
      </c>
      <c r="AA303" t="str">
        <f>IFERROR(__xludf.DUMMYFUNCTION("""COMPUTED_VALUE"""),"Good")</f>
        <v>Good</v>
      </c>
      <c r="AB303" t="str">
        <f>IFERROR(__xludf.DUMMYFUNCTION("""COMPUTED_VALUE"""),"Good")</f>
        <v>Good</v>
      </c>
      <c r="AC303" t="str">
        <f>IFERROR(__xludf.DUMMYFUNCTION("""COMPUTED_VALUE"""),"Good")</f>
        <v>Good</v>
      </c>
      <c r="AE303" s="11"/>
      <c r="AF303" t="s">
        <v>218</v>
      </c>
      <c r="AG303" s="17" t="s">
        <v>43</v>
      </c>
      <c r="AH303" s="12">
        <v>1610.0</v>
      </c>
      <c r="AI303" s="12" t="s">
        <v>861</v>
      </c>
      <c r="AJ303" s="19" t="s">
        <v>862</v>
      </c>
      <c r="AK303" s="20" t="str">
        <f>HYPERLINK("https://docs.google.com/document/d/1jQmJ2nmws9NbG4unV8L7tknjhGikOp5Wp60WoX0r9SU/edit?usp=drivesdk","Pamela Marcum - 5/16/2019 2:15 PM")</f>
        <v>Pamela Marcum - 5/16/2019 2:15 PM</v>
      </c>
      <c r="AL303" s="12" t="s">
        <v>863</v>
      </c>
    </row>
    <row r="304">
      <c r="A304" s="10">
        <f>IFERROR(__xludf.DUMMYFUNCTION("""COMPUTED_VALUE"""),43602.58879569444)</f>
        <v>43602.5888</v>
      </c>
      <c r="B304" s="11" t="str">
        <f>IFERROR(__xludf.DUMMYFUNCTION("""COMPUTED_VALUE"""),"Pam Marcum")</f>
        <v>Pam Marcum</v>
      </c>
      <c r="C304" t="str">
        <f>IFERROR(__xludf.DUMMYFUNCTION("""COMPUTED_VALUE"""),"Pamela.Marcum@dep.state.fl.us")</f>
        <v>Pamela.Marcum@dep.state.fl.us</v>
      </c>
      <c r="D304" t="str">
        <f>IFERROR(__xludf.DUMMYFUNCTION("""COMPUTED_VALUE"""),"Research/Nikki")</f>
        <v>Research/Nikki</v>
      </c>
      <c r="E304" t="str">
        <f>IFERROR(__xludf.DUMMYFUNCTION("""COMPUTED_VALUE"""),"Green Rd")</f>
        <v>Green Rd</v>
      </c>
      <c r="F304" s="13">
        <f>IFERROR(__xludf.DUMMYFUNCTION("""COMPUTED_VALUE"""),0.5833333333321207)</f>
        <v>0.5833333333</v>
      </c>
      <c r="G304" s="14">
        <f>IFERROR(__xludf.DUMMYFUNCTION("""COMPUTED_VALUE"""),43602.0)</f>
        <v>43602</v>
      </c>
      <c r="H304" t="str">
        <f>IFERROR(__xludf.DUMMYFUNCTION("""COMPUTED_VALUE"""),"Moses Flats")</f>
        <v>Moses Flats</v>
      </c>
      <c r="I304" s="15">
        <f>IFERROR(__xludf.DUMMYFUNCTION("""COMPUTED_VALUE"""),0.7083333333321207)</f>
        <v>0.7083333333</v>
      </c>
      <c r="J304" s="16">
        <f>IFERROR(__xludf.DUMMYFUNCTION("""COMPUTED_VALUE"""),43602.72916666667)</f>
        <v>43602.72917</v>
      </c>
      <c r="K304" t="str">
        <f>IFERROR(__xludf.DUMMYFUNCTION("""COMPUTED_VALUE"""),"17ft Skill FL0642GW DEP07239")</f>
        <v>17ft Skill FL0642GW DEP07239</v>
      </c>
      <c r="M304" t="str">
        <f>IFERROR(__xludf.DUMMYFUNCTION("""COMPUTED_VALUE"""),"2018 F150 AP")</f>
        <v>2018 F150 AP</v>
      </c>
      <c r="N304" t="str">
        <f>IFERROR(__xludf.DUMMYFUNCTION("""COMPUTED_VALUE"""),"Pam Marcum, (480) 332-5414")</f>
        <v>Pam Marcum, (480) 332-5414</v>
      </c>
      <c r="O304" t="str">
        <f>IFERROR(__xludf.DUMMYFUNCTION("""COMPUTED_VALUE"""),"Nicole Peckham, Adrienne Breef-Pilz")</f>
        <v>Nicole Peckham, Adrienne Breef-Pilz</v>
      </c>
      <c r="P304" t="str">
        <f>IFERROR(__xludf.DUMMYFUNCTION("""COMPUTED_VALUE"""),"Pam")</f>
        <v>Pam</v>
      </c>
      <c r="Q304" t="str">
        <f>IFERROR(__xludf.DUMMYFUNCTION("""COMPUTED_VALUE"""),"Good")</f>
        <v>Good</v>
      </c>
      <c r="R304" t="str">
        <f>IFERROR(__xludf.DUMMYFUNCTION("""COMPUTED_VALUE"""),"Good")</f>
        <v>Good</v>
      </c>
      <c r="S304" t="str">
        <f>IFERROR(__xludf.DUMMYFUNCTION("""COMPUTED_VALUE"""),"Good")</f>
        <v>Good</v>
      </c>
      <c r="T304" t="str">
        <f>IFERROR(__xludf.DUMMYFUNCTION("""COMPUTED_VALUE"""),"Good")</f>
        <v>Good</v>
      </c>
      <c r="U304" t="str">
        <f>IFERROR(__xludf.DUMMYFUNCTION("""COMPUTED_VALUE"""),"Good")</f>
        <v>Good</v>
      </c>
      <c r="V304" t="str">
        <f>IFERROR(__xludf.DUMMYFUNCTION("""COMPUTED_VALUE"""),"Good")</f>
        <v>Good</v>
      </c>
      <c r="W304" t="str">
        <f>IFERROR(__xludf.DUMMYFUNCTION("""COMPUTED_VALUE"""),"Good")</f>
        <v>Good</v>
      </c>
      <c r="X304" t="str">
        <f>IFERROR(__xludf.DUMMYFUNCTION("""COMPUTED_VALUE"""),"Good")</f>
        <v>Good</v>
      </c>
      <c r="Y304" t="str">
        <f>IFERROR(__xludf.DUMMYFUNCTION("""COMPUTED_VALUE"""),"Good")</f>
        <v>Good</v>
      </c>
      <c r="Z304" t="str">
        <f>IFERROR(__xludf.DUMMYFUNCTION("""COMPUTED_VALUE"""),"Good")</f>
        <v>Good</v>
      </c>
      <c r="AA304" t="str">
        <f>IFERROR(__xludf.DUMMYFUNCTION("""COMPUTED_VALUE"""),"Good")</f>
        <v>Good</v>
      </c>
      <c r="AB304" t="str">
        <f>IFERROR(__xludf.DUMMYFUNCTION("""COMPUTED_VALUE"""),"Good")</f>
        <v>Good</v>
      </c>
      <c r="AC304" t="str">
        <f>IFERROR(__xludf.DUMMYFUNCTION("""COMPUTED_VALUE"""),"Good")</f>
        <v>Good</v>
      </c>
      <c r="AE304" s="11"/>
      <c r="AF304" t="s">
        <v>218</v>
      </c>
      <c r="AG304" s="17" t="s">
        <v>43</v>
      </c>
      <c r="AH304" s="12">
        <v>1715.0</v>
      </c>
      <c r="AI304" s="12" t="s">
        <v>864</v>
      </c>
      <c r="AJ304" s="19" t="s">
        <v>865</v>
      </c>
      <c r="AK304" s="20" t="str">
        <f>HYPERLINK("https://docs.google.com/document/d/1nwRxq9QzMWOE6F4rVgHmRuocKZ9SkDOahsobebfl3uQ/edit?usp=drivesdk","Pam Marcum - 5/17/2019 2:00 PM")</f>
        <v>Pam Marcum - 5/17/2019 2:00 PM</v>
      </c>
      <c r="AL304" s="12" t="s">
        <v>866</v>
      </c>
    </row>
    <row r="305">
      <c r="A305" s="10">
        <f>IFERROR(__xludf.DUMMYFUNCTION("""COMPUTED_VALUE"""),43602.70531255787)</f>
        <v>43602.70531</v>
      </c>
      <c r="B305" s="11" t="str">
        <f>IFERROR(__xludf.DUMMYFUNCTION("""COMPUTED_VALUE"""),"James Tomazinis")</f>
        <v>James Tomazinis</v>
      </c>
      <c r="C305" t="str">
        <f>IFERROR(__xludf.DUMMYFUNCTION("""COMPUTED_VALUE"""),"james.tomazinis@floridadep.gov")</f>
        <v>james.tomazinis@floridadep.gov</v>
      </c>
      <c r="D305" t="str">
        <f>IFERROR(__xludf.DUMMYFUNCTION("""COMPUTED_VALUE"""),"Stewardship (Aquatic)")</f>
        <v>Stewardship (Aquatic)</v>
      </c>
      <c r="E305" t="str">
        <f>IFERROR(__xludf.DUMMYFUNCTION("""COMPUTED_VALUE"""),"Aunt Kates")</f>
        <v>Aunt Kates</v>
      </c>
      <c r="F305" s="13">
        <f>IFERROR(__xludf.DUMMYFUNCTION("""COMPUTED_VALUE"""),0.3854166666678793)</f>
        <v>0.3854166667</v>
      </c>
      <c r="G305" s="14">
        <f>IFERROR(__xludf.DUMMYFUNCTION("""COMPUTED_VALUE"""),43603.0)</f>
        <v>43603</v>
      </c>
      <c r="H305" t="str">
        <f>IFERROR(__xludf.DUMMYFUNCTION("""COMPUTED_VALUE"""),"Tolomato River/Guana")</f>
        <v>Tolomato River/Guana</v>
      </c>
      <c r="I305" s="15">
        <f>IFERROR(__xludf.DUMMYFUNCTION("""COMPUTED_VALUE"""),0.5833333333321207)</f>
        <v>0.5833333333</v>
      </c>
      <c r="J305" s="16"/>
      <c r="K305" t="str">
        <f>IFERROR(__xludf.DUMMYFUNCTION("""COMPUTED_VALUE"""),"23ft Skiff (Bertha) FL7972LJ DEP07613")</f>
        <v>23ft Skiff (Bertha) FL7972LJ DEP07613</v>
      </c>
      <c r="M305" t="str">
        <f>IFERROR(__xludf.DUMMYFUNCTION("""COMPUTED_VALUE"""),"Ford F150 2015 (White) - DEP21448")</f>
        <v>Ford F150 2015 (White) - DEP21448</v>
      </c>
      <c r="N305" t="str">
        <f>IFERROR(__xludf.DUMMYFUNCTION("""COMPUTED_VALUE"""),"Jimmy Tomazinis, (904) 547-0094")</f>
        <v>Jimmy Tomazinis, (904) 547-0094</v>
      </c>
      <c r="O305" t="str">
        <f>IFERROR(__xludf.DUMMYFUNCTION("""COMPUTED_VALUE"""),"Joe McCoy and students")</f>
        <v>Joe McCoy and students</v>
      </c>
      <c r="P305" t="str">
        <f>IFERROR(__xludf.DUMMYFUNCTION("""COMPUTED_VALUE"""),"Jimmy")</f>
        <v>Jimmy</v>
      </c>
      <c r="Q305" t="str">
        <f>IFERROR(__xludf.DUMMYFUNCTION("""COMPUTED_VALUE"""),"Good")</f>
        <v>Good</v>
      </c>
      <c r="R305" t="str">
        <f>IFERROR(__xludf.DUMMYFUNCTION("""COMPUTED_VALUE"""),"Good")</f>
        <v>Good</v>
      </c>
      <c r="S305" t="str">
        <f>IFERROR(__xludf.DUMMYFUNCTION("""COMPUTED_VALUE"""),"Good")</f>
        <v>Good</v>
      </c>
      <c r="T305" t="str">
        <f>IFERROR(__xludf.DUMMYFUNCTION("""COMPUTED_VALUE"""),"Good")</f>
        <v>Good</v>
      </c>
      <c r="U305" t="str">
        <f>IFERROR(__xludf.DUMMYFUNCTION("""COMPUTED_VALUE"""),"Good")</f>
        <v>Good</v>
      </c>
      <c r="V305" t="str">
        <f>IFERROR(__xludf.DUMMYFUNCTION("""COMPUTED_VALUE"""),"Good")</f>
        <v>Good</v>
      </c>
      <c r="W305" t="str">
        <f>IFERROR(__xludf.DUMMYFUNCTION("""COMPUTED_VALUE"""),"Good")</f>
        <v>Good</v>
      </c>
      <c r="X305" t="str">
        <f>IFERROR(__xludf.DUMMYFUNCTION("""COMPUTED_VALUE"""),"Good")</f>
        <v>Good</v>
      </c>
      <c r="Y305" t="str">
        <f>IFERROR(__xludf.DUMMYFUNCTION("""COMPUTED_VALUE"""),"Good")</f>
        <v>Good</v>
      </c>
      <c r="Z305" t="str">
        <f>IFERROR(__xludf.DUMMYFUNCTION("""COMPUTED_VALUE"""),"Good")</f>
        <v>Good</v>
      </c>
      <c r="AA305" t="str">
        <f>IFERROR(__xludf.DUMMYFUNCTION("""COMPUTED_VALUE"""),"Good")</f>
        <v>Good</v>
      </c>
      <c r="AB305" t="str">
        <f>IFERROR(__xludf.DUMMYFUNCTION("""COMPUTED_VALUE"""),"Good")</f>
        <v>Good</v>
      </c>
      <c r="AC305" t="str">
        <f>IFERROR(__xludf.DUMMYFUNCTION("""COMPUTED_VALUE"""),"Good")</f>
        <v>Good</v>
      </c>
      <c r="AE305" s="11"/>
      <c r="AF305" t="s">
        <v>32</v>
      </c>
      <c r="AG305" s="17" t="s">
        <v>18</v>
      </c>
      <c r="AH305" s="12">
        <v>1430.0</v>
      </c>
      <c r="AI305" s="12" t="s">
        <v>867</v>
      </c>
      <c r="AJ305" s="19" t="s">
        <v>868</v>
      </c>
      <c r="AK305" s="20" t="str">
        <f>HYPERLINK("https://docs.google.com/document/d/1QBSxmJEW8haI9t5gOvOxhfJQdjnU8UExtzvNGSdRJeU/edit?usp=drivesdk","James Tomazinis - 5/18/2019 9:15 AM")</f>
        <v>James Tomazinis - 5/18/2019 9:15 AM</v>
      </c>
      <c r="AL305" s="12" t="s">
        <v>869</v>
      </c>
    </row>
    <row r="306">
      <c r="A306" s="10">
        <f>IFERROR(__xludf.DUMMYFUNCTION("""COMPUTED_VALUE"""),43605.32700630787)</f>
        <v>43605.32701</v>
      </c>
      <c r="B306" s="11" t="str">
        <f>IFERROR(__xludf.DUMMYFUNCTION("""COMPUTED_VALUE"""),"Silas Tanner")</f>
        <v>Silas Tanner</v>
      </c>
      <c r="C306" t="str">
        <f>IFERROR(__xludf.DUMMYFUNCTION("""COMPUTED_VALUE"""),"silas.tanner@dep.state.fl")</f>
        <v>silas.tanner@dep.state.fl</v>
      </c>
      <c r="D306" t="str">
        <f>IFERROR(__xludf.DUMMYFUNCTION("""COMPUTED_VALUE"""),"Research/Nikki")</f>
        <v>Research/Nikki</v>
      </c>
      <c r="E306" t="str">
        <f>IFERROR(__xludf.DUMMYFUNCTION("""COMPUTED_VALUE"""),"Vilano Landing")</f>
        <v>Vilano Landing</v>
      </c>
      <c r="F306" s="13">
        <f>IFERROR(__xludf.DUMMYFUNCTION("""COMPUTED_VALUE"""),0.4166666666678793)</f>
        <v>0.4166666667</v>
      </c>
      <c r="G306" s="14">
        <f>IFERROR(__xludf.DUMMYFUNCTION("""COMPUTED_VALUE"""),43605.0)</f>
        <v>43605</v>
      </c>
      <c r="H306" t="str">
        <f>IFERROR(__xludf.DUMMYFUNCTION("""COMPUTED_VALUE"""),"ICW Hat Island platforms, Castillo, Salt Run")</f>
        <v>ICW Hat Island platforms, Castillo, Salt Run</v>
      </c>
      <c r="I306" s="15">
        <f>IFERROR(__xludf.DUMMYFUNCTION("""COMPUTED_VALUE"""),0.5208333333321207)</f>
        <v>0.5208333333</v>
      </c>
      <c r="J306" s="16">
        <f>IFERROR(__xludf.DUMMYFUNCTION("""COMPUTED_VALUE"""),43605.53125)</f>
        <v>43605.53125</v>
      </c>
      <c r="K306" t="str">
        <f>IFERROR(__xludf.DUMMYFUNCTION("""COMPUTED_VALUE"""),"23ft Skiff (Bertha) FL7972LJ DEP07613")</f>
        <v>23ft Skiff (Bertha) FL7972LJ DEP07613</v>
      </c>
      <c r="M306" t="str">
        <f>IFERROR(__xludf.DUMMYFUNCTION("""COMPUTED_VALUE"""),"Ford F150 2015 (White) - DEP21448")</f>
        <v>Ford F150 2015 (White) - DEP21448</v>
      </c>
      <c r="N306" t="str">
        <f>IFERROR(__xludf.DUMMYFUNCTION("""COMPUTED_VALUE"""),"Shannon Dunnigan, (803) 727-5734, Silas Tanner, (904) 483-8423")</f>
        <v>Shannon Dunnigan, (803) 727-5734, Silas Tanner, (904) 483-8423</v>
      </c>
      <c r="O306" t="str">
        <f>IFERROR(__xludf.DUMMYFUNCTION("""COMPUTED_VALUE"""),"Maddy Paris, Molly Dent, Chris Kurtz, Cameron Rumsey")</f>
        <v>Maddy Paris, Molly Dent, Chris Kurtz, Cameron Rumsey</v>
      </c>
      <c r="P306" t="str">
        <f>IFERROR(__xludf.DUMMYFUNCTION("""COMPUTED_VALUE"""),"S. Dunnigan")</f>
        <v>S. Dunnigan</v>
      </c>
      <c r="Q306" t="str">
        <f>IFERROR(__xludf.DUMMYFUNCTION("""COMPUTED_VALUE"""),"Good")</f>
        <v>Good</v>
      </c>
      <c r="R306" t="str">
        <f>IFERROR(__xludf.DUMMYFUNCTION("""COMPUTED_VALUE"""),"Good")</f>
        <v>Good</v>
      </c>
      <c r="S306" t="str">
        <f>IFERROR(__xludf.DUMMYFUNCTION("""COMPUTED_VALUE"""),"Good")</f>
        <v>Good</v>
      </c>
      <c r="T306" t="str">
        <f>IFERROR(__xludf.DUMMYFUNCTION("""COMPUTED_VALUE"""),"Good")</f>
        <v>Good</v>
      </c>
      <c r="U306" t="str">
        <f>IFERROR(__xludf.DUMMYFUNCTION("""COMPUTED_VALUE"""),"Good")</f>
        <v>Good</v>
      </c>
      <c r="V306" t="str">
        <f>IFERROR(__xludf.DUMMYFUNCTION("""COMPUTED_VALUE"""),"Good")</f>
        <v>Good</v>
      </c>
      <c r="W306" t="str">
        <f>IFERROR(__xludf.DUMMYFUNCTION("""COMPUTED_VALUE"""),"Good")</f>
        <v>Good</v>
      </c>
      <c r="X306" t="str">
        <f>IFERROR(__xludf.DUMMYFUNCTION("""COMPUTED_VALUE"""),"Good")</f>
        <v>Good</v>
      </c>
      <c r="Y306" t="str">
        <f>IFERROR(__xludf.DUMMYFUNCTION("""COMPUTED_VALUE"""),"Good")</f>
        <v>Good</v>
      </c>
      <c r="Z306" t="str">
        <f>IFERROR(__xludf.DUMMYFUNCTION("""COMPUTED_VALUE"""),"Good")</f>
        <v>Good</v>
      </c>
      <c r="AA306" t="str">
        <f>IFERROR(__xludf.DUMMYFUNCTION("""COMPUTED_VALUE"""),"Good")</f>
        <v>Good</v>
      </c>
      <c r="AB306" t="str">
        <f>IFERROR(__xludf.DUMMYFUNCTION("""COMPUTED_VALUE"""),"Good")</f>
        <v>Good</v>
      </c>
      <c r="AC306" t="str">
        <f>IFERROR(__xludf.DUMMYFUNCTION("""COMPUTED_VALUE"""),"Good")</f>
        <v>Good</v>
      </c>
      <c r="AE306" s="11"/>
      <c r="AF306" t="s">
        <v>218</v>
      </c>
      <c r="AG306" s="17" t="s">
        <v>18</v>
      </c>
      <c r="AH306" s="12">
        <v>1210.0</v>
      </c>
      <c r="AI306" s="12" t="s">
        <v>870</v>
      </c>
      <c r="AJ306" s="19" t="s">
        <v>871</v>
      </c>
      <c r="AK306" s="20" t="str">
        <f>HYPERLINK("https://docs.google.com/document/d/1QxaRdHvDAJbUR2d5Aif51DAoEGlkAzlCnhkf3ioW5X8/edit?usp=drivesdk","Silas Tanner - 5/20/2019 10:00 AM")</f>
        <v>Silas Tanner - 5/20/2019 10:00 AM</v>
      </c>
      <c r="AL306" s="12" t="s">
        <v>872</v>
      </c>
    </row>
    <row r="307">
      <c r="A307" s="10">
        <f>IFERROR(__xludf.DUMMYFUNCTION("""COMPUTED_VALUE"""),43605.361720416666)</f>
        <v>43605.36172</v>
      </c>
      <c r="B307" s="11" t="str">
        <f>IFERROR(__xludf.DUMMYFUNCTION("""COMPUTED_VALUE"""),"Jimmy Tomazinis")</f>
        <v>Jimmy Tomazinis</v>
      </c>
      <c r="C307" t="str">
        <f>IFERROR(__xludf.DUMMYFUNCTION("""COMPUTED_VALUE"""),"james.tomazinis@floridadep.gov")</f>
        <v>james.tomazinis@floridadep.gov</v>
      </c>
      <c r="D307" t="str">
        <f>IFERROR(__xludf.DUMMYFUNCTION("""COMPUTED_VALUE"""),"Stewardship (Aquatic)")</f>
        <v>Stewardship (Aquatic)</v>
      </c>
      <c r="E307" t="str">
        <f>IFERROR(__xludf.DUMMYFUNCTION("""COMPUTED_VALUE"""),"Palms Fish Camp, Nassauville")</f>
        <v>Palms Fish Camp, Nassauville</v>
      </c>
      <c r="F307" s="13">
        <f>IFERROR(__xludf.DUMMYFUNCTION("""COMPUTED_VALUE"""),0.4375)</f>
        <v>0.4375</v>
      </c>
      <c r="G307" s="14">
        <f>IFERROR(__xludf.DUMMYFUNCTION("""COMPUTED_VALUE"""),43605.0)</f>
        <v>43605</v>
      </c>
      <c r="H307" t="str">
        <f>IFERROR(__xludf.DUMMYFUNCTION("""COMPUTED_VALUE"""),"NEWQ sites")</f>
        <v>NEWQ sites</v>
      </c>
      <c r="I307" s="15">
        <f>IFERROR(__xludf.DUMMYFUNCTION("""COMPUTED_VALUE"""),0.7083333333321207)</f>
        <v>0.7083333333</v>
      </c>
      <c r="J307" s="16"/>
      <c r="K307" t="str">
        <f>IFERROR(__xludf.DUMMYFUNCTION("""COMPUTED_VALUE"""),"17ft Skill FL0642GW DEP07239")</f>
        <v>17ft Skill FL0642GW DEP07239</v>
      </c>
      <c r="M307" t="str">
        <f>IFERROR(__xludf.DUMMYFUNCTION("""COMPUTED_VALUE"""),"Ford F150 2008 - DEP18041 (SWMP Thing)")</f>
        <v>Ford F150 2008 - DEP18041 (SWMP Thing)</v>
      </c>
      <c r="N307" t="str">
        <f>IFERROR(__xludf.DUMMYFUNCTION("""COMPUTED_VALUE"""),"Jimmy Tomazinis, (904) 547-0094, Scott Eastman")</f>
        <v>Jimmy Tomazinis, (904) 547-0094, Scott Eastman</v>
      </c>
      <c r="P307" t="str">
        <f>IFERROR(__xludf.DUMMYFUNCTION("""COMPUTED_VALUE"""),"Jimmy")</f>
        <v>Jimmy</v>
      </c>
      <c r="Q307" t="str">
        <f>IFERROR(__xludf.DUMMYFUNCTION("""COMPUTED_VALUE"""),"Good")</f>
        <v>Good</v>
      </c>
      <c r="R307" t="str">
        <f>IFERROR(__xludf.DUMMYFUNCTION("""COMPUTED_VALUE"""),"Good")</f>
        <v>Good</v>
      </c>
      <c r="S307" t="str">
        <f>IFERROR(__xludf.DUMMYFUNCTION("""COMPUTED_VALUE"""),"Good")</f>
        <v>Good</v>
      </c>
      <c r="T307" t="str">
        <f>IFERROR(__xludf.DUMMYFUNCTION("""COMPUTED_VALUE"""),"Good")</f>
        <v>Good</v>
      </c>
      <c r="U307" t="str">
        <f>IFERROR(__xludf.DUMMYFUNCTION("""COMPUTED_VALUE"""),"Good")</f>
        <v>Good</v>
      </c>
      <c r="V307" t="str">
        <f>IFERROR(__xludf.DUMMYFUNCTION("""COMPUTED_VALUE"""),"Good")</f>
        <v>Good</v>
      </c>
      <c r="W307" t="str">
        <f>IFERROR(__xludf.DUMMYFUNCTION("""COMPUTED_VALUE"""),"Good")</f>
        <v>Good</v>
      </c>
      <c r="X307" t="str">
        <f>IFERROR(__xludf.DUMMYFUNCTION("""COMPUTED_VALUE"""),"Good")</f>
        <v>Good</v>
      </c>
      <c r="Y307" t="str">
        <f>IFERROR(__xludf.DUMMYFUNCTION("""COMPUTED_VALUE"""),"Good")</f>
        <v>Good</v>
      </c>
      <c r="Z307" t="str">
        <f>IFERROR(__xludf.DUMMYFUNCTION("""COMPUTED_VALUE"""),"Good")</f>
        <v>Good</v>
      </c>
      <c r="AA307" t="str">
        <f>IFERROR(__xludf.DUMMYFUNCTION("""COMPUTED_VALUE"""),"Good")</f>
        <v>Good</v>
      </c>
      <c r="AB307" t="str">
        <f>IFERROR(__xludf.DUMMYFUNCTION("""COMPUTED_VALUE"""),"Good")</f>
        <v>Good</v>
      </c>
      <c r="AC307" t="str">
        <f>IFERROR(__xludf.DUMMYFUNCTION("""COMPUTED_VALUE"""),"Good")</f>
        <v>Good</v>
      </c>
      <c r="AE307" s="11"/>
      <c r="AF307" t="s">
        <v>32</v>
      </c>
      <c r="AG307" s="17" t="s">
        <v>18</v>
      </c>
      <c r="AH307" s="12">
        <v>1620.0</v>
      </c>
      <c r="AI307" s="12" t="s">
        <v>873</v>
      </c>
      <c r="AJ307" s="19" t="s">
        <v>874</v>
      </c>
      <c r="AK307" s="20" t="str">
        <f>HYPERLINK("https://docs.google.com/document/d/10yd_QWoX4-uGTi1hSALQIVk7-NQdFiPnAMvkiRZydsQ/edit?usp=drivesdk","Jimmy Tomazinis - 5/20/2019 10:30 AM")</f>
        <v>Jimmy Tomazinis - 5/20/2019 10:30 AM</v>
      </c>
      <c r="AL307" s="12" t="s">
        <v>875</v>
      </c>
    </row>
    <row r="308">
      <c r="A308" s="10">
        <f>IFERROR(__xludf.DUMMYFUNCTION("""COMPUTED_VALUE"""),43606.344595625)</f>
        <v>43606.3446</v>
      </c>
      <c r="B308" s="11" t="str">
        <f>IFERROR(__xludf.DUMMYFUNCTION("""COMPUTED_VALUE"""),"Pam Marcum")</f>
        <v>Pam Marcum</v>
      </c>
      <c r="C308" t="str">
        <f>IFERROR(__xludf.DUMMYFUNCTION("""COMPUTED_VALUE"""),"pamela.marcum@dep.state.fl.us")</f>
        <v>pamela.marcum@dep.state.fl.us</v>
      </c>
      <c r="D308" t="str">
        <f>IFERROR(__xludf.DUMMYFUNCTION("""COMPUTED_VALUE"""),"Research/Nikki")</f>
        <v>Research/Nikki</v>
      </c>
      <c r="E308" t="str">
        <f>IFERROR(__xludf.DUMMYFUNCTION("""COMPUTED_VALUE"""),"Shore")</f>
        <v>Shore</v>
      </c>
      <c r="F308" s="13">
        <f>IFERROR(__xludf.DUMMYFUNCTION("""COMPUTED_VALUE"""),0.34375)</f>
        <v>0.34375</v>
      </c>
      <c r="G308" s="14">
        <f>IFERROR(__xludf.DUMMYFUNCTION("""COMPUTED_VALUE"""),43606.0)</f>
        <v>43606</v>
      </c>
      <c r="H308" t="str">
        <f>IFERROR(__xludf.DUMMYFUNCTION("""COMPUTED_VALUE"""),"Gabbys Creek")</f>
        <v>Gabbys Creek</v>
      </c>
      <c r="I308" s="15">
        <f>IFERROR(__xludf.DUMMYFUNCTION("""COMPUTED_VALUE"""),0.7083333333321207)</f>
        <v>0.7083333333</v>
      </c>
      <c r="J308" s="16">
        <f>IFERROR(__xludf.DUMMYFUNCTION("""COMPUTED_VALUE"""),43606.75)</f>
        <v>43606.75</v>
      </c>
      <c r="K308" t="str">
        <f>IFERROR(__xludf.DUMMYFUNCTION("""COMPUTED_VALUE"""),"20ft Sea Ark FL5351SJ UNF 2015")</f>
        <v>20ft Sea Ark FL5351SJ UNF 2015</v>
      </c>
      <c r="M308" t="str">
        <f>IFERROR(__xludf.DUMMYFUNCTION("""COMPUTED_VALUE"""),"Ford F150 2008 - DEP18041 (SWMP Thing)")</f>
        <v>Ford F150 2008 - DEP18041 (SWMP Thing)</v>
      </c>
      <c r="N308" t="str">
        <f>IFERROR(__xludf.DUMMYFUNCTION("""COMPUTED_VALUE"""),"Pam Marcum, (480) 332-5414, Matt Hayes")</f>
        <v>Pam Marcum, (480) 332-5414, Matt Hayes</v>
      </c>
      <c r="O308" t="str">
        <f>IFERROR(__xludf.DUMMYFUNCTION("""COMPUTED_VALUE"""),"Sam, Candy, Emily")</f>
        <v>Sam, Candy, Emily</v>
      </c>
      <c r="P308" t="str">
        <f>IFERROR(__xludf.DUMMYFUNCTION("""COMPUTED_VALUE"""),"Pam")</f>
        <v>Pam</v>
      </c>
      <c r="Q308" t="str">
        <f>IFERROR(__xludf.DUMMYFUNCTION("""COMPUTED_VALUE"""),"Good")</f>
        <v>Good</v>
      </c>
      <c r="R308" t="str">
        <f>IFERROR(__xludf.DUMMYFUNCTION("""COMPUTED_VALUE"""),"Good")</f>
        <v>Good</v>
      </c>
      <c r="S308" t="str">
        <f>IFERROR(__xludf.DUMMYFUNCTION("""COMPUTED_VALUE"""),"Good")</f>
        <v>Good</v>
      </c>
      <c r="T308" t="str">
        <f>IFERROR(__xludf.DUMMYFUNCTION("""COMPUTED_VALUE"""),"Good")</f>
        <v>Good</v>
      </c>
      <c r="U308" t="str">
        <f>IFERROR(__xludf.DUMMYFUNCTION("""COMPUTED_VALUE"""),"Good")</f>
        <v>Good</v>
      </c>
      <c r="V308" t="str">
        <f>IFERROR(__xludf.DUMMYFUNCTION("""COMPUTED_VALUE"""),"Good")</f>
        <v>Good</v>
      </c>
      <c r="W308" t="str">
        <f>IFERROR(__xludf.DUMMYFUNCTION("""COMPUTED_VALUE"""),"Good")</f>
        <v>Good</v>
      </c>
      <c r="X308" t="str">
        <f>IFERROR(__xludf.DUMMYFUNCTION("""COMPUTED_VALUE"""),"Good")</f>
        <v>Good</v>
      </c>
      <c r="Y308" t="str">
        <f>IFERROR(__xludf.DUMMYFUNCTION("""COMPUTED_VALUE"""),"Good")</f>
        <v>Good</v>
      </c>
      <c r="Z308" t="str">
        <f>IFERROR(__xludf.DUMMYFUNCTION("""COMPUTED_VALUE"""),"Good")</f>
        <v>Good</v>
      </c>
      <c r="AA308" t="str">
        <f>IFERROR(__xludf.DUMMYFUNCTION("""COMPUTED_VALUE"""),"Good")</f>
        <v>Good</v>
      </c>
      <c r="AB308" t="str">
        <f>IFERROR(__xludf.DUMMYFUNCTION("""COMPUTED_VALUE"""),"Good")</f>
        <v>Good</v>
      </c>
      <c r="AC308" t="str">
        <f>IFERROR(__xludf.DUMMYFUNCTION("""COMPUTED_VALUE"""),"Good")</f>
        <v>Good</v>
      </c>
      <c r="AE308" s="11"/>
      <c r="AF308" t="s">
        <v>218</v>
      </c>
      <c r="AG308" s="17" t="s">
        <v>18</v>
      </c>
      <c r="AH308" s="12">
        <v>1300.0</v>
      </c>
      <c r="AI308" s="12" t="s">
        <v>876</v>
      </c>
      <c r="AJ308" s="19" t="s">
        <v>877</v>
      </c>
      <c r="AK308" s="20" t="str">
        <f>HYPERLINK("https://docs.google.com/document/d/1oALdN25ww9lJ48fXJMH1m20lIQx2AKySaSRbjgF26Cc/edit?usp=drivesdk","Pam Marcum - 5/21/2019 8:15 AM")</f>
        <v>Pam Marcum - 5/21/2019 8:15 AM</v>
      </c>
      <c r="AL308" s="12" t="s">
        <v>878</v>
      </c>
    </row>
    <row r="309">
      <c r="A309" s="10">
        <f>IFERROR(__xludf.DUMMYFUNCTION("""COMPUTED_VALUE"""),43606.347828287035)</f>
        <v>43606.34783</v>
      </c>
      <c r="B309" s="11" t="str">
        <f>IFERROR(__xludf.DUMMYFUNCTION("""COMPUTED_VALUE"""),"Gabby Canas")</f>
        <v>Gabby Canas</v>
      </c>
      <c r="C309" t="str">
        <f>IFERROR(__xludf.DUMMYFUNCTION("""COMPUTED_VALUE"""),"Gabby.Canas@dep.state.fl.us")</f>
        <v>Gabby.Canas@dep.state.fl.us</v>
      </c>
      <c r="D309" t="str">
        <f>IFERROR(__xludf.DUMMYFUNCTION("""COMPUTED_VALUE"""),"Research/Nikki")</f>
        <v>Research/Nikki</v>
      </c>
      <c r="E309" t="str">
        <f>IFERROR(__xludf.DUMMYFUNCTION("""COMPUTED_VALUE"""),"Shore")</f>
        <v>Shore</v>
      </c>
      <c r="F309" s="13">
        <f>IFERROR(__xludf.DUMMYFUNCTION("""COMPUTED_VALUE"""),0.3645833333321207)</f>
        <v>0.3645833333</v>
      </c>
      <c r="G309" s="14">
        <f>IFERROR(__xludf.DUMMYFUNCTION("""COMPUTED_VALUE"""),43606.0)</f>
        <v>43606</v>
      </c>
      <c r="H309" t="str">
        <f>IFERROR(__xludf.DUMMYFUNCTION("""COMPUTED_VALUE"""),"Gabbys Creek")</f>
        <v>Gabbys Creek</v>
      </c>
      <c r="I309" s="15">
        <f>IFERROR(__xludf.DUMMYFUNCTION("""COMPUTED_VALUE"""),0.7083333333321207)</f>
        <v>0.7083333333</v>
      </c>
      <c r="J309" s="16">
        <f>IFERROR(__xludf.DUMMYFUNCTION("""COMPUTED_VALUE"""),43606.75)</f>
        <v>43606.75</v>
      </c>
      <c r="K309" t="str">
        <f>IFERROR(__xludf.DUMMYFUNCTION("""COMPUTED_VALUE"""),"23ft Skiff (Bertha) FL7972LJ DEP07613")</f>
        <v>23ft Skiff (Bertha) FL7972LJ DEP07613</v>
      </c>
      <c r="M309" t="str">
        <f>IFERROR(__xludf.DUMMYFUNCTION("""COMPUTED_VALUE"""),"Ford F150 2015 (White) - DEP21448")</f>
        <v>Ford F150 2015 (White) - DEP21448</v>
      </c>
      <c r="N309" t="str">
        <f>IFERROR(__xludf.DUMMYFUNCTION("""COMPUTED_VALUE"""),"Ches Vervake")</f>
        <v>Ches Vervake</v>
      </c>
      <c r="O309" t="str">
        <f>IFERROR(__xludf.DUMMYFUNCTION("""COMPUTED_VALUE"""),"Gabriela Canas, (904) 891-9743, Harris, Mark, Alex, Adam")</f>
        <v>Gabriela Canas, (904) 891-9743, Harris, Mark, Alex, Adam</v>
      </c>
      <c r="P309" t="str">
        <f>IFERROR(__xludf.DUMMYFUNCTION("""COMPUTED_VALUE"""),"Ches")</f>
        <v>Ches</v>
      </c>
      <c r="Q309" t="str">
        <f>IFERROR(__xludf.DUMMYFUNCTION("""COMPUTED_VALUE"""),"Good")</f>
        <v>Good</v>
      </c>
      <c r="R309" t="str">
        <f>IFERROR(__xludf.DUMMYFUNCTION("""COMPUTED_VALUE"""),"Good")</f>
        <v>Good</v>
      </c>
      <c r="S309" t="str">
        <f>IFERROR(__xludf.DUMMYFUNCTION("""COMPUTED_VALUE"""),"Good")</f>
        <v>Good</v>
      </c>
      <c r="T309" t="str">
        <f>IFERROR(__xludf.DUMMYFUNCTION("""COMPUTED_VALUE"""),"Good")</f>
        <v>Good</v>
      </c>
      <c r="U309" t="str">
        <f>IFERROR(__xludf.DUMMYFUNCTION("""COMPUTED_VALUE"""),"Good")</f>
        <v>Good</v>
      </c>
      <c r="V309" t="str">
        <f>IFERROR(__xludf.DUMMYFUNCTION("""COMPUTED_VALUE"""),"Good")</f>
        <v>Good</v>
      </c>
      <c r="W309" t="str">
        <f>IFERROR(__xludf.DUMMYFUNCTION("""COMPUTED_VALUE"""),"Good")</f>
        <v>Good</v>
      </c>
      <c r="X309" t="str">
        <f>IFERROR(__xludf.DUMMYFUNCTION("""COMPUTED_VALUE"""),"Good")</f>
        <v>Good</v>
      </c>
      <c r="Y309" t="str">
        <f>IFERROR(__xludf.DUMMYFUNCTION("""COMPUTED_VALUE"""),"Good")</f>
        <v>Good</v>
      </c>
      <c r="Z309" t="str">
        <f>IFERROR(__xludf.DUMMYFUNCTION("""COMPUTED_VALUE"""),"Good")</f>
        <v>Good</v>
      </c>
      <c r="AA309" t="str">
        <f>IFERROR(__xludf.DUMMYFUNCTION("""COMPUTED_VALUE"""),"Good")</f>
        <v>Good</v>
      </c>
      <c r="AB309" t="str">
        <f>IFERROR(__xludf.DUMMYFUNCTION("""COMPUTED_VALUE"""),"Good")</f>
        <v>Good</v>
      </c>
      <c r="AC309" t="str">
        <f>IFERROR(__xludf.DUMMYFUNCTION("""COMPUTED_VALUE"""),"Good")</f>
        <v>Good</v>
      </c>
      <c r="AE309" s="11"/>
      <c r="AF309" t="s">
        <v>218</v>
      </c>
      <c r="AG309" s="17" t="s">
        <v>43</v>
      </c>
      <c r="AH309" s="12">
        <v>1613.0</v>
      </c>
      <c r="AI309" s="12" t="s">
        <v>879</v>
      </c>
      <c r="AJ309" s="19" t="s">
        <v>880</v>
      </c>
      <c r="AK309" s="20" t="str">
        <f>HYPERLINK("https://docs.google.com/document/d/1TGJKwqK7tl-baAbH_IHsAK1BxN4w_NGJpCrIFFEFTWI/edit?usp=drivesdk","Gabby Canas - 5/21/2019 8:45 AM")</f>
        <v>Gabby Canas - 5/21/2019 8:45 AM</v>
      </c>
      <c r="AL309" s="12" t="s">
        <v>881</v>
      </c>
    </row>
    <row r="310">
      <c r="A310" s="10">
        <f>IFERROR(__xludf.DUMMYFUNCTION("""COMPUTED_VALUE"""),43608.300555381946)</f>
        <v>43608.30056</v>
      </c>
      <c r="B310" s="11" t="str">
        <f>IFERROR(__xludf.DUMMYFUNCTION("""COMPUTED_VALUE"""),"Gabriela Canas")</f>
        <v>Gabriela Canas</v>
      </c>
      <c r="C310" t="str">
        <f>IFERROR(__xludf.DUMMYFUNCTION("""COMPUTED_VALUE"""),"gabriela.canas@dep.state.fl.us")</f>
        <v>gabriela.canas@dep.state.fl.us</v>
      </c>
      <c r="D310" t="str">
        <f>IFERROR(__xludf.DUMMYFUNCTION("""COMPUTED_VALUE"""),"Research/Nikki")</f>
        <v>Research/Nikki</v>
      </c>
      <c r="E310" t="str">
        <f>IFERROR(__xludf.DUMMYFUNCTION("""COMPUTED_VALUE"""),"Douglas crane")</f>
        <v>Douglas crane</v>
      </c>
      <c r="F310" s="13">
        <f>IFERROR(__xludf.DUMMYFUNCTION("""COMPUTED_VALUE"""),0.3125)</f>
        <v>0.3125</v>
      </c>
      <c r="G310" s="14">
        <f>IFERROR(__xludf.DUMMYFUNCTION("""COMPUTED_VALUE"""),43608.0)</f>
        <v>43608</v>
      </c>
      <c r="H310" t="str">
        <f>IFERROR(__xludf.DUMMYFUNCTION("""COMPUTED_VALUE"""),"Gabby creek")</f>
        <v>Gabby creek</v>
      </c>
      <c r="I310" s="15">
        <f>IFERROR(__xludf.DUMMYFUNCTION("""COMPUTED_VALUE"""),0.6041666666678793)</f>
        <v>0.6041666667</v>
      </c>
      <c r="J310" s="16">
        <f>IFERROR(__xludf.DUMMYFUNCTION("""COMPUTED_VALUE"""),43608.63541666667)</f>
        <v>43608.63542</v>
      </c>
      <c r="K310" t="str">
        <f>IFERROR(__xludf.DUMMYFUNCTION("""COMPUTED_VALUE"""),"23ft Skiff (Bertha) FL7972LJ DEP07613")</f>
        <v>23ft Skiff (Bertha) FL7972LJ DEP07613</v>
      </c>
      <c r="M310" t="str">
        <f>IFERROR(__xludf.DUMMYFUNCTION("""COMPUTED_VALUE"""),"Ford F150 2015 (White) - DEP21448")</f>
        <v>Ford F150 2015 (White) - DEP21448</v>
      </c>
      <c r="N310" t="str">
        <f>IFERROR(__xludf.DUMMYFUNCTION("""COMPUTED_VALUE"""),"Matt Hayes")</f>
        <v>Matt Hayes</v>
      </c>
      <c r="O310" t="str">
        <f>IFERROR(__xludf.DUMMYFUNCTION("""COMPUTED_VALUE"""),"Gabriela Canas, (904) 891-9743")</f>
        <v>Gabriela Canas, (904) 891-9743</v>
      </c>
      <c r="P310" t="str">
        <f>IFERROR(__xludf.DUMMYFUNCTION("""COMPUTED_VALUE"""),"Matt Hayes")</f>
        <v>Matt Hayes</v>
      </c>
      <c r="Q310" t="str">
        <f>IFERROR(__xludf.DUMMYFUNCTION("""COMPUTED_VALUE"""),"Good")</f>
        <v>Good</v>
      </c>
      <c r="R310" t="str">
        <f>IFERROR(__xludf.DUMMYFUNCTION("""COMPUTED_VALUE"""),"Good")</f>
        <v>Good</v>
      </c>
      <c r="S310" t="str">
        <f>IFERROR(__xludf.DUMMYFUNCTION("""COMPUTED_VALUE"""),"Good")</f>
        <v>Good</v>
      </c>
      <c r="T310" t="str">
        <f>IFERROR(__xludf.DUMMYFUNCTION("""COMPUTED_VALUE"""),"Good")</f>
        <v>Good</v>
      </c>
      <c r="U310" t="str">
        <f>IFERROR(__xludf.DUMMYFUNCTION("""COMPUTED_VALUE"""),"Good")</f>
        <v>Good</v>
      </c>
      <c r="V310" t="str">
        <f>IFERROR(__xludf.DUMMYFUNCTION("""COMPUTED_VALUE"""),"Good")</f>
        <v>Good</v>
      </c>
      <c r="W310" t="str">
        <f>IFERROR(__xludf.DUMMYFUNCTION("""COMPUTED_VALUE"""),"Good")</f>
        <v>Good</v>
      </c>
      <c r="X310" t="str">
        <f>IFERROR(__xludf.DUMMYFUNCTION("""COMPUTED_VALUE"""),"Good")</f>
        <v>Good</v>
      </c>
      <c r="Y310" t="str">
        <f>IFERROR(__xludf.DUMMYFUNCTION("""COMPUTED_VALUE"""),"Good")</f>
        <v>Good</v>
      </c>
      <c r="Z310" t="str">
        <f>IFERROR(__xludf.DUMMYFUNCTION("""COMPUTED_VALUE"""),"Good")</f>
        <v>Good</v>
      </c>
      <c r="AA310" t="str">
        <f>IFERROR(__xludf.DUMMYFUNCTION("""COMPUTED_VALUE"""),"Good")</f>
        <v>Good</v>
      </c>
      <c r="AB310" t="str">
        <f>IFERROR(__xludf.DUMMYFUNCTION("""COMPUTED_VALUE"""),"Good")</f>
        <v>Good</v>
      </c>
      <c r="AC310" t="str">
        <f>IFERROR(__xludf.DUMMYFUNCTION("""COMPUTED_VALUE"""),"Good")</f>
        <v>Good</v>
      </c>
      <c r="AD310" t="str">
        <f>IFERROR(__xludf.DUMMYFUNCTION("""COMPUTED_VALUE"""),"Goos")</f>
        <v>Goos</v>
      </c>
      <c r="AE310" s="11" t="str">
        <f>IFERROR(__xludf.DUMMYFUNCTION("""COMPUTED_VALUE"""),"Good")</f>
        <v>Good</v>
      </c>
      <c r="AF310" t="s">
        <v>218</v>
      </c>
      <c r="AG310" s="17" t="s">
        <v>60</v>
      </c>
      <c r="AH310" s="12">
        <v>1334.0</v>
      </c>
      <c r="AI310" s="12" t="s">
        <v>882</v>
      </c>
      <c r="AJ310" s="19" t="s">
        <v>883</v>
      </c>
      <c r="AK310" s="20" t="str">
        <f>HYPERLINK("https://docs.google.com/document/d/1AE-X1g5JwYwKIewk8HKwamVWj8F3gqOdlwE6ACEbgo8/edit?usp=drivesdk","Gabriela Canas - 5/23/2019 7:30 AM")</f>
        <v>Gabriela Canas - 5/23/2019 7:30 AM</v>
      </c>
      <c r="AL310" s="12" t="s">
        <v>884</v>
      </c>
    </row>
    <row r="311">
      <c r="A311" s="10">
        <f>IFERROR(__xludf.DUMMYFUNCTION("""COMPUTED_VALUE"""),43615.69752498843)</f>
        <v>43615.69752</v>
      </c>
      <c r="B311" s="11" t="str">
        <f>IFERROR(__xludf.DUMMYFUNCTION("""COMPUTED_VALUE"""),"Jimmy")</f>
        <v>Jimmy</v>
      </c>
      <c r="C311" t="str">
        <f>IFERROR(__xludf.DUMMYFUNCTION("""COMPUTED_VALUE"""),"james.tomazinis@floridadep.gov")</f>
        <v>james.tomazinis@floridadep.gov</v>
      </c>
      <c r="D311" t="str">
        <f>IFERROR(__xludf.DUMMYFUNCTION("""COMPUTED_VALUE"""),"Stewardship (Aquatic)")</f>
        <v>Stewardship (Aquatic)</v>
      </c>
      <c r="E311" t="str">
        <f>IFERROR(__xludf.DUMMYFUNCTION("""COMPUTED_VALUE"""),"Beach Blvd")</f>
        <v>Beach Blvd</v>
      </c>
      <c r="F311" s="13">
        <f>IFERROR(__xludf.DUMMYFUNCTION("""COMPUTED_VALUE"""),0.5625)</f>
        <v>0.5625</v>
      </c>
      <c r="G311" s="14">
        <f>IFERROR(__xludf.DUMMYFUNCTION("""COMPUTED_VALUE"""),43616.0)</f>
        <v>43616</v>
      </c>
      <c r="H311" t="str">
        <f>IFERROR(__xludf.DUMMYFUNCTION("""COMPUTED_VALUE"""),"Pablo and Sisters Creek")</f>
        <v>Pablo and Sisters Creek</v>
      </c>
      <c r="I311" s="15">
        <f>IFERROR(__xludf.DUMMYFUNCTION("""COMPUTED_VALUE"""),0.75)</f>
        <v>0.75</v>
      </c>
      <c r="J311" s="16"/>
      <c r="K311" t="str">
        <f>IFERROR(__xludf.DUMMYFUNCTION("""COMPUTED_VALUE"""),"23ft Skiff (Bertha) FL7972LJ DEP07613")</f>
        <v>23ft Skiff (Bertha) FL7972LJ DEP07613</v>
      </c>
      <c r="M311" t="str">
        <f>IFERROR(__xludf.DUMMYFUNCTION("""COMPUTED_VALUE"""),"Ford F250 2017 (Moby Dix) - DEP0021578")</f>
        <v>Ford F250 2017 (Moby Dix) - DEP0021578</v>
      </c>
      <c r="N311" t="str">
        <f>IFERROR(__xludf.DUMMYFUNCTION("""COMPUTED_VALUE"""),"Jimmy Tomazinis, (904) 547-0094")</f>
        <v>Jimmy Tomazinis, (904) 547-0094</v>
      </c>
      <c r="O311" t="str">
        <f>IFERROR(__xludf.DUMMYFUNCTION("""COMPUTED_VALUE"""),"Kelly Smith, Craig Hargis, Chris Kurtz")</f>
        <v>Kelly Smith, Craig Hargis, Chris Kurtz</v>
      </c>
      <c r="P311" t="str">
        <f>IFERROR(__xludf.DUMMYFUNCTION("""COMPUTED_VALUE"""),"Jimmy")</f>
        <v>Jimmy</v>
      </c>
      <c r="Q311" t="str">
        <f>IFERROR(__xludf.DUMMYFUNCTION("""COMPUTED_VALUE"""),"Good")</f>
        <v>Good</v>
      </c>
      <c r="R311" t="str">
        <f>IFERROR(__xludf.DUMMYFUNCTION("""COMPUTED_VALUE"""),"Good")</f>
        <v>Good</v>
      </c>
      <c r="S311" t="str">
        <f>IFERROR(__xludf.DUMMYFUNCTION("""COMPUTED_VALUE"""),"Good")</f>
        <v>Good</v>
      </c>
      <c r="T311" t="str">
        <f>IFERROR(__xludf.DUMMYFUNCTION("""COMPUTED_VALUE"""),"Good")</f>
        <v>Good</v>
      </c>
      <c r="U311" t="str">
        <f>IFERROR(__xludf.DUMMYFUNCTION("""COMPUTED_VALUE"""),"Good")</f>
        <v>Good</v>
      </c>
      <c r="V311" t="str">
        <f>IFERROR(__xludf.DUMMYFUNCTION("""COMPUTED_VALUE"""),"Good")</f>
        <v>Good</v>
      </c>
      <c r="W311" t="str">
        <f>IFERROR(__xludf.DUMMYFUNCTION("""COMPUTED_VALUE"""),"Good")</f>
        <v>Good</v>
      </c>
      <c r="X311" t="str">
        <f>IFERROR(__xludf.DUMMYFUNCTION("""COMPUTED_VALUE"""),"Good")</f>
        <v>Good</v>
      </c>
      <c r="Y311" t="str">
        <f>IFERROR(__xludf.DUMMYFUNCTION("""COMPUTED_VALUE"""),"Good")</f>
        <v>Good</v>
      </c>
      <c r="Z311" t="str">
        <f>IFERROR(__xludf.DUMMYFUNCTION("""COMPUTED_VALUE"""),"Good")</f>
        <v>Good</v>
      </c>
      <c r="AA311" t="str">
        <f>IFERROR(__xludf.DUMMYFUNCTION("""COMPUTED_VALUE"""),"Good")</f>
        <v>Good</v>
      </c>
      <c r="AB311" t="str">
        <f>IFERROR(__xludf.DUMMYFUNCTION("""COMPUTED_VALUE"""),"Good")</f>
        <v>Good</v>
      </c>
      <c r="AC311" t="str">
        <f>IFERROR(__xludf.DUMMYFUNCTION("""COMPUTED_VALUE"""),"Good")</f>
        <v>Good</v>
      </c>
      <c r="AE311" s="11"/>
      <c r="AF311" t="s">
        <v>32</v>
      </c>
      <c r="AG311" s="17" t="s">
        <v>851</v>
      </c>
      <c r="AH311" s="12">
        <v>1800.0</v>
      </c>
      <c r="AI311" s="12" t="s">
        <v>885</v>
      </c>
      <c r="AJ311" s="19" t="s">
        <v>886</v>
      </c>
      <c r="AK311" s="20" t="str">
        <f>HYPERLINK("https://docs.google.com/document/d/1dCEu2hsgN4CNpOXcvJv99aq_Gid7YoqeBDIpSpkQ4nU/edit?usp=drivesdk","Jimmy - 5/31/2019 1:30 PM")</f>
        <v>Jimmy - 5/31/2019 1:30 PM</v>
      </c>
      <c r="AL311" s="12" t="s">
        <v>887</v>
      </c>
    </row>
    <row r="312">
      <c r="A312" s="10">
        <f>IFERROR(__xludf.DUMMYFUNCTION("""COMPUTED_VALUE"""),43616.378163692134)</f>
        <v>43616.37816</v>
      </c>
      <c r="B312" s="11" t="str">
        <f>IFERROR(__xludf.DUMMYFUNCTION("""COMPUTED_VALUE"""),"Pamela Marcum")</f>
        <v>Pamela Marcum</v>
      </c>
      <c r="C312" t="str">
        <f>IFERROR(__xludf.DUMMYFUNCTION("""COMPUTED_VALUE"""),"Pamela.Marcum@dep.state.fl.us")</f>
        <v>Pamela.Marcum@dep.state.fl.us</v>
      </c>
      <c r="D312" t="str">
        <f>IFERROR(__xludf.DUMMYFUNCTION("""COMPUTED_VALUE"""),"Research/Nikki")</f>
        <v>Research/Nikki</v>
      </c>
      <c r="E312" t="str">
        <f>IFERROR(__xludf.DUMMYFUNCTION("""COMPUTED_VALUE"""),"Lighthouse, Shore Dr, Green Rd")</f>
        <v>Lighthouse, Shore Dr, Green Rd</v>
      </c>
      <c r="F312" s="13">
        <f>IFERROR(__xludf.DUMMYFUNCTION("""COMPUTED_VALUE"""),0.4166666666678793)</f>
        <v>0.4166666667</v>
      </c>
      <c r="G312" s="14">
        <f>IFERROR(__xludf.DUMMYFUNCTION("""COMPUTED_VALUE"""),43616.0)</f>
        <v>43616</v>
      </c>
      <c r="H312" t="str">
        <f>IFERROR(__xludf.DUMMYFUNCTION("""COMPUTED_VALUE"""),"Spat Trees")</f>
        <v>Spat Trees</v>
      </c>
      <c r="I312" s="15">
        <f>IFERROR(__xludf.DUMMYFUNCTION("""COMPUTED_VALUE"""),0.5416666666678793)</f>
        <v>0.5416666667</v>
      </c>
      <c r="J312" s="16">
        <f>IFERROR(__xludf.DUMMYFUNCTION("""COMPUTED_VALUE"""),43616.70833333333)</f>
        <v>43616.70833</v>
      </c>
      <c r="K312" t="str">
        <f>IFERROR(__xludf.DUMMYFUNCTION("""COMPUTED_VALUE"""),"20ft Sea Ark FL5351SJ UNF 2015")</f>
        <v>20ft Sea Ark FL5351SJ UNF 2015</v>
      </c>
      <c r="M312" t="str">
        <f>IFERROR(__xludf.DUMMYFUNCTION("""COMPUTED_VALUE"""),"Ford F150 2008 - DEP18041 (SWMP Thing)")</f>
        <v>Ford F150 2008 - DEP18041 (SWMP Thing)</v>
      </c>
      <c r="N312" t="str">
        <f>IFERROR(__xludf.DUMMYFUNCTION("""COMPUTED_VALUE"""),"Pam Marcum, (480) 332-5414")</f>
        <v>Pam Marcum, (480) 332-5414</v>
      </c>
      <c r="O312" t="str">
        <f>IFERROR(__xludf.DUMMYFUNCTION("""COMPUTED_VALUE"""),"Alee Knoell")</f>
        <v>Alee Knoell</v>
      </c>
      <c r="P312" t="str">
        <f>IFERROR(__xludf.DUMMYFUNCTION("""COMPUTED_VALUE"""),"Pam")</f>
        <v>Pam</v>
      </c>
      <c r="Q312" t="str">
        <f>IFERROR(__xludf.DUMMYFUNCTION("""COMPUTED_VALUE"""),"Good")</f>
        <v>Good</v>
      </c>
      <c r="R312" t="str">
        <f>IFERROR(__xludf.DUMMYFUNCTION("""COMPUTED_VALUE"""),"Good")</f>
        <v>Good</v>
      </c>
      <c r="S312" t="str">
        <f>IFERROR(__xludf.DUMMYFUNCTION("""COMPUTED_VALUE"""),"Good")</f>
        <v>Good</v>
      </c>
      <c r="T312" t="str">
        <f>IFERROR(__xludf.DUMMYFUNCTION("""COMPUTED_VALUE"""),"Good")</f>
        <v>Good</v>
      </c>
      <c r="U312" t="str">
        <f>IFERROR(__xludf.DUMMYFUNCTION("""COMPUTED_VALUE"""),"Good")</f>
        <v>Good</v>
      </c>
      <c r="V312" t="str">
        <f>IFERROR(__xludf.DUMMYFUNCTION("""COMPUTED_VALUE"""),"Good")</f>
        <v>Good</v>
      </c>
      <c r="W312" t="str">
        <f>IFERROR(__xludf.DUMMYFUNCTION("""COMPUTED_VALUE"""),"Good")</f>
        <v>Good</v>
      </c>
      <c r="X312" t="str">
        <f>IFERROR(__xludf.DUMMYFUNCTION("""COMPUTED_VALUE"""),"Good")</f>
        <v>Good</v>
      </c>
      <c r="Y312" t="str">
        <f>IFERROR(__xludf.DUMMYFUNCTION("""COMPUTED_VALUE"""),"Good")</f>
        <v>Good</v>
      </c>
      <c r="Z312" t="str">
        <f>IFERROR(__xludf.DUMMYFUNCTION("""COMPUTED_VALUE"""),"Good")</f>
        <v>Good</v>
      </c>
      <c r="AA312" t="str">
        <f>IFERROR(__xludf.DUMMYFUNCTION("""COMPUTED_VALUE"""),"Good")</f>
        <v>Good</v>
      </c>
      <c r="AB312" t="str">
        <f>IFERROR(__xludf.DUMMYFUNCTION("""COMPUTED_VALUE"""),"Good")</f>
        <v>Good</v>
      </c>
      <c r="AC312" t="str">
        <f>IFERROR(__xludf.DUMMYFUNCTION("""COMPUTED_VALUE"""),"Good")</f>
        <v>Good</v>
      </c>
      <c r="AE312" s="11"/>
      <c r="AF312" t="s">
        <v>218</v>
      </c>
      <c r="AG312" s="17" t="s">
        <v>60</v>
      </c>
      <c r="AH312" s="12">
        <v>1409.0</v>
      </c>
      <c r="AI312" s="12" t="s">
        <v>888</v>
      </c>
      <c r="AJ312" s="19" t="s">
        <v>889</v>
      </c>
      <c r="AK312" s="20" t="str">
        <f>HYPERLINK("https://docs.google.com/document/d/1Nk9n5eyGbsbIoXNmGFa0tJ56gRlGDnbkMU66Pzi_7zQ/edit?usp=drivesdk","Pamela Marcum - 5/31/2019 10:00 AM")</f>
        <v>Pamela Marcum - 5/31/2019 10:00 AM</v>
      </c>
      <c r="AL312" s="12" t="s">
        <v>890</v>
      </c>
    </row>
    <row r="313">
      <c r="A313" s="10">
        <f>IFERROR(__xludf.DUMMYFUNCTION("""COMPUTED_VALUE"""),43616.37944949074)</f>
        <v>43616.37945</v>
      </c>
      <c r="B313" s="11" t="str">
        <f>IFERROR(__xludf.DUMMYFUNCTION("""COMPUTED_VALUE"""),"Pamela Marcum")</f>
        <v>Pamela Marcum</v>
      </c>
      <c r="C313" t="str">
        <f>IFERROR(__xludf.DUMMYFUNCTION("""COMPUTED_VALUE"""),"Pamela.Marcum@dep.state.fl.us")</f>
        <v>Pamela.Marcum@dep.state.fl.us</v>
      </c>
      <c r="D313" t="str">
        <f>IFERROR(__xludf.DUMMYFUNCTION("""COMPUTED_VALUE"""),"Research/Nikki")</f>
        <v>Research/Nikki</v>
      </c>
      <c r="E313" t="str">
        <f>IFERROR(__xludf.DUMMYFUNCTION("""COMPUTED_VALUE"""),"Aunt Kate's")</f>
        <v>Aunt Kate's</v>
      </c>
      <c r="F313" s="13">
        <f>IFERROR(__xludf.DUMMYFUNCTION("""COMPUTED_VALUE"""),0.5833333333321207)</f>
        <v>0.5833333333</v>
      </c>
      <c r="G313" s="14">
        <f>IFERROR(__xludf.DUMMYFUNCTION("""COMPUTED_VALUE"""),43616.0)</f>
        <v>43616</v>
      </c>
      <c r="H313" t="str">
        <f>IFERROR(__xludf.DUMMYFUNCTION("""COMPUTED_VALUE"""),"Guana/Tolomato")</f>
        <v>Guana/Tolomato</v>
      </c>
      <c r="I313" s="15">
        <f>IFERROR(__xludf.DUMMYFUNCTION("""COMPUTED_VALUE"""),0.7083333333321207)</f>
        <v>0.7083333333</v>
      </c>
      <c r="J313" s="16">
        <f>IFERROR(__xludf.DUMMYFUNCTION("""COMPUTED_VALUE"""),43616.72916666667)</f>
        <v>43616.72917</v>
      </c>
      <c r="K313" t="str">
        <f>IFERROR(__xludf.DUMMYFUNCTION("""COMPUTED_VALUE"""),"20ft Sea Ark FL5351SJ UNF 2015")</f>
        <v>20ft Sea Ark FL5351SJ UNF 2015</v>
      </c>
      <c r="M313" t="str">
        <f>IFERROR(__xludf.DUMMYFUNCTION("""COMPUTED_VALUE"""),"Ford F150 2008 - DEP18041 (SWMP Thing)")</f>
        <v>Ford F150 2008 - DEP18041 (SWMP Thing)</v>
      </c>
      <c r="N313" t="str">
        <f>IFERROR(__xludf.DUMMYFUNCTION("""COMPUTED_VALUE"""),"Pam Marcum, (480) 332-5414")</f>
        <v>Pam Marcum, (480) 332-5414</v>
      </c>
      <c r="O313" t="str">
        <f>IFERROR(__xludf.DUMMYFUNCTION("""COMPUTED_VALUE"""),"Alee Knoell, Adrienne Breef-Pilz, Allison Noble")</f>
        <v>Alee Knoell, Adrienne Breef-Pilz, Allison Noble</v>
      </c>
      <c r="P313" t="str">
        <f>IFERROR(__xludf.DUMMYFUNCTION("""COMPUTED_VALUE"""),"Pam")</f>
        <v>Pam</v>
      </c>
      <c r="Q313" t="str">
        <f>IFERROR(__xludf.DUMMYFUNCTION("""COMPUTED_VALUE"""),"Good")</f>
        <v>Good</v>
      </c>
      <c r="R313" t="str">
        <f>IFERROR(__xludf.DUMMYFUNCTION("""COMPUTED_VALUE"""),"Good")</f>
        <v>Good</v>
      </c>
      <c r="S313" t="str">
        <f>IFERROR(__xludf.DUMMYFUNCTION("""COMPUTED_VALUE"""),"Good")</f>
        <v>Good</v>
      </c>
      <c r="T313" t="str">
        <f>IFERROR(__xludf.DUMMYFUNCTION("""COMPUTED_VALUE"""),"Good")</f>
        <v>Good</v>
      </c>
      <c r="U313" t="str">
        <f>IFERROR(__xludf.DUMMYFUNCTION("""COMPUTED_VALUE"""),"Good")</f>
        <v>Good</v>
      </c>
      <c r="V313" t="str">
        <f>IFERROR(__xludf.DUMMYFUNCTION("""COMPUTED_VALUE"""),"Good")</f>
        <v>Good</v>
      </c>
      <c r="W313" t="str">
        <f>IFERROR(__xludf.DUMMYFUNCTION("""COMPUTED_VALUE"""),"Good")</f>
        <v>Good</v>
      </c>
      <c r="X313" t="str">
        <f>IFERROR(__xludf.DUMMYFUNCTION("""COMPUTED_VALUE"""),"Good")</f>
        <v>Good</v>
      </c>
      <c r="Y313" t="str">
        <f>IFERROR(__xludf.DUMMYFUNCTION("""COMPUTED_VALUE"""),"Good")</f>
        <v>Good</v>
      </c>
      <c r="Z313" t="str">
        <f>IFERROR(__xludf.DUMMYFUNCTION("""COMPUTED_VALUE"""),"Good")</f>
        <v>Good</v>
      </c>
      <c r="AA313" t="str">
        <f>IFERROR(__xludf.DUMMYFUNCTION("""COMPUTED_VALUE"""),"Good")</f>
        <v>Good</v>
      </c>
      <c r="AB313" t="str">
        <f>IFERROR(__xludf.DUMMYFUNCTION("""COMPUTED_VALUE"""),"Good")</f>
        <v>Good</v>
      </c>
      <c r="AC313" t="str">
        <f>IFERROR(__xludf.DUMMYFUNCTION("""COMPUTED_VALUE"""),"Good")</f>
        <v>Good</v>
      </c>
      <c r="AE313" s="11"/>
      <c r="AF313" t="s">
        <v>218</v>
      </c>
      <c r="AG313" s="17" t="s">
        <v>43</v>
      </c>
      <c r="AH313" s="12">
        <v>1736.0</v>
      </c>
      <c r="AI313" s="12" t="s">
        <v>891</v>
      </c>
      <c r="AJ313" s="19" t="s">
        <v>892</v>
      </c>
      <c r="AK313" s="20" t="str">
        <f>HYPERLINK("https://docs.google.com/document/d/1pj9crTN-CZHYzkL4JhT9dLlzLTPl3Fqv8RKEmTo6R1g/edit?usp=drivesdk","Pamela Marcum - 5/31/2019 2:00 PM")</f>
        <v>Pamela Marcum - 5/31/2019 2:00 PM</v>
      </c>
      <c r="AL313" s="12" t="s">
        <v>893</v>
      </c>
    </row>
    <row r="314">
      <c r="A314" s="10">
        <f>IFERROR(__xludf.DUMMYFUNCTION("""COMPUTED_VALUE"""),43619.378599282405)</f>
        <v>43619.3786</v>
      </c>
      <c r="B314" s="11" t="str">
        <f>IFERROR(__xludf.DUMMYFUNCTION("""COMPUTED_VALUE"""),"Jimmy")</f>
        <v>Jimmy</v>
      </c>
      <c r="C314" t="str">
        <f>IFERROR(__xludf.DUMMYFUNCTION("""COMPUTED_VALUE"""),"james.tomazinis@floridadep.gov")</f>
        <v>james.tomazinis@floridadep.gov</v>
      </c>
      <c r="D314" t="str">
        <f>IFERROR(__xludf.DUMMYFUNCTION("""COMPUTED_VALUE"""),"Stewardship (Aquatic)")</f>
        <v>Stewardship (Aquatic)</v>
      </c>
      <c r="E314" t="str">
        <f>IFERROR(__xludf.DUMMYFUNCTION("""COMPUTED_VALUE"""),"Guana Dam")</f>
        <v>Guana Dam</v>
      </c>
      <c r="F314" s="13">
        <f>IFERROR(__xludf.DUMMYFUNCTION("""COMPUTED_VALUE"""),0.4270833333321207)</f>
        <v>0.4270833333</v>
      </c>
      <c r="G314" s="14">
        <f>IFERROR(__xludf.DUMMYFUNCTION("""COMPUTED_VALUE"""),43619.0)</f>
        <v>43619</v>
      </c>
      <c r="H314" t="str">
        <f>IFERROR(__xludf.DUMMYFUNCTION("""COMPUTED_VALUE"""),"Guana River WQ sites")</f>
        <v>Guana River WQ sites</v>
      </c>
      <c r="I314" s="15">
        <f>IFERROR(__xludf.DUMMYFUNCTION("""COMPUTED_VALUE"""),0.4791666666678793)</f>
        <v>0.4791666667</v>
      </c>
      <c r="J314" s="16"/>
      <c r="K314" t="str">
        <f>IFERROR(__xludf.DUMMYFUNCTION("""COMPUTED_VALUE"""),"Jon Boat FL0484NP DEP06819")</f>
        <v>Jon Boat FL0484NP DEP06819</v>
      </c>
      <c r="M314" t="str">
        <f>IFERROR(__xludf.DUMMYFUNCTION("""COMPUTED_VALUE"""),"Ford F150 2015 (White) - DEP21448")</f>
        <v>Ford F150 2015 (White) - DEP21448</v>
      </c>
      <c r="N314" t="str">
        <f>IFERROR(__xludf.DUMMYFUNCTION("""COMPUTED_VALUE"""),"Jimmy Tomazinis, (904) 547-0094")</f>
        <v>Jimmy Tomazinis, (904) 547-0094</v>
      </c>
      <c r="O314" t="str">
        <f>IFERROR(__xludf.DUMMYFUNCTION("""COMPUTED_VALUE"""),"Chris Kurtz")</f>
        <v>Chris Kurtz</v>
      </c>
      <c r="P314" t="str">
        <f>IFERROR(__xludf.DUMMYFUNCTION("""COMPUTED_VALUE"""),"Jimmy")</f>
        <v>Jimmy</v>
      </c>
      <c r="Q314" t="str">
        <f>IFERROR(__xludf.DUMMYFUNCTION("""COMPUTED_VALUE"""),"Good")</f>
        <v>Good</v>
      </c>
      <c r="R314" t="str">
        <f>IFERROR(__xludf.DUMMYFUNCTION("""COMPUTED_VALUE"""),"Good")</f>
        <v>Good</v>
      </c>
      <c r="S314" t="str">
        <f>IFERROR(__xludf.DUMMYFUNCTION("""COMPUTED_VALUE"""),"Good")</f>
        <v>Good</v>
      </c>
      <c r="T314" t="str">
        <f>IFERROR(__xludf.DUMMYFUNCTION("""COMPUTED_VALUE"""),"Good")</f>
        <v>Good</v>
      </c>
      <c r="U314" t="str">
        <f>IFERROR(__xludf.DUMMYFUNCTION("""COMPUTED_VALUE"""),"Good")</f>
        <v>Good</v>
      </c>
      <c r="V314" t="str">
        <f>IFERROR(__xludf.DUMMYFUNCTION("""COMPUTED_VALUE"""),"Good")</f>
        <v>Good</v>
      </c>
      <c r="W314" t="str">
        <f>IFERROR(__xludf.DUMMYFUNCTION("""COMPUTED_VALUE"""),"Good")</f>
        <v>Good</v>
      </c>
      <c r="X314" t="str">
        <f>IFERROR(__xludf.DUMMYFUNCTION("""COMPUTED_VALUE"""),"Good")</f>
        <v>Good</v>
      </c>
      <c r="Y314" t="str">
        <f>IFERROR(__xludf.DUMMYFUNCTION("""COMPUTED_VALUE"""),"Good")</f>
        <v>Good</v>
      </c>
      <c r="Z314" t="str">
        <f>IFERROR(__xludf.DUMMYFUNCTION("""COMPUTED_VALUE"""),"Good")</f>
        <v>Good</v>
      </c>
      <c r="AA314" t="str">
        <f>IFERROR(__xludf.DUMMYFUNCTION("""COMPUTED_VALUE"""),"Good")</f>
        <v>Good</v>
      </c>
      <c r="AB314" t="str">
        <f>IFERROR(__xludf.DUMMYFUNCTION("""COMPUTED_VALUE"""),"Good")</f>
        <v>Good</v>
      </c>
      <c r="AC314" t="str">
        <f>IFERROR(__xludf.DUMMYFUNCTION("""COMPUTED_VALUE"""),"Good")</f>
        <v>Good</v>
      </c>
      <c r="AE314" s="11"/>
      <c r="AF314" t="s">
        <v>32</v>
      </c>
      <c r="AG314" s="18"/>
      <c r="AI314" s="12" t="s">
        <v>894</v>
      </c>
      <c r="AJ314" s="19" t="s">
        <v>895</v>
      </c>
      <c r="AK314" s="20" t="str">
        <f>HYPERLINK("https://docs.google.com/document/d/14h26rC8fooKg2LUPrRqgDafgqZqTt7bXcBEoYTV6AwQ/edit?usp=drivesdk","Jimmy - 6/3/2019 10:15 AM")</f>
        <v>Jimmy - 6/3/2019 10:15 AM</v>
      </c>
      <c r="AL314" s="12" t="s">
        <v>896</v>
      </c>
    </row>
    <row r="315">
      <c r="A315" s="10">
        <f>IFERROR(__xludf.DUMMYFUNCTION("""COMPUTED_VALUE"""),43620.37469038194)</f>
        <v>43620.37469</v>
      </c>
      <c r="B315" s="11" t="str">
        <f>IFERROR(__xludf.DUMMYFUNCTION("""COMPUTED_VALUE"""),"Silas Tanner")</f>
        <v>Silas Tanner</v>
      </c>
      <c r="C315" t="str">
        <f>IFERROR(__xludf.DUMMYFUNCTION("""COMPUTED_VALUE"""),"silas.tanner@floridadep.gov")</f>
        <v>silas.tanner@floridadep.gov</v>
      </c>
      <c r="D315" t="str">
        <f>IFERROR(__xludf.DUMMYFUNCTION("""COMPUTED_VALUE"""),"Research/Nikki")</f>
        <v>Research/Nikki</v>
      </c>
      <c r="E315" t="str">
        <f>IFERROR(__xludf.DUMMYFUNCTION("""COMPUTED_VALUE"""),"Vilano Landing")</f>
        <v>Vilano Landing</v>
      </c>
      <c r="F315" s="13">
        <f>IFERROR(__xludf.DUMMYFUNCTION("""COMPUTED_VALUE"""),0.3958333333321207)</f>
        <v>0.3958333333</v>
      </c>
      <c r="G315" s="14">
        <f>IFERROR(__xludf.DUMMYFUNCTION("""COMPUTED_VALUE"""),43620.0)</f>
        <v>43620</v>
      </c>
      <c r="H315" t="str">
        <f>IFERROR(__xludf.DUMMYFUNCTION("""COMPUTED_VALUE"""),"ICW SWMP sites")</f>
        <v>ICW SWMP sites</v>
      </c>
      <c r="I315" s="15">
        <f>IFERROR(__xludf.DUMMYFUNCTION("""COMPUTED_VALUE"""),0.6041666666678793)</f>
        <v>0.6041666667</v>
      </c>
      <c r="J315" s="16">
        <f>IFERROR(__xludf.DUMMYFUNCTION("""COMPUTED_VALUE"""),43620.11458333333)</f>
        <v>43620.11458</v>
      </c>
      <c r="K315" t="str">
        <f>IFERROR(__xludf.DUMMYFUNCTION("""COMPUTED_VALUE"""),"23ft Skiff (Bertha) FL7972LJ DEP07613")</f>
        <v>23ft Skiff (Bertha) FL7972LJ DEP07613</v>
      </c>
      <c r="M315" t="str">
        <f>IFERROR(__xludf.DUMMYFUNCTION("""COMPUTED_VALUE"""),"Ford F150 2015 (White) - DEP21448")</f>
        <v>Ford F150 2015 (White) - DEP21448</v>
      </c>
      <c r="N315" t="str">
        <f>IFERROR(__xludf.DUMMYFUNCTION("""COMPUTED_VALUE"""),"Silas Tanner, (904) 483-8423")</f>
        <v>Silas Tanner, (904) 483-8423</v>
      </c>
      <c r="O315" t="str">
        <f>IFERROR(__xludf.DUMMYFUNCTION("""COMPUTED_VALUE"""),"Molly Dent, Chris Kirk, Alie Knolles")</f>
        <v>Molly Dent, Chris Kirk, Alie Knolles</v>
      </c>
      <c r="P315" t="str">
        <f>IFERROR(__xludf.DUMMYFUNCTION("""COMPUTED_VALUE"""),"S. Tanner")</f>
        <v>S. Tanner</v>
      </c>
      <c r="Q315" t="str">
        <f>IFERROR(__xludf.DUMMYFUNCTION("""COMPUTED_VALUE"""),"Good")</f>
        <v>Good</v>
      </c>
      <c r="R315" t="str">
        <f>IFERROR(__xludf.DUMMYFUNCTION("""COMPUTED_VALUE"""),"Good")</f>
        <v>Good</v>
      </c>
      <c r="S315" t="str">
        <f>IFERROR(__xludf.DUMMYFUNCTION("""COMPUTED_VALUE"""),"Good")</f>
        <v>Good</v>
      </c>
      <c r="T315" t="str">
        <f>IFERROR(__xludf.DUMMYFUNCTION("""COMPUTED_VALUE"""),"Good")</f>
        <v>Good</v>
      </c>
      <c r="U315" t="str">
        <f>IFERROR(__xludf.DUMMYFUNCTION("""COMPUTED_VALUE"""),"Good")</f>
        <v>Good</v>
      </c>
      <c r="V315" t="str">
        <f>IFERROR(__xludf.DUMMYFUNCTION("""COMPUTED_VALUE"""),"Good")</f>
        <v>Good</v>
      </c>
      <c r="W315" t="str">
        <f>IFERROR(__xludf.DUMMYFUNCTION("""COMPUTED_VALUE"""),"Good")</f>
        <v>Good</v>
      </c>
      <c r="X315" t="str">
        <f>IFERROR(__xludf.DUMMYFUNCTION("""COMPUTED_VALUE"""),"Good")</f>
        <v>Good</v>
      </c>
      <c r="Y315" t="str">
        <f>IFERROR(__xludf.DUMMYFUNCTION("""COMPUTED_VALUE"""),"Good")</f>
        <v>Good</v>
      </c>
      <c r="Z315" t="str">
        <f>IFERROR(__xludf.DUMMYFUNCTION("""COMPUTED_VALUE"""),"Good")</f>
        <v>Good</v>
      </c>
      <c r="AA315" t="str">
        <f>IFERROR(__xludf.DUMMYFUNCTION("""COMPUTED_VALUE"""),"Good")</f>
        <v>Good</v>
      </c>
      <c r="AB315" t="str">
        <f>IFERROR(__xludf.DUMMYFUNCTION("""COMPUTED_VALUE"""),"Good")</f>
        <v>Good</v>
      </c>
      <c r="AC315" t="str">
        <f>IFERROR(__xludf.DUMMYFUNCTION("""COMPUTED_VALUE"""),"Good")</f>
        <v>Good</v>
      </c>
      <c r="AE315" s="11"/>
      <c r="AF315" t="s">
        <v>218</v>
      </c>
      <c r="AG315" s="17" t="s">
        <v>60</v>
      </c>
      <c r="AH315" s="12">
        <v>1425.0</v>
      </c>
      <c r="AI315" s="12" t="s">
        <v>897</v>
      </c>
      <c r="AJ315" s="19" t="s">
        <v>898</v>
      </c>
      <c r="AK315" s="20" t="str">
        <f>HYPERLINK("https://docs.google.com/document/d/1vYPfTu_pYzTS1kX81IUb2Yn5ePGYoFRClmcO458xK2w/edit?usp=drivesdk","Silas Tanner - 6/4/2019 9:30 AM")</f>
        <v>Silas Tanner - 6/4/2019 9:30 AM</v>
      </c>
      <c r="AL315" s="12" t="s">
        <v>899</v>
      </c>
    </row>
    <row r="316">
      <c r="A316" s="10">
        <f>IFERROR(__xludf.DUMMYFUNCTION("""COMPUTED_VALUE"""),43621.60393518519)</f>
        <v>43621.60394</v>
      </c>
      <c r="B316" s="11" t="str">
        <f>IFERROR(__xludf.DUMMYFUNCTION("""COMPUTED_VALUE"""),"Pam Marcum")</f>
        <v>Pam Marcum</v>
      </c>
      <c r="C316" t="str">
        <f>IFERROR(__xludf.DUMMYFUNCTION("""COMPUTED_VALUE"""),"Pamela.Marcum@Dep.state.fl.us")</f>
        <v>Pamela.Marcum@Dep.state.fl.us</v>
      </c>
      <c r="D316" t="str">
        <f>IFERROR(__xludf.DUMMYFUNCTION("""COMPUTED_VALUE"""),"Research/Nikki")</f>
        <v>Research/Nikki</v>
      </c>
      <c r="E316" t="str">
        <f>IFERROR(__xludf.DUMMYFUNCTION("""COMPUTED_VALUE"""),"Aunt Kate's")</f>
        <v>Aunt Kate's</v>
      </c>
      <c r="F316" s="13">
        <f>IFERROR(__xludf.DUMMYFUNCTION("""COMPUTED_VALUE"""),0.625)</f>
        <v>0.625</v>
      </c>
      <c r="G316" s="14">
        <f>IFERROR(__xludf.DUMMYFUNCTION("""COMPUTED_VALUE"""),43621.0)</f>
        <v>43621</v>
      </c>
      <c r="H316" t="str">
        <f>IFERROR(__xludf.DUMMYFUNCTION("""COMPUTED_VALUE"""),"Guana River and Pine Island")</f>
        <v>Guana River and Pine Island</v>
      </c>
      <c r="I316" s="15">
        <f>IFERROR(__xludf.DUMMYFUNCTION("""COMPUTED_VALUE"""),0.7916666666678793)</f>
        <v>0.7916666667</v>
      </c>
      <c r="J316" s="16">
        <f>IFERROR(__xludf.DUMMYFUNCTION("""COMPUTED_VALUE"""),43621.8125)</f>
        <v>43621.8125</v>
      </c>
      <c r="K316" t="str">
        <f>IFERROR(__xludf.DUMMYFUNCTION("""COMPUTED_VALUE"""),"20ft Sea Ark FL5351SJ UNF 2015")</f>
        <v>20ft Sea Ark FL5351SJ UNF 2015</v>
      </c>
      <c r="M316" t="str">
        <f>IFERROR(__xludf.DUMMYFUNCTION("""COMPUTED_VALUE"""),"Ford F150 2008 - DEP18041 (SWMP Thing)")</f>
        <v>Ford F150 2008 - DEP18041 (SWMP Thing)</v>
      </c>
      <c r="N316" t="str">
        <f>IFERROR(__xludf.DUMMYFUNCTION("""COMPUTED_VALUE"""),"Pam Marcum, (480) 332-5414")</f>
        <v>Pam Marcum, (480) 332-5414</v>
      </c>
      <c r="O316" t="str">
        <f>IFERROR(__xludf.DUMMYFUNCTION("""COMPUTED_VALUE"""),"Adrienne Breek-Pilz, Nicole Peckham, Allison Noble")</f>
        <v>Adrienne Breek-Pilz, Nicole Peckham, Allison Noble</v>
      </c>
      <c r="P316" t="str">
        <f>IFERROR(__xludf.DUMMYFUNCTION("""COMPUTED_VALUE"""),"Pam")</f>
        <v>Pam</v>
      </c>
      <c r="Q316" t="str">
        <f>IFERROR(__xludf.DUMMYFUNCTION("""COMPUTED_VALUE"""),"Good")</f>
        <v>Good</v>
      </c>
      <c r="R316" t="str">
        <f>IFERROR(__xludf.DUMMYFUNCTION("""COMPUTED_VALUE"""),"Good")</f>
        <v>Good</v>
      </c>
      <c r="S316" t="str">
        <f>IFERROR(__xludf.DUMMYFUNCTION("""COMPUTED_VALUE"""),"Good")</f>
        <v>Good</v>
      </c>
      <c r="T316" t="str">
        <f>IFERROR(__xludf.DUMMYFUNCTION("""COMPUTED_VALUE"""),"Good")</f>
        <v>Good</v>
      </c>
      <c r="U316" t="str">
        <f>IFERROR(__xludf.DUMMYFUNCTION("""COMPUTED_VALUE"""),"Good")</f>
        <v>Good</v>
      </c>
      <c r="V316" t="str">
        <f>IFERROR(__xludf.DUMMYFUNCTION("""COMPUTED_VALUE"""),"Good")</f>
        <v>Good</v>
      </c>
      <c r="W316" t="str">
        <f>IFERROR(__xludf.DUMMYFUNCTION("""COMPUTED_VALUE"""),"Good")</f>
        <v>Good</v>
      </c>
      <c r="X316" t="str">
        <f>IFERROR(__xludf.DUMMYFUNCTION("""COMPUTED_VALUE"""),"Good")</f>
        <v>Good</v>
      </c>
      <c r="Y316" t="str">
        <f>IFERROR(__xludf.DUMMYFUNCTION("""COMPUTED_VALUE"""),"Good")</f>
        <v>Good</v>
      </c>
      <c r="Z316" t="str">
        <f>IFERROR(__xludf.DUMMYFUNCTION("""COMPUTED_VALUE"""),"Good")</f>
        <v>Good</v>
      </c>
      <c r="AA316" t="str">
        <f>IFERROR(__xludf.DUMMYFUNCTION("""COMPUTED_VALUE"""),"Good")</f>
        <v>Good</v>
      </c>
      <c r="AB316" t="str">
        <f>IFERROR(__xludf.DUMMYFUNCTION("""COMPUTED_VALUE"""),"Good")</f>
        <v>Good</v>
      </c>
      <c r="AC316" t="str">
        <f>IFERROR(__xludf.DUMMYFUNCTION("""COMPUTED_VALUE"""),"Good")</f>
        <v>Good</v>
      </c>
      <c r="AE316" s="11"/>
      <c r="AF316" t="s">
        <v>218</v>
      </c>
      <c r="AG316" s="17" t="s">
        <v>43</v>
      </c>
      <c r="AH316" s="12">
        <v>1933.0</v>
      </c>
      <c r="AI316" s="12" t="s">
        <v>900</v>
      </c>
      <c r="AJ316" s="19" t="s">
        <v>901</v>
      </c>
      <c r="AK316" s="20" t="str">
        <f>HYPERLINK("https://docs.google.com/document/d/1qA0BXQylOFUw2Hvi7IhmXc7q1Hw-adob7CuuwLH6Z1g/edit?usp=drivesdk","Pam Marcum - 6/5/2019 3:00 PM")</f>
        <v>Pam Marcum - 6/5/2019 3:00 PM</v>
      </c>
      <c r="AL316" s="12" t="s">
        <v>902</v>
      </c>
    </row>
    <row r="317">
      <c r="A317" s="10">
        <f>IFERROR(__xludf.DUMMYFUNCTION("""COMPUTED_VALUE"""),43626.27949103009)</f>
        <v>43626.27949</v>
      </c>
      <c r="B317" s="11" t="str">
        <f>IFERROR(__xludf.DUMMYFUNCTION("""COMPUTED_VALUE"""),"Pam Marcum")</f>
        <v>Pam Marcum</v>
      </c>
      <c r="C317" t="str">
        <f>IFERROR(__xludf.DUMMYFUNCTION("""COMPUTED_VALUE"""),"Pamela.Marcum@dep.state.fl.us")</f>
        <v>Pamela.Marcum@dep.state.fl.us</v>
      </c>
      <c r="D317" t="str">
        <f>IFERROR(__xludf.DUMMYFUNCTION("""COMPUTED_VALUE"""),"Research/Nikki")</f>
        <v>Research/Nikki</v>
      </c>
      <c r="E317" t="str">
        <f>IFERROR(__xludf.DUMMYFUNCTION("""COMPUTED_VALUE"""),"Aunt Kate's")</f>
        <v>Aunt Kate's</v>
      </c>
      <c r="F317" s="13">
        <f>IFERROR(__xludf.DUMMYFUNCTION("""COMPUTED_VALUE"""),0.2916666666678793)</f>
        <v>0.2916666667</v>
      </c>
      <c r="G317" s="14">
        <f>IFERROR(__xludf.DUMMYFUNCTION("""COMPUTED_VALUE"""),43626.0)</f>
        <v>43626</v>
      </c>
      <c r="H317" t="str">
        <f>IFERROR(__xludf.DUMMYFUNCTION("""COMPUTED_VALUE"""),"Pine Island")</f>
        <v>Pine Island</v>
      </c>
      <c r="I317" s="15">
        <f>IFERROR(__xludf.DUMMYFUNCTION("""COMPUTED_VALUE"""),0.5833333333321207)</f>
        <v>0.5833333333</v>
      </c>
      <c r="J317" s="16">
        <f>IFERROR(__xludf.DUMMYFUNCTION("""COMPUTED_VALUE"""),43626.60416666667)</f>
        <v>43626.60417</v>
      </c>
      <c r="K317" t="str">
        <f>IFERROR(__xludf.DUMMYFUNCTION("""COMPUTED_VALUE"""),"F 20ft Sea Ark (Easy 200) FL8534PY DEP21451")</f>
        <v>F 20ft Sea Ark (Easy 200) FL8534PY DEP21451</v>
      </c>
      <c r="M317" t="str">
        <f>IFERROR(__xludf.DUMMYFUNCTION("""COMPUTED_VALUE"""),"Ford F250 2017 (Moby Dix) - DEP0021578")</f>
        <v>Ford F250 2017 (Moby Dix) - DEP0021578</v>
      </c>
      <c r="N317" t="str">
        <f>IFERROR(__xludf.DUMMYFUNCTION("""COMPUTED_VALUE"""),"Pam Marcum, (480) 332-5414, Mike Dickson")</f>
        <v>Pam Marcum, (480) 332-5414, Mike Dickson</v>
      </c>
      <c r="O317" t="str">
        <f>IFERROR(__xludf.DUMMYFUNCTION("""COMPUTED_VALUE"""),"Christine Angelini, Ray Grizzle, Patrick Norby, Molly Dent")</f>
        <v>Christine Angelini, Ray Grizzle, Patrick Norby, Molly Dent</v>
      </c>
      <c r="P317" t="str">
        <f>IFERROR(__xludf.DUMMYFUNCTION("""COMPUTED_VALUE"""),"Pam")</f>
        <v>Pam</v>
      </c>
      <c r="Q317" t="str">
        <f>IFERROR(__xludf.DUMMYFUNCTION("""COMPUTED_VALUE"""),"Good")</f>
        <v>Good</v>
      </c>
      <c r="R317" t="str">
        <f>IFERROR(__xludf.DUMMYFUNCTION("""COMPUTED_VALUE"""),"Good")</f>
        <v>Good</v>
      </c>
      <c r="S317" t="str">
        <f>IFERROR(__xludf.DUMMYFUNCTION("""COMPUTED_VALUE"""),"Good")</f>
        <v>Good</v>
      </c>
      <c r="T317" t="str">
        <f>IFERROR(__xludf.DUMMYFUNCTION("""COMPUTED_VALUE"""),"Good")</f>
        <v>Good</v>
      </c>
      <c r="U317" t="str">
        <f>IFERROR(__xludf.DUMMYFUNCTION("""COMPUTED_VALUE"""),"Good")</f>
        <v>Good</v>
      </c>
      <c r="V317" t="str">
        <f>IFERROR(__xludf.DUMMYFUNCTION("""COMPUTED_VALUE"""),"Good")</f>
        <v>Good</v>
      </c>
      <c r="W317" t="str">
        <f>IFERROR(__xludf.DUMMYFUNCTION("""COMPUTED_VALUE"""),"Good")</f>
        <v>Good</v>
      </c>
      <c r="X317" t="str">
        <f>IFERROR(__xludf.DUMMYFUNCTION("""COMPUTED_VALUE"""),"Good")</f>
        <v>Good</v>
      </c>
      <c r="Y317" t="str">
        <f>IFERROR(__xludf.DUMMYFUNCTION("""COMPUTED_VALUE"""),"Good")</f>
        <v>Good</v>
      </c>
      <c r="Z317" t="str">
        <f>IFERROR(__xludf.DUMMYFUNCTION("""COMPUTED_VALUE"""),"Good")</f>
        <v>Good</v>
      </c>
      <c r="AA317" t="str">
        <f>IFERROR(__xludf.DUMMYFUNCTION("""COMPUTED_VALUE"""),"Good")</f>
        <v>Good</v>
      </c>
      <c r="AB317" t="str">
        <f>IFERROR(__xludf.DUMMYFUNCTION("""COMPUTED_VALUE"""),"Good")</f>
        <v>Good</v>
      </c>
      <c r="AC317" t="str">
        <f>IFERROR(__xludf.DUMMYFUNCTION("""COMPUTED_VALUE"""),"Good")</f>
        <v>Good</v>
      </c>
      <c r="AE317" s="11"/>
      <c r="AF317" t="s">
        <v>218</v>
      </c>
      <c r="AG317" s="17" t="s">
        <v>43</v>
      </c>
      <c r="AH317" s="12">
        <v>1408.0</v>
      </c>
      <c r="AI317" s="12" t="s">
        <v>903</v>
      </c>
      <c r="AJ317" s="19" t="s">
        <v>904</v>
      </c>
      <c r="AK317" s="20" t="str">
        <f>HYPERLINK("https://docs.google.com/document/d/15x4EVSZ10MXuaxM4ij4M29WzWjxQAM3oj70GOLrnxF0/edit?usp=drivesdk","Pam Marcum - 6/10/2019 7:00 AM")</f>
        <v>Pam Marcum - 6/10/2019 7:00 AM</v>
      </c>
      <c r="AL317" s="12" t="s">
        <v>905</v>
      </c>
    </row>
    <row r="318">
      <c r="A318" s="10">
        <f>IFERROR(__xludf.DUMMYFUNCTION("""COMPUTED_VALUE"""),43627.28334494213)</f>
        <v>43627.28334</v>
      </c>
      <c r="B318" s="11" t="str">
        <f>IFERROR(__xludf.DUMMYFUNCTION("""COMPUTED_VALUE"""),"Pamela Marcum")</f>
        <v>Pamela Marcum</v>
      </c>
      <c r="C318" t="str">
        <f>IFERROR(__xludf.DUMMYFUNCTION("""COMPUTED_VALUE"""),"Pamela.Marcum@dep.state.fl.us")</f>
        <v>Pamela.Marcum@dep.state.fl.us</v>
      </c>
      <c r="D318" t="str">
        <f>IFERROR(__xludf.DUMMYFUNCTION("""COMPUTED_VALUE"""),"Research/Nikki")</f>
        <v>Research/Nikki</v>
      </c>
      <c r="E318" t="str">
        <f>IFERROR(__xludf.DUMMYFUNCTION("""COMPUTED_VALUE"""),"Palm Valley")</f>
        <v>Palm Valley</v>
      </c>
      <c r="F318" s="13">
        <f>IFERROR(__xludf.DUMMYFUNCTION("""COMPUTED_VALUE"""),0.3229166666678793)</f>
        <v>0.3229166667</v>
      </c>
      <c r="G318" s="14">
        <f>IFERROR(__xludf.DUMMYFUNCTION("""COMPUTED_VALUE"""),43627.0)</f>
        <v>43627</v>
      </c>
      <c r="H318" t="str">
        <f>IFERROR(__xludf.DUMMYFUNCTION("""COMPUTED_VALUE"""),"Pine Island")</f>
        <v>Pine Island</v>
      </c>
      <c r="I318" s="15">
        <f>IFERROR(__xludf.DUMMYFUNCTION("""COMPUTED_VALUE"""),0.5833333333321207)</f>
        <v>0.5833333333</v>
      </c>
      <c r="J318" s="16">
        <f>IFERROR(__xludf.DUMMYFUNCTION("""COMPUTED_VALUE"""),43627.60416666667)</f>
        <v>43627.60417</v>
      </c>
      <c r="K318" t="str">
        <f>IFERROR(__xludf.DUMMYFUNCTION("""COMPUTED_VALUE"""),"F 20ft Sea Ark (Easy 200) FL8534PY DEP21451")</f>
        <v>F 20ft Sea Ark (Easy 200) FL8534PY DEP21451</v>
      </c>
      <c r="M318" t="str">
        <f>IFERROR(__xludf.DUMMYFUNCTION("""COMPUTED_VALUE"""),"Ford F250 2017 (Moby Dix) - DEP0021578")</f>
        <v>Ford F250 2017 (Moby Dix) - DEP0021578</v>
      </c>
      <c r="N318" t="str">
        <f>IFERROR(__xludf.DUMMYFUNCTION("""COMPUTED_VALUE"""),"Pam Marcum, (480) 332-5414, Mike Dickson")</f>
        <v>Pam Marcum, (480) 332-5414, Mike Dickson</v>
      </c>
      <c r="O318" t="str">
        <f>IFERROR(__xludf.DUMMYFUNCTION("""COMPUTED_VALUE"""),"Molly Dent, Pantrick Norby, Ray Grizzle")</f>
        <v>Molly Dent, Pantrick Norby, Ray Grizzle</v>
      </c>
      <c r="P318" t="str">
        <f>IFERROR(__xludf.DUMMYFUNCTION("""COMPUTED_VALUE"""),"Pam")</f>
        <v>Pam</v>
      </c>
      <c r="Q318" t="str">
        <f>IFERROR(__xludf.DUMMYFUNCTION("""COMPUTED_VALUE"""),"Good")</f>
        <v>Good</v>
      </c>
      <c r="R318" t="str">
        <f>IFERROR(__xludf.DUMMYFUNCTION("""COMPUTED_VALUE"""),"Good")</f>
        <v>Good</v>
      </c>
      <c r="S318" t="str">
        <f>IFERROR(__xludf.DUMMYFUNCTION("""COMPUTED_VALUE"""),"Good")</f>
        <v>Good</v>
      </c>
      <c r="T318" t="str">
        <f>IFERROR(__xludf.DUMMYFUNCTION("""COMPUTED_VALUE"""),"Good")</f>
        <v>Good</v>
      </c>
      <c r="U318" t="str">
        <f>IFERROR(__xludf.DUMMYFUNCTION("""COMPUTED_VALUE"""),"Good")</f>
        <v>Good</v>
      </c>
      <c r="V318" t="str">
        <f>IFERROR(__xludf.DUMMYFUNCTION("""COMPUTED_VALUE"""),"Good")</f>
        <v>Good</v>
      </c>
      <c r="W318" t="str">
        <f>IFERROR(__xludf.DUMMYFUNCTION("""COMPUTED_VALUE"""),"Good")</f>
        <v>Good</v>
      </c>
      <c r="X318" t="str">
        <f>IFERROR(__xludf.DUMMYFUNCTION("""COMPUTED_VALUE"""),"Good")</f>
        <v>Good</v>
      </c>
      <c r="Y318" t="str">
        <f>IFERROR(__xludf.DUMMYFUNCTION("""COMPUTED_VALUE"""),"Good")</f>
        <v>Good</v>
      </c>
      <c r="Z318" t="str">
        <f>IFERROR(__xludf.DUMMYFUNCTION("""COMPUTED_VALUE"""),"Good")</f>
        <v>Good</v>
      </c>
      <c r="AA318" t="str">
        <f>IFERROR(__xludf.DUMMYFUNCTION("""COMPUTED_VALUE"""),"Good")</f>
        <v>Good</v>
      </c>
      <c r="AB318" t="str">
        <f>IFERROR(__xludf.DUMMYFUNCTION("""COMPUTED_VALUE"""),"Good")</f>
        <v>Good</v>
      </c>
      <c r="AC318" t="str">
        <f>IFERROR(__xludf.DUMMYFUNCTION("""COMPUTED_VALUE"""),"Good")</f>
        <v>Good</v>
      </c>
      <c r="AE318" s="11"/>
      <c r="AF318" t="s">
        <v>218</v>
      </c>
      <c r="AG318" s="17" t="s">
        <v>18</v>
      </c>
      <c r="AH318" s="12">
        <v>1430.0</v>
      </c>
      <c r="AI318" s="12" t="s">
        <v>906</v>
      </c>
      <c r="AJ318" s="19" t="s">
        <v>907</v>
      </c>
      <c r="AK318" s="20" t="str">
        <f>HYPERLINK("https://docs.google.com/document/d/1EYWgKjtFQfT6Aj2PtcKOQtTPMo2fy52Im86yup5t7eA/edit?usp=drivesdk","Pamela Marcum - 6/11/2019 7:45 AM")</f>
        <v>Pamela Marcum - 6/11/2019 7:45 AM</v>
      </c>
      <c r="AL318" s="12" t="s">
        <v>908</v>
      </c>
    </row>
    <row r="319">
      <c r="A319" s="10">
        <f>IFERROR(__xludf.DUMMYFUNCTION("""COMPUTED_VALUE"""),43628.35302855324)</f>
        <v>43628.35303</v>
      </c>
      <c r="B319" s="11" t="str">
        <f>IFERROR(__xludf.DUMMYFUNCTION("""COMPUTED_VALUE"""),"Jimmy")</f>
        <v>Jimmy</v>
      </c>
      <c r="C319" t="str">
        <f>IFERROR(__xludf.DUMMYFUNCTION("""COMPUTED_VALUE"""),"james.tomazinis@floridadep.gov")</f>
        <v>james.tomazinis@floridadep.gov</v>
      </c>
      <c r="D319" t="str">
        <f>IFERROR(__xludf.DUMMYFUNCTION("""COMPUTED_VALUE"""),"Stewardship (Aquatic)")</f>
        <v>Stewardship (Aquatic)</v>
      </c>
      <c r="E319" t="str">
        <f>IFERROR(__xludf.DUMMYFUNCTION("""COMPUTED_VALUE"""),"Vilano")</f>
        <v>Vilano</v>
      </c>
      <c r="F319" s="13">
        <f>IFERROR(__xludf.DUMMYFUNCTION("""COMPUTED_VALUE"""),0.3854166666678793)</f>
        <v>0.3854166667</v>
      </c>
      <c r="G319" s="14">
        <f>IFERROR(__xludf.DUMMYFUNCTION("""COMPUTED_VALUE"""),43628.0)</f>
        <v>43628</v>
      </c>
      <c r="H319" t="str">
        <f>IFERROR(__xludf.DUMMYFUNCTION("""COMPUTED_VALUE"""),"Tolomato Nekton sites")</f>
        <v>Tolomato Nekton sites</v>
      </c>
      <c r="I319" s="15">
        <f>IFERROR(__xludf.DUMMYFUNCTION("""COMPUTED_VALUE"""),0.6666666666678793)</f>
        <v>0.6666666667</v>
      </c>
      <c r="J319" s="16"/>
      <c r="K319" t="str">
        <f>IFERROR(__xludf.DUMMYFUNCTION("""COMPUTED_VALUE"""),"23ft Skiff (Bertha) FL7972LJ DEP07613")</f>
        <v>23ft Skiff (Bertha) FL7972LJ DEP07613</v>
      </c>
      <c r="M319" t="str">
        <f>IFERROR(__xludf.DUMMYFUNCTION("""COMPUTED_VALUE"""),"Ford F150 2015 (White) - DEP21448")</f>
        <v>Ford F150 2015 (White) - DEP21448</v>
      </c>
      <c r="N319" t="str">
        <f>IFERROR(__xludf.DUMMYFUNCTION("""COMPUTED_VALUE"""),"Jimmy Tomazinis, (904) 547-0094")</f>
        <v>Jimmy Tomazinis, (904) 547-0094</v>
      </c>
      <c r="O319" t="str">
        <f>IFERROR(__xludf.DUMMYFUNCTION("""COMPUTED_VALUE"""),"Jeff Finnan, Mary and Henry Mullin, Becky and Flagler student")</f>
        <v>Jeff Finnan, Mary and Henry Mullin, Becky and Flagler student</v>
      </c>
      <c r="P319" t="str">
        <f>IFERROR(__xludf.DUMMYFUNCTION("""COMPUTED_VALUE"""),"Jimmy")</f>
        <v>Jimmy</v>
      </c>
      <c r="Q319" t="str">
        <f>IFERROR(__xludf.DUMMYFUNCTION("""COMPUTED_VALUE"""),"Good")</f>
        <v>Good</v>
      </c>
      <c r="R319" t="str">
        <f>IFERROR(__xludf.DUMMYFUNCTION("""COMPUTED_VALUE"""),"Good")</f>
        <v>Good</v>
      </c>
      <c r="S319" t="str">
        <f>IFERROR(__xludf.DUMMYFUNCTION("""COMPUTED_VALUE"""),"Good")</f>
        <v>Good</v>
      </c>
      <c r="T319" t="str">
        <f>IFERROR(__xludf.DUMMYFUNCTION("""COMPUTED_VALUE"""),"Good")</f>
        <v>Good</v>
      </c>
      <c r="U319" t="str">
        <f>IFERROR(__xludf.DUMMYFUNCTION("""COMPUTED_VALUE"""),"Good")</f>
        <v>Good</v>
      </c>
      <c r="V319" t="str">
        <f>IFERROR(__xludf.DUMMYFUNCTION("""COMPUTED_VALUE"""),"Good")</f>
        <v>Good</v>
      </c>
      <c r="W319" t="str">
        <f>IFERROR(__xludf.DUMMYFUNCTION("""COMPUTED_VALUE"""),"Good")</f>
        <v>Good</v>
      </c>
      <c r="X319" t="str">
        <f>IFERROR(__xludf.DUMMYFUNCTION("""COMPUTED_VALUE"""),"Good")</f>
        <v>Good</v>
      </c>
      <c r="Y319" t="str">
        <f>IFERROR(__xludf.DUMMYFUNCTION("""COMPUTED_VALUE"""),"Good")</f>
        <v>Good</v>
      </c>
      <c r="Z319" t="str">
        <f>IFERROR(__xludf.DUMMYFUNCTION("""COMPUTED_VALUE"""),"Good")</f>
        <v>Good</v>
      </c>
      <c r="AA319" t="str">
        <f>IFERROR(__xludf.DUMMYFUNCTION("""COMPUTED_VALUE"""),"Good")</f>
        <v>Good</v>
      </c>
      <c r="AB319" t="str">
        <f>IFERROR(__xludf.DUMMYFUNCTION("""COMPUTED_VALUE"""),"Good")</f>
        <v>Good</v>
      </c>
      <c r="AC319" t="str">
        <f>IFERROR(__xludf.DUMMYFUNCTION("""COMPUTED_VALUE"""),"Good")</f>
        <v>Good</v>
      </c>
      <c r="AE319" s="11"/>
      <c r="AF319" t="s">
        <v>32</v>
      </c>
      <c r="AG319" s="17" t="s">
        <v>18</v>
      </c>
      <c r="AH319" s="12">
        <v>1600.0</v>
      </c>
      <c r="AI319" s="12" t="s">
        <v>909</v>
      </c>
      <c r="AJ319" s="19" t="s">
        <v>910</v>
      </c>
      <c r="AK319" s="20" t="str">
        <f>HYPERLINK("https://docs.google.com/document/d/1nBWzBiDSsyiR3ju6LhrlU1ZVjn_PV5JBs4--S8E4a3Q/edit?usp=drivesdk","Jimmy - 6/12/2019 9:15 AM")</f>
        <v>Jimmy - 6/12/2019 9:15 AM</v>
      </c>
      <c r="AL319" s="12" t="s">
        <v>911</v>
      </c>
    </row>
    <row r="320">
      <c r="A320" s="10">
        <f>IFERROR(__xludf.DUMMYFUNCTION("""COMPUTED_VALUE"""),43629.41591462962)</f>
        <v>43629.41591</v>
      </c>
      <c r="B320" s="11" t="str">
        <f>IFERROR(__xludf.DUMMYFUNCTION("""COMPUTED_VALUE"""),"Jimmy")</f>
        <v>Jimmy</v>
      </c>
      <c r="C320" t="str">
        <f>IFERROR(__xludf.DUMMYFUNCTION("""COMPUTED_VALUE"""),"james.tomazinis@floridadep.gov")</f>
        <v>james.tomazinis@floridadep.gov</v>
      </c>
      <c r="D320" t="str">
        <f>IFERROR(__xludf.DUMMYFUNCTION("""COMPUTED_VALUE"""),"Stewardship (Aquatic)")</f>
        <v>Stewardship (Aquatic)</v>
      </c>
      <c r="E320" t="str">
        <f>IFERROR(__xludf.DUMMYFUNCTION("""COMPUTED_VALUE"""),"Vilano")</f>
        <v>Vilano</v>
      </c>
      <c r="F320" s="13">
        <f>IFERROR(__xludf.DUMMYFUNCTION("""COMPUTED_VALUE"""),0.4375)</f>
        <v>0.4375</v>
      </c>
      <c r="G320" s="14">
        <f>IFERROR(__xludf.DUMMYFUNCTION("""COMPUTED_VALUE"""),43629.0)</f>
        <v>43629</v>
      </c>
      <c r="H320" t="str">
        <f>IFERROR(__xludf.DUMMYFUNCTION("""COMPUTED_VALUE"""),"Tolomato Nekton sites")</f>
        <v>Tolomato Nekton sites</v>
      </c>
      <c r="I320" s="15">
        <f>IFERROR(__xludf.DUMMYFUNCTION("""COMPUTED_VALUE"""),0.6875)</f>
        <v>0.6875</v>
      </c>
      <c r="J320" s="16"/>
      <c r="K320" t="str">
        <f>IFERROR(__xludf.DUMMYFUNCTION("""COMPUTED_VALUE"""),"23ft Skiff (Bertha) FL7972LJ DEP07613")</f>
        <v>23ft Skiff (Bertha) FL7972LJ DEP07613</v>
      </c>
      <c r="M320" t="str">
        <f>IFERROR(__xludf.DUMMYFUNCTION("""COMPUTED_VALUE"""),"Ford F150 2015 (White) - DEP21448")</f>
        <v>Ford F150 2015 (White) - DEP21448</v>
      </c>
      <c r="N320" t="str">
        <f>IFERROR(__xludf.DUMMYFUNCTION("""COMPUTED_VALUE"""),"Jimmy Tomazinis, (904) 547-0094")</f>
        <v>Jimmy Tomazinis, (904) 547-0094</v>
      </c>
      <c r="O320" t="str">
        <f>IFERROR(__xludf.DUMMYFUNCTION("""COMPUTED_VALUE"""),"Chris Kurtz, Trevor, Henry, Liv, Dickson")</f>
        <v>Chris Kurtz, Trevor, Henry, Liv, Dickson</v>
      </c>
      <c r="P320" t="str">
        <f>IFERROR(__xludf.DUMMYFUNCTION("""COMPUTED_VALUE"""),"Jimmy")</f>
        <v>Jimmy</v>
      </c>
      <c r="Q320" t="str">
        <f>IFERROR(__xludf.DUMMYFUNCTION("""COMPUTED_VALUE"""),"Good")</f>
        <v>Good</v>
      </c>
      <c r="R320" t="str">
        <f>IFERROR(__xludf.DUMMYFUNCTION("""COMPUTED_VALUE"""),"Good")</f>
        <v>Good</v>
      </c>
      <c r="S320" t="str">
        <f>IFERROR(__xludf.DUMMYFUNCTION("""COMPUTED_VALUE"""),"Good")</f>
        <v>Good</v>
      </c>
      <c r="U320" t="str">
        <f>IFERROR(__xludf.DUMMYFUNCTION("""COMPUTED_VALUE"""),"Good")</f>
        <v>Good</v>
      </c>
      <c r="V320" t="str">
        <f>IFERROR(__xludf.DUMMYFUNCTION("""COMPUTED_VALUE"""),"Good")</f>
        <v>Good</v>
      </c>
      <c r="W320" t="str">
        <f>IFERROR(__xludf.DUMMYFUNCTION("""COMPUTED_VALUE"""),"Good")</f>
        <v>Good</v>
      </c>
      <c r="X320" t="str">
        <f>IFERROR(__xludf.DUMMYFUNCTION("""COMPUTED_VALUE"""),"Good")</f>
        <v>Good</v>
      </c>
      <c r="Y320" t="str">
        <f>IFERROR(__xludf.DUMMYFUNCTION("""COMPUTED_VALUE"""),"Good")</f>
        <v>Good</v>
      </c>
      <c r="Z320" t="str">
        <f>IFERROR(__xludf.DUMMYFUNCTION("""COMPUTED_VALUE"""),"Good")</f>
        <v>Good</v>
      </c>
      <c r="AA320" t="str">
        <f>IFERROR(__xludf.DUMMYFUNCTION("""COMPUTED_VALUE"""),"Good")</f>
        <v>Good</v>
      </c>
      <c r="AB320" t="str">
        <f>IFERROR(__xludf.DUMMYFUNCTION("""COMPUTED_VALUE"""),"Good")</f>
        <v>Good</v>
      </c>
      <c r="AC320" t="str">
        <f>IFERROR(__xludf.DUMMYFUNCTION("""COMPUTED_VALUE"""),"Good")</f>
        <v>Good</v>
      </c>
      <c r="AE320" s="11"/>
      <c r="AF320" t="s">
        <v>32</v>
      </c>
      <c r="AG320" s="17" t="s">
        <v>22</v>
      </c>
      <c r="AI320" s="12" t="s">
        <v>912</v>
      </c>
      <c r="AJ320" s="19" t="s">
        <v>913</v>
      </c>
      <c r="AK320" s="20" t="str">
        <f>HYPERLINK("https://docs.google.com/document/d/164X_Qm-57KZWpDwSlzujouQd4VaB5hOiv035HofNRW4/edit?usp=drivesdk","Jimmy - 6/13/2019 10:30 AM")</f>
        <v>Jimmy - 6/13/2019 10:30 AM</v>
      </c>
      <c r="AL320" s="12" t="s">
        <v>914</v>
      </c>
    </row>
    <row r="321">
      <c r="A321" s="10">
        <f>IFERROR(__xludf.DUMMYFUNCTION("""COMPUTED_VALUE"""),43630.358919791666)</f>
        <v>43630.35892</v>
      </c>
      <c r="B321" s="11" t="str">
        <f>IFERROR(__xludf.DUMMYFUNCTION("""COMPUTED_VALUE"""),"Jimmy")</f>
        <v>Jimmy</v>
      </c>
      <c r="C321" t="str">
        <f>IFERROR(__xludf.DUMMYFUNCTION("""COMPUTED_VALUE"""),"james.tomazinis@floridadep.gov")</f>
        <v>james.tomazinis@floridadep.gov</v>
      </c>
      <c r="D321" t="str">
        <f>IFERROR(__xludf.DUMMYFUNCTION("""COMPUTED_VALUE"""),"Stewardship (Aquatic)")</f>
        <v>Stewardship (Aquatic)</v>
      </c>
      <c r="E321" t="str">
        <f>IFERROR(__xludf.DUMMYFUNCTION("""COMPUTED_VALUE"""),"Vilano")</f>
        <v>Vilano</v>
      </c>
      <c r="F321" s="13">
        <f>IFERROR(__xludf.DUMMYFUNCTION("""COMPUTED_VALUE"""),0.3854166666678793)</f>
        <v>0.3854166667</v>
      </c>
      <c r="G321" s="14">
        <f>IFERROR(__xludf.DUMMYFUNCTION("""COMPUTED_VALUE"""),43630.0)</f>
        <v>43630</v>
      </c>
      <c r="H321" t="str">
        <f>IFERROR(__xludf.DUMMYFUNCTION("""COMPUTED_VALUE"""),"Matanzas Nekton sites")</f>
        <v>Matanzas Nekton sites</v>
      </c>
      <c r="I321" s="15">
        <f>IFERROR(__xludf.DUMMYFUNCTION("""COMPUTED_VALUE"""),0.6875)</f>
        <v>0.6875</v>
      </c>
      <c r="J321" s="16"/>
      <c r="K321" t="str">
        <f>IFERROR(__xludf.DUMMYFUNCTION("""COMPUTED_VALUE"""),"23ft Skiff (Bertha) FL7972LJ DEP07613")</f>
        <v>23ft Skiff (Bertha) FL7972LJ DEP07613</v>
      </c>
      <c r="M321" t="str">
        <f>IFERROR(__xludf.DUMMYFUNCTION("""COMPUTED_VALUE"""),"Ford F150 2015 (White) - DEP21448")</f>
        <v>Ford F150 2015 (White) - DEP21448</v>
      </c>
      <c r="N321" t="str">
        <f>IFERROR(__xludf.DUMMYFUNCTION("""COMPUTED_VALUE"""),"Jimmy Tomazinis, (904) 547-0094")</f>
        <v>Jimmy Tomazinis, (904) 547-0094</v>
      </c>
      <c r="O321" t="str">
        <f>IFERROR(__xludf.DUMMYFUNCTION("""COMPUTED_VALUE"""),"Jeff Finnan, Chris Kurtz, Trevor, Andy, Steve")</f>
        <v>Jeff Finnan, Chris Kurtz, Trevor, Andy, Steve</v>
      </c>
      <c r="P321" t="str">
        <f>IFERROR(__xludf.DUMMYFUNCTION("""COMPUTED_VALUE"""),"Jimmy")</f>
        <v>Jimmy</v>
      </c>
      <c r="Q321" t="str">
        <f>IFERROR(__xludf.DUMMYFUNCTION("""COMPUTED_VALUE"""),"Good")</f>
        <v>Good</v>
      </c>
      <c r="R321" t="str">
        <f>IFERROR(__xludf.DUMMYFUNCTION("""COMPUTED_VALUE"""),"Good")</f>
        <v>Good</v>
      </c>
      <c r="S321" t="str">
        <f>IFERROR(__xludf.DUMMYFUNCTION("""COMPUTED_VALUE"""),"Good")</f>
        <v>Good</v>
      </c>
      <c r="T321" t="str">
        <f>IFERROR(__xludf.DUMMYFUNCTION("""COMPUTED_VALUE"""),"Good")</f>
        <v>Good</v>
      </c>
      <c r="U321" t="str">
        <f>IFERROR(__xludf.DUMMYFUNCTION("""COMPUTED_VALUE"""),"Good")</f>
        <v>Good</v>
      </c>
      <c r="V321" t="str">
        <f>IFERROR(__xludf.DUMMYFUNCTION("""COMPUTED_VALUE"""),"Good")</f>
        <v>Good</v>
      </c>
      <c r="W321" t="str">
        <f>IFERROR(__xludf.DUMMYFUNCTION("""COMPUTED_VALUE"""),"Good")</f>
        <v>Good</v>
      </c>
      <c r="X321" t="str">
        <f>IFERROR(__xludf.DUMMYFUNCTION("""COMPUTED_VALUE"""),"Good")</f>
        <v>Good</v>
      </c>
      <c r="Y321" t="str">
        <f>IFERROR(__xludf.DUMMYFUNCTION("""COMPUTED_VALUE"""),"Good")</f>
        <v>Good</v>
      </c>
      <c r="Z321" t="str">
        <f>IFERROR(__xludf.DUMMYFUNCTION("""COMPUTED_VALUE"""),"Good")</f>
        <v>Good</v>
      </c>
      <c r="AA321" t="str">
        <f>IFERROR(__xludf.DUMMYFUNCTION("""COMPUTED_VALUE"""),"Good")</f>
        <v>Good</v>
      </c>
      <c r="AB321" t="str">
        <f>IFERROR(__xludf.DUMMYFUNCTION("""COMPUTED_VALUE"""),"Good")</f>
        <v>Good</v>
      </c>
      <c r="AC321" t="str">
        <f>IFERROR(__xludf.DUMMYFUNCTION("""COMPUTED_VALUE"""),"Good")</f>
        <v>Good</v>
      </c>
      <c r="AE321" s="11"/>
      <c r="AF321" t="s">
        <v>32</v>
      </c>
      <c r="AG321" s="17" t="s">
        <v>22</v>
      </c>
      <c r="AI321" s="12" t="s">
        <v>915</v>
      </c>
      <c r="AJ321" s="19" t="s">
        <v>916</v>
      </c>
      <c r="AK321" s="20" t="str">
        <f>HYPERLINK("https://docs.google.com/document/d/1vh9SYwexF7o-MJsnwZb4b3TupfyrNa39KjhqGok5m9c/edit?usp=drivesdk","Jimmy - 6/14/2019 9:15 AM")</f>
        <v>Jimmy - 6/14/2019 9:15 AM</v>
      </c>
      <c r="AL321" s="12" t="s">
        <v>917</v>
      </c>
    </row>
    <row r="322">
      <c r="A322" s="10">
        <f>IFERROR(__xludf.DUMMYFUNCTION("""COMPUTED_VALUE"""),43633.729534432874)</f>
        <v>43633.72953</v>
      </c>
      <c r="B322" s="11" t="str">
        <f>IFERROR(__xludf.DUMMYFUNCTION("""COMPUTED_VALUE"""),"Silas Tanner")</f>
        <v>Silas Tanner</v>
      </c>
      <c r="C322" t="str">
        <f>IFERROR(__xludf.DUMMYFUNCTION("""COMPUTED_VALUE"""),"silas.tanner@floridadep.gov")</f>
        <v>silas.tanner@floridadep.gov</v>
      </c>
      <c r="D322" t="str">
        <f>IFERROR(__xludf.DUMMYFUNCTION("""COMPUTED_VALUE"""),"Research/Nikki")</f>
        <v>Research/Nikki</v>
      </c>
      <c r="E322" t="str">
        <f>IFERROR(__xludf.DUMMYFUNCTION("""COMPUTED_VALUE"""),"Douglas Crane boat ramp")</f>
        <v>Douglas Crane boat ramp</v>
      </c>
      <c r="F322" s="13">
        <f>IFERROR(__xludf.DUMMYFUNCTION("""COMPUTED_VALUE"""),0.3541666666678793)</f>
        <v>0.3541666667</v>
      </c>
      <c r="G322" s="14">
        <f>IFERROR(__xludf.DUMMYFUNCTION("""COMPUTED_VALUE"""),43634.0)</f>
        <v>43634</v>
      </c>
      <c r="H322" t="str">
        <f>IFERROR(__xludf.DUMMYFUNCTION("""COMPUTED_VALUE"""),"ICW SWMP sites")</f>
        <v>ICW SWMP sites</v>
      </c>
      <c r="I322" s="15">
        <f>IFERROR(__xludf.DUMMYFUNCTION("""COMPUTED_VALUE"""),0.5833333333321207)</f>
        <v>0.5833333333</v>
      </c>
      <c r="J322" s="16">
        <f>IFERROR(__xludf.DUMMYFUNCTION("""COMPUTED_VALUE"""),43633.60416666667)</f>
        <v>43633.60417</v>
      </c>
      <c r="K322" t="str">
        <f>IFERROR(__xludf.DUMMYFUNCTION("""COMPUTED_VALUE"""),"23ft Skiff (Bertha) FL7972LJ DEP07613")</f>
        <v>23ft Skiff (Bertha) FL7972LJ DEP07613</v>
      </c>
      <c r="M322" t="str">
        <f>IFERROR(__xludf.DUMMYFUNCTION("""COMPUTED_VALUE"""),"Ford F250 2017 (Moby Dix) - DEP0021578")</f>
        <v>Ford F250 2017 (Moby Dix) - DEP0021578</v>
      </c>
      <c r="N322" t="str">
        <f>IFERROR(__xludf.DUMMYFUNCTION("""COMPUTED_VALUE"""),"Silas Tanner, (904) 483-8423")</f>
        <v>Silas Tanner, (904) 483-8423</v>
      </c>
      <c r="O322" t="str">
        <f>IFERROR(__xludf.DUMMYFUNCTION("""COMPUTED_VALUE"""),"Remo Mondazi, Molly Dent")</f>
        <v>Remo Mondazi, Molly Dent</v>
      </c>
      <c r="P322" t="str">
        <f>IFERROR(__xludf.DUMMYFUNCTION("""COMPUTED_VALUE"""),"Silas Tanner")</f>
        <v>Silas Tanner</v>
      </c>
      <c r="Q322" t="str">
        <f>IFERROR(__xludf.DUMMYFUNCTION("""COMPUTED_VALUE"""),"Good")</f>
        <v>Good</v>
      </c>
      <c r="R322" t="str">
        <f>IFERROR(__xludf.DUMMYFUNCTION("""COMPUTED_VALUE"""),"Good")</f>
        <v>Good</v>
      </c>
      <c r="S322" t="str">
        <f>IFERROR(__xludf.DUMMYFUNCTION("""COMPUTED_VALUE"""),"Good")</f>
        <v>Good</v>
      </c>
      <c r="T322" t="str">
        <f>IFERROR(__xludf.DUMMYFUNCTION("""COMPUTED_VALUE"""),"Good")</f>
        <v>Good</v>
      </c>
      <c r="U322" t="str">
        <f>IFERROR(__xludf.DUMMYFUNCTION("""COMPUTED_VALUE"""),"Good")</f>
        <v>Good</v>
      </c>
      <c r="V322" t="str">
        <f>IFERROR(__xludf.DUMMYFUNCTION("""COMPUTED_VALUE"""),"Good")</f>
        <v>Good</v>
      </c>
      <c r="W322" t="str">
        <f>IFERROR(__xludf.DUMMYFUNCTION("""COMPUTED_VALUE"""),"Good")</f>
        <v>Good</v>
      </c>
      <c r="X322" t="str">
        <f>IFERROR(__xludf.DUMMYFUNCTION("""COMPUTED_VALUE"""),"Good")</f>
        <v>Good</v>
      </c>
      <c r="Y322" t="str">
        <f>IFERROR(__xludf.DUMMYFUNCTION("""COMPUTED_VALUE"""),"Good")</f>
        <v>Good</v>
      </c>
      <c r="Z322" t="str">
        <f>IFERROR(__xludf.DUMMYFUNCTION("""COMPUTED_VALUE"""),"Good")</f>
        <v>Good</v>
      </c>
      <c r="AA322" t="str">
        <f>IFERROR(__xludf.DUMMYFUNCTION("""COMPUTED_VALUE"""),"Good")</f>
        <v>Good</v>
      </c>
      <c r="AB322" t="str">
        <f>IFERROR(__xludf.DUMMYFUNCTION("""COMPUTED_VALUE"""),"Good")</f>
        <v>Good</v>
      </c>
      <c r="AC322" t="str">
        <f>IFERROR(__xludf.DUMMYFUNCTION("""COMPUTED_VALUE"""),"Good")</f>
        <v>Good</v>
      </c>
      <c r="AE322" s="11"/>
      <c r="AF322" t="s">
        <v>218</v>
      </c>
      <c r="AG322" s="17" t="s">
        <v>115</v>
      </c>
      <c r="AH322" s="12">
        <v>1220.0</v>
      </c>
      <c r="AI322" s="12" t="s">
        <v>918</v>
      </c>
      <c r="AJ322" s="19" t="s">
        <v>919</v>
      </c>
      <c r="AK322" s="20" t="str">
        <f>HYPERLINK("https://docs.google.com/document/d/1qfUcmR9cqqC24YrVwYMSNWmDE13w6gaXtQiKLuEI16A/edit?usp=drivesdk","Silas Tanner - 6/18/2019 8:30 AM")</f>
        <v>Silas Tanner - 6/18/2019 8:30 AM</v>
      </c>
      <c r="AL322" s="12" t="s">
        <v>920</v>
      </c>
    </row>
    <row r="323">
      <c r="A323" s="10">
        <f>IFERROR(__xludf.DUMMYFUNCTION("""COMPUTED_VALUE"""),43634.36699412038)</f>
        <v>43634.36699</v>
      </c>
      <c r="B323" s="11" t="str">
        <f>IFERROR(__xludf.DUMMYFUNCTION("""COMPUTED_VALUE"""),"Jimmy")</f>
        <v>Jimmy</v>
      </c>
      <c r="C323" t="str">
        <f>IFERROR(__xludf.DUMMYFUNCTION("""COMPUTED_VALUE"""),"james.tomazinis@floridadep.gov")</f>
        <v>james.tomazinis@floridadep.gov</v>
      </c>
      <c r="D323" t="str">
        <f>IFERROR(__xludf.DUMMYFUNCTION("""COMPUTED_VALUE"""),"Stewardship (Aquatic)")</f>
        <v>Stewardship (Aquatic)</v>
      </c>
      <c r="E323" t="str">
        <f>IFERROR(__xludf.DUMMYFUNCTION("""COMPUTED_VALUE"""),"Whitney")</f>
        <v>Whitney</v>
      </c>
      <c r="F323" s="13">
        <f>IFERROR(__xludf.DUMMYFUNCTION("""COMPUTED_VALUE"""),0.4166666666678793)</f>
        <v>0.4166666667</v>
      </c>
      <c r="G323" s="14">
        <f>IFERROR(__xludf.DUMMYFUNCTION("""COMPUTED_VALUE"""),43634.0)</f>
        <v>43634</v>
      </c>
      <c r="H323" t="str">
        <f>IFERROR(__xludf.DUMMYFUNCTION("""COMPUTED_VALUE"""),"Summerhaven")</f>
        <v>Summerhaven</v>
      </c>
      <c r="I323" s="15">
        <f>IFERROR(__xludf.DUMMYFUNCTION("""COMPUTED_VALUE"""),0.5625)</f>
        <v>0.5625</v>
      </c>
      <c r="J323" s="16"/>
      <c r="K323" t="str">
        <f>IFERROR(__xludf.DUMMYFUNCTION("""COMPUTED_VALUE"""),"Kayak(s), Canoe/Kayak Trailer DEP06086")</f>
        <v>Kayak(s), Canoe/Kayak Trailer DEP06086</v>
      </c>
      <c r="L323">
        <f>IFERROR(__xludf.DUMMYFUNCTION("""COMPUTED_VALUE"""),4.0)</f>
        <v>4</v>
      </c>
      <c r="M323" t="str">
        <f>IFERROR(__xludf.DUMMYFUNCTION("""COMPUTED_VALUE"""),"Ford F150 2015 (White) - DEP21448")</f>
        <v>Ford F150 2015 (White) - DEP21448</v>
      </c>
      <c r="N323" t="str">
        <f>IFERROR(__xludf.DUMMYFUNCTION("""COMPUTED_VALUE"""),"Jimmy Tomazinis, (904) 547-0094")</f>
        <v>Jimmy Tomazinis, (904) 547-0094</v>
      </c>
      <c r="O323" t="str">
        <f>IFERROR(__xludf.DUMMYFUNCTION("""COMPUTED_VALUE"""),"Pam Marcum, (480) 332-5414, Shannon Dunnigan, (803) 727-5734, Jessica Lee, Alee Knoell")</f>
        <v>Pam Marcum, (480) 332-5414, Shannon Dunnigan, (803) 727-5734, Jessica Lee, Alee Knoell</v>
      </c>
      <c r="P323" t="str">
        <f>IFERROR(__xludf.DUMMYFUNCTION("""COMPUTED_VALUE"""),"Jimmy")</f>
        <v>Jimmy</v>
      </c>
      <c r="Q323" t="str">
        <f>IFERROR(__xludf.DUMMYFUNCTION("""COMPUTED_VALUE"""),"Good")</f>
        <v>Good</v>
      </c>
      <c r="R323" t="str">
        <f>IFERROR(__xludf.DUMMYFUNCTION("""COMPUTED_VALUE"""),"Good")</f>
        <v>Good</v>
      </c>
      <c r="S323" t="str">
        <f>IFERROR(__xludf.DUMMYFUNCTION("""COMPUTED_VALUE"""),"Good")</f>
        <v>Good</v>
      </c>
      <c r="T323" t="str">
        <f>IFERROR(__xludf.DUMMYFUNCTION("""COMPUTED_VALUE"""),"Good")</f>
        <v>Good</v>
      </c>
      <c r="U323" t="str">
        <f>IFERROR(__xludf.DUMMYFUNCTION("""COMPUTED_VALUE"""),"Good")</f>
        <v>Good</v>
      </c>
      <c r="V323" t="str">
        <f>IFERROR(__xludf.DUMMYFUNCTION("""COMPUTED_VALUE"""),"Good")</f>
        <v>Good</v>
      </c>
      <c r="W323" t="str">
        <f>IFERROR(__xludf.DUMMYFUNCTION("""COMPUTED_VALUE"""),"Good")</f>
        <v>Good</v>
      </c>
      <c r="X323" t="str">
        <f>IFERROR(__xludf.DUMMYFUNCTION("""COMPUTED_VALUE"""),"Good")</f>
        <v>Good</v>
      </c>
      <c r="Y323" t="str">
        <f>IFERROR(__xludf.DUMMYFUNCTION("""COMPUTED_VALUE"""),"Good")</f>
        <v>Good</v>
      </c>
      <c r="Z323" t="str">
        <f>IFERROR(__xludf.DUMMYFUNCTION("""COMPUTED_VALUE"""),"Good")</f>
        <v>Good</v>
      </c>
      <c r="AA323" t="str">
        <f>IFERROR(__xludf.DUMMYFUNCTION("""COMPUTED_VALUE"""),"Good")</f>
        <v>Good</v>
      </c>
      <c r="AB323" t="str">
        <f>IFERROR(__xludf.DUMMYFUNCTION("""COMPUTED_VALUE"""),"Good")</f>
        <v>Good</v>
      </c>
      <c r="AC323" t="str">
        <f>IFERROR(__xludf.DUMMYFUNCTION("""COMPUTED_VALUE"""),"Good")</f>
        <v>Good</v>
      </c>
      <c r="AE323" s="11"/>
      <c r="AF323" t="s">
        <v>32</v>
      </c>
      <c r="AG323" s="17" t="s">
        <v>115</v>
      </c>
      <c r="AH323" s="12">
        <v>1230.0</v>
      </c>
      <c r="AI323" s="12" t="s">
        <v>921</v>
      </c>
      <c r="AJ323" s="19" t="s">
        <v>922</v>
      </c>
      <c r="AK323" s="20" t="str">
        <f>HYPERLINK("https://docs.google.com/document/d/1YLWiNhI8NozGXmYo5gZ2IVUl2kOr9Ek5uLEd8Mb9Y4s/edit?usp=drivesdk","Jimmy - 6/18/2019 10:00 AM")</f>
        <v>Jimmy - 6/18/2019 10:00 AM</v>
      </c>
      <c r="AL323" s="12" t="s">
        <v>923</v>
      </c>
    </row>
    <row r="324">
      <c r="A324" s="10">
        <f>IFERROR(__xludf.DUMMYFUNCTION("""COMPUTED_VALUE"""),43634.684939918974)</f>
        <v>43634.68494</v>
      </c>
      <c r="B324" s="11" t="str">
        <f>IFERROR(__xludf.DUMMYFUNCTION("""COMPUTED_VALUE"""),"Jimmy")</f>
        <v>Jimmy</v>
      </c>
      <c r="C324" t="str">
        <f>IFERROR(__xludf.DUMMYFUNCTION("""COMPUTED_VALUE"""),"james.tomazinis@floridadep.gov")</f>
        <v>james.tomazinis@floridadep.gov</v>
      </c>
      <c r="D324" t="str">
        <f>IFERROR(__xludf.DUMMYFUNCTION("""COMPUTED_VALUE"""),"Stewardship (Aquatic)")</f>
        <v>Stewardship (Aquatic)</v>
      </c>
      <c r="E324" t="str">
        <f>IFERROR(__xludf.DUMMYFUNCTION("""COMPUTED_VALUE"""),"Whitney")</f>
        <v>Whitney</v>
      </c>
      <c r="F324" s="13">
        <f>IFERROR(__xludf.DUMMYFUNCTION("""COMPUTED_VALUE"""),0.3854166666678793)</f>
        <v>0.3854166667</v>
      </c>
      <c r="G324" s="14">
        <f>IFERROR(__xludf.DUMMYFUNCTION("""COMPUTED_VALUE"""),43635.0)</f>
        <v>43635</v>
      </c>
      <c r="H324" t="str">
        <f>IFERROR(__xludf.DUMMYFUNCTION("""COMPUTED_VALUE"""),"Summerhaven")</f>
        <v>Summerhaven</v>
      </c>
      <c r="I324" s="15">
        <f>IFERROR(__xludf.DUMMYFUNCTION("""COMPUTED_VALUE"""),0.5104166666678793)</f>
        <v>0.5104166667</v>
      </c>
      <c r="J324" s="16"/>
      <c r="K324" t="str">
        <f>IFERROR(__xludf.DUMMYFUNCTION("""COMPUTED_VALUE"""),"Kayak(s)")</f>
        <v>Kayak(s)</v>
      </c>
      <c r="L324">
        <f>IFERROR(__xludf.DUMMYFUNCTION("""COMPUTED_VALUE"""),2.0)</f>
        <v>2</v>
      </c>
      <c r="M324" t="str">
        <f>IFERROR(__xludf.DUMMYFUNCTION("""COMPUTED_VALUE"""),"Ford F150 2015 (White) - DEP21448")</f>
        <v>Ford F150 2015 (White) - DEP21448</v>
      </c>
      <c r="N324" t="str">
        <f>IFERROR(__xludf.DUMMYFUNCTION("""COMPUTED_VALUE"""),"Jimmy Tomazinis, (904) 547-0094")</f>
        <v>Jimmy Tomazinis, (904) 547-0094</v>
      </c>
      <c r="O324" t="str">
        <f>IFERROR(__xludf.DUMMYFUNCTION("""COMPUTED_VALUE"""),"Ashley Konon")</f>
        <v>Ashley Konon</v>
      </c>
      <c r="P324" t="str">
        <f>IFERROR(__xludf.DUMMYFUNCTION("""COMPUTED_VALUE"""),"Jimmy")</f>
        <v>Jimmy</v>
      </c>
      <c r="Q324" t="str">
        <f>IFERROR(__xludf.DUMMYFUNCTION("""COMPUTED_VALUE"""),"Good")</f>
        <v>Good</v>
      </c>
      <c r="R324" t="str">
        <f>IFERROR(__xludf.DUMMYFUNCTION("""COMPUTED_VALUE"""),"Good")</f>
        <v>Good</v>
      </c>
      <c r="S324" t="str">
        <f>IFERROR(__xludf.DUMMYFUNCTION("""COMPUTED_VALUE"""),"Good")</f>
        <v>Good</v>
      </c>
      <c r="T324" t="str">
        <f>IFERROR(__xludf.DUMMYFUNCTION("""COMPUTED_VALUE"""),"Good")</f>
        <v>Good</v>
      </c>
      <c r="U324" t="str">
        <f>IFERROR(__xludf.DUMMYFUNCTION("""COMPUTED_VALUE"""),"Good")</f>
        <v>Good</v>
      </c>
      <c r="V324" t="str">
        <f>IFERROR(__xludf.DUMMYFUNCTION("""COMPUTED_VALUE"""),"Good")</f>
        <v>Good</v>
      </c>
      <c r="W324" t="str">
        <f>IFERROR(__xludf.DUMMYFUNCTION("""COMPUTED_VALUE"""),"Good")</f>
        <v>Good</v>
      </c>
      <c r="X324" t="str">
        <f>IFERROR(__xludf.DUMMYFUNCTION("""COMPUTED_VALUE"""),"Good")</f>
        <v>Good</v>
      </c>
      <c r="Y324" t="str">
        <f>IFERROR(__xludf.DUMMYFUNCTION("""COMPUTED_VALUE"""),"Good")</f>
        <v>Good</v>
      </c>
      <c r="Z324" t="str">
        <f>IFERROR(__xludf.DUMMYFUNCTION("""COMPUTED_VALUE"""),"Good")</f>
        <v>Good</v>
      </c>
      <c r="AA324" t="str">
        <f>IFERROR(__xludf.DUMMYFUNCTION("""COMPUTED_VALUE"""),"Good")</f>
        <v>Good</v>
      </c>
      <c r="AB324" t="str">
        <f>IFERROR(__xludf.DUMMYFUNCTION("""COMPUTED_VALUE"""),"Good")</f>
        <v>Good</v>
      </c>
      <c r="AC324" t="str">
        <f>IFERROR(__xludf.DUMMYFUNCTION("""COMPUTED_VALUE"""),"Good")</f>
        <v>Good</v>
      </c>
      <c r="AE324" s="11"/>
      <c r="AF324" t="s">
        <v>32</v>
      </c>
      <c r="AG324" s="17" t="s">
        <v>128</v>
      </c>
      <c r="AH324" s="12">
        <v>1150.0</v>
      </c>
      <c r="AI324" s="12" t="s">
        <v>924</v>
      </c>
      <c r="AJ324" s="19" t="s">
        <v>925</v>
      </c>
      <c r="AK324" s="20" t="str">
        <f>HYPERLINK("https://docs.google.com/document/d/1VJnXPJs-V6D3x8ovy_Zxak_KhMiACK6sxW9bc_Tpvk4/edit?usp=drivesdk","Jimmy - 6/19/2019 9:15 AM")</f>
        <v>Jimmy - 6/19/2019 9:15 AM</v>
      </c>
      <c r="AL324" s="12" t="s">
        <v>926</v>
      </c>
    </row>
    <row r="325">
      <c r="A325" s="10">
        <f>IFERROR(__xludf.DUMMYFUNCTION("""COMPUTED_VALUE"""),43635.731990231485)</f>
        <v>43635.73199</v>
      </c>
      <c r="B325" s="11" t="str">
        <f>IFERROR(__xludf.DUMMYFUNCTION("""COMPUTED_VALUE"""),"Jimmy")</f>
        <v>Jimmy</v>
      </c>
      <c r="C325" t="str">
        <f>IFERROR(__xludf.DUMMYFUNCTION("""COMPUTED_VALUE"""),"james.tomazinis@floridadep.gov")</f>
        <v>james.tomazinis@floridadep.gov</v>
      </c>
      <c r="D325" t="str">
        <f>IFERROR(__xludf.DUMMYFUNCTION("""COMPUTED_VALUE"""),"Stewardship (Aquatic)")</f>
        <v>Stewardship (Aquatic)</v>
      </c>
      <c r="E325" t="str">
        <f>IFERROR(__xludf.DUMMYFUNCTION("""COMPUTED_VALUE"""),"TBD")</f>
        <v>TBD</v>
      </c>
      <c r="F325" s="13">
        <f>IFERROR(__xludf.DUMMYFUNCTION("""COMPUTED_VALUE"""),0.4166666666678793)</f>
        <v>0.4166666667</v>
      </c>
      <c r="G325" s="14">
        <f>IFERROR(__xludf.DUMMYFUNCTION("""COMPUTED_VALUE"""),43636.0)</f>
        <v>43636</v>
      </c>
      <c r="H325" t="str">
        <f>IFERROR(__xludf.DUMMYFUNCTION("""COMPUTED_VALUE"""),"Stetson row course")</f>
        <v>Stetson row course</v>
      </c>
      <c r="I325" s="15">
        <f>IFERROR(__xludf.DUMMYFUNCTION("""COMPUTED_VALUE"""),0.7083333333321207)</f>
        <v>0.7083333333</v>
      </c>
      <c r="J325" s="16"/>
      <c r="N325" t="str">
        <f>IFERROR(__xludf.DUMMYFUNCTION("""COMPUTED_VALUE"""),"Jimmy Tomazinis, (904) 547-0094")</f>
        <v>Jimmy Tomazinis, (904) 547-0094</v>
      </c>
      <c r="O325" t="str">
        <f>IFERROR(__xludf.DUMMYFUNCTION("""COMPUTED_VALUE"""),"Ashley Konon")</f>
        <v>Ashley Konon</v>
      </c>
      <c r="P325" t="str">
        <f>IFERROR(__xludf.DUMMYFUNCTION("""COMPUTED_VALUE"""),"Jimmy")</f>
        <v>Jimmy</v>
      </c>
      <c r="Q325" t="str">
        <f>IFERROR(__xludf.DUMMYFUNCTION("""COMPUTED_VALUE"""),"Good")</f>
        <v>Good</v>
      </c>
      <c r="R325" t="str">
        <f>IFERROR(__xludf.DUMMYFUNCTION("""COMPUTED_VALUE"""),"Good")</f>
        <v>Good</v>
      </c>
      <c r="S325" t="str">
        <f>IFERROR(__xludf.DUMMYFUNCTION("""COMPUTED_VALUE"""),"Good")</f>
        <v>Good</v>
      </c>
      <c r="T325" t="str">
        <f>IFERROR(__xludf.DUMMYFUNCTION("""COMPUTED_VALUE"""),"Good")</f>
        <v>Good</v>
      </c>
      <c r="U325" t="str">
        <f>IFERROR(__xludf.DUMMYFUNCTION("""COMPUTED_VALUE"""),"Good")</f>
        <v>Good</v>
      </c>
      <c r="V325" t="str">
        <f>IFERROR(__xludf.DUMMYFUNCTION("""COMPUTED_VALUE"""),"Good")</f>
        <v>Good</v>
      </c>
      <c r="W325" t="str">
        <f>IFERROR(__xludf.DUMMYFUNCTION("""COMPUTED_VALUE"""),"Good")</f>
        <v>Good</v>
      </c>
      <c r="X325" t="str">
        <f>IFERROR(__xludf.DUMMYFUNCTION("""COMPUTED_VALUE"""),"Good")</f>
        <v>Good</v>
      </c>
      <c r="Y325" t="str">
        <f>IFERROR(__xludf.DUMMYFUNCTION("""COMPUTED_VALUE"""),"Good")</f>
        <v>Good</v>
      </c>
      <c r="Z325" t="str">
        <f>IFERROR(__xludf.DUMMYFUNCTION("""COMPUTED_VALUE"""),"Good")</f>
        <v>Good</v>
      </c>
      <c r="AA325" t="str">
        <f>IFERROR(__xludf.DUMMYFUNCTION("""COMPUTED_VALUE"""),"Good")</f>
        <v>Good</v>
      </c>
      <c r="AB325" t="str">
        <f>IFERROR(__xludf.DUMMYFUNCTION("""COMPUTED_VALUE"""),"Good")</f>
        <v>Good</v>
      </c>
      <c r="AC325" t="str">
        <f>IFERROR(__xludf.DUMMYFUNCTION("""COMPUTED_VALUE"""),"Good")</f>
        <v>Good</v>
      </c>
      <c r="AE325" s="11"/>
      <c r="AF325" t="s">
        <v>32</v>
      </c>
      <c r="AG325" s="17" t="s">
        <v>448</v>
      </c>
      <c r="AH325" s="12">
        <v>1500.0</v>
      </c>
      <c r="AI325" s="12" t="s">
        <v>927</v>
      </c>
      <c r="AJ325" s="19" t="s">
        <v>928</v>
      </c>
      <c r="AK325" s="20" t="str">
        <f>HYPERLINK("https://docs.google.com/document/d/1LBlWKL2pKmxOCG6VVr5KzjV_Qs6EWYJnMRPZXBuCHyY/edit?usp=drivesdk","Jimmy - 6/20/2019 10:00 AM")</f>
        <v>Jimmy - 6/20/2019 10:00 AM</v>
      </c>
      <c r="AL325" s="12" t="s">
        <v>929</v>
      </c>
    </row>
    <row r="326">
      <c r="A326" s="10">
        <f>IFERROR(__xludf.DUMMYFUNCTION("""COMPUTED_VALUE"""),43642.353918865745)</f>
        <v>43642.35392</v>
      </c>
      <c r="B326" s="11" t="str">
        <f>IFERROR(__xludf.DUMMYFUNCTION("""COMPUTED_VALUE"""),"Silas Tanner")</f>
        <v>Silas Tanner</v>
      </c>
      <c r="C326" t="str">
        <f>IFERROR(__xludf.DUMMYFUNCTION("""COMPUTED_VALUE"""),"silas.tanner@floridadep.gov")</f>
        <v>silas.tanner@floridadep.gov</v>
      </c>
      <c r="D326" t="str">
        <f>IFERROR(__xludf.DUMMYFUNCTION("""COMPUTED_VALUE"""),"Research/Nikki")</f>
        <v>Research/Nikki</v>
      </c>
      <c r="E326" t="str">
        <f>IFERROR(__xludf.DUMMYFUNCTION("""COMPUTED_VALUE"""),"Crane ramp")</f>
        <v>Crane ramp</v>
      </c>
      <c r="F326" s="13">
        <f>IFERROR(__xludf.DUMMYFUNCTION("""COMPUTED_VALUE"""),0.3958333333321207)</f>
        <v>0.3958333333</v>
      </c>
      <c r="G326" s="14">
        <f>IFERROR(__xludf.DUMMYFUNCTION("""COMPUTED_VALUE"""),43642.0)</f>
        <v>43642</v>
      </c>
      <c r="H326" t="str">
        <f>IFERROR(__xludf.DUMMYFUNCTION("""COMPUTED_VALUE"""),"ICW b/w Crane Ramp and Guana river")</f>
        <v>ICW b/w Crane Ramp and Guana river</v>
      </c>
      <c r="I326" s="15">
        <f>IFERROR(__xludf.DUMMYFUNCTION("""COMPUTED_VALUE"""),0.5)</f>
        <v>0.5</v>
      </c>
      <c r="J326" s="16">
        <f>IFERROR(__xludf.DUMMYFUNCTION("""COMPUTED_VALUE"""),43642.52083333333)</f>
        <v>43642.52083</v>
      </c>
      <c r="K326" t="str">
        <f>IFERROR(__xludf.DUMMYFUNCTION("""COMPUTED_VALUE"""),"20ft Sea Ark FL5351SJ UNF 2015")</f>
        <v>20ft Sea Ark FL5351SJ UNF 2015</v>
      </c>
      <c r="M326" t="str">
        <f>IFERROR(__xludf.DUMMYFUNCTION("""COMPUTED_VALUE"""),"Ford F250 2017 (Moby Dix) - DEP0021578")</f>
        <v>Ford F250 2017 (Moby Dix) - DEP0021578</v>
      </c>
      <c r="N326" t="str">
        <f>IFERROR(__xludf.DUMMYFUNCTION("""COMPUTED_VALUE"""),"Silas Tanner, (904) 483-8423")</f>
        <v>Silas Tanner, (904) 483-8423</v>
      </c>
      <c r="O326" t="str">
        <f>IFERROR(__xludf.DUMMYFUNCTION("""COMPUTED_VALUE"""),"Shane Pangle")</f>
        <v>Shane Pangle</v>
      </c>
      <c r="P326" t="str">
        <f>IFERROR(__xludf.DUMMYFUNCTION("""COMPUTED_VALUE"""),"S. Tanner")</f>
        <v>S. Tanner</v>
      </c>
      <c r="Q326" t="str">
        <f>IFERROR(__xludf.DUMMYFUNCTION("""COMPUTED_VALUE"""),"Good")</f>
        <v>Good</v>
      </c>
      <c r="R326" t="str">
        <f>IFERROR(__xludf.DUMMYFUNCTION("""COMPUTED_VALUE"""),"Good")</f>
        <v>Good</v>
      </c>
      <c r="S326" t="str">
        <f>IFERROR(__xludf.DUMMYFUNCTION("""COMPUTED_VALUE"""),"Good")</f>
        <v>Good</v>
      </c>
      <c r="T326" t="str">
        <f>IFERROR(__xludf.DUMMYFUNCTION("""COMPUTED_VALUE"""),"Good")</f>
        <v>Good</v>
      </c>
      <c r="U326" t="str">
        <f>IFERROR(__xludf.DUMMYFUNCTION("""COMPUTED_VALUE"""),"Good")</f>
        <v>Good</v>
      </c>
      <c r="V326" t="str">
        <f>IFERROR(__xludf.DUMMYFUNCTION("""COMPUTED_VALUE"""),"Good")</f>
        <v>Good</v>
      </c>
      <c r="W326" t="str">
        <f>IFERROR(__xludf.DUMMYFUNCTION("""COMPUTED_VALUE"""),"Good")</f>
        <v>Good</v>
      </c>
      <c r="X326" t="str">
        <f>IFERROR(__xludf.DUMMYFUNCTION("""COMPUTED_VALUE"""),"Good")</f>
        <v>Good</v>
      </c>
      <c r="Y326" t="str">
        <f>IFERROR(__xludf.DUMMYFUNCTION("""COMPUTED_VALUE"""),"Good")</f>
        <v>Good</v>
      </c>
      <c r="Z326" t="str">
        <f>IFERROR(__xludf.DUMMYFUNCTION("""COMPUTED_VALUE"""),"Good")</f>
        <v>Good</v>
      </c>
      <c r="AA326" t="str">
        <f>IFERROR(__xludf.DUMMYFUNCTION("""COMPUTED_VALUE"""),"Good")</f>
        <v>Good</v>
      </c>
      <c r="AB326" t="str">
        <f>IFERROR(__xludf.DUMMYFUNCTION("""COMPUTED_VALUE"""),"Good")</f>
        <v>Good</v>
      </c>
      <c r="AC326" t="str">
        <f>IFERROR(__xludf.DUMMYFUNCTION("""COMPUTED_VALUE"""),"Good")</f>
        <v>Good</v>
      </c>
      <c r="AE326" s="11"/>
      <c r="AF326" t="s">
        <v>218</v>
      </c>
      <c r="AG326" s="17" t="s">
        <v>43</v>
      </c>
      <c r="AH326" s="12">
        <v>1157.0</v>
      </c>
      <c r="AI326" s="12" t="s">
        <v>930</v>
      </c>
      <c r="AJ326" s="19" t="s">
        <v>931</v>
      </c>
      <c r="AK326" s="20" t="str">
        <f>HYPERLINK("https://docs.google.com/document/d/1oFfq4LU7d1zTf_pe0yQ81_jHV2i5KQRSdELtjM6PJvU/edit?usp=drivesdk","Silas Tanner - 6/26/2019 9:30 AM")</f>
        <v>Silas Tanner - 6/26/2019 9:30 AM</v>
      </c>
      <c r="AL326" s="12" t="s">
        <v>932</v>
      </c>
    </row>
    <row r="327">
      <c r="A327" s="10">
        <f>IFERROR(__xludf.DUMMYFUNCTION("""COMPUTED_VALUE"""),43644.39692825232)</f>
        <v>43644.39693</v>
      </c>
      <c r="B327" s="11" t="str">
        <f>IFERROR(__xludf.DUMMYFUNCTION("""COMPUTED_VALUE"""),"Pam  Marcum")</f>
        <v>Pam  Marcum</v>
      </c>
      <c r="C327" t="str">
        <f>IFERROR(__xludf.DUMMYFUNCTION("""COMPUTED_VALUE"""),"pamela.marcum@dep.state.fl.us")</f>
        <v>pamela.marcum@dep.state.fl.us</v>
      </c>
      <c r="D327" t="str">
        <f>IFERROR(__xludf.DUMMYFUNCTION("""COMPUTED_VALUE"""),"Research/Nikki")</f>
        <v>Research/Nikki</v>
      </c>
      <c r="E327" t="str">
        <f>IFERROR(__xludf.DUMMYFUNCTION("""COMPUTED_VALUE"""),"Shore drive crane park")</f>
        <v>Shore drive crane park</v>
      </c>
      <c r="F327" s="13">
        <f>IFERROR(__xludf.DUMMYFUNCTION("""COMPUTED_VALUE"""),0.375)</f>
        <v>0.375</v>
      </c>
      <c r="G327" s="14">
        <f>IFERROR(__xludf.DUMMYFUNCTION("""COMPUTED_VALUE"""),43644.0)</f>
        <v>43644</v>
      </c>
      <c r="H327" t="str">
        <f>IFERROR(__xludf.DUMMYFUNCTION("""COMPUTED_VALUE"""),"Marsh Creek")</f>
        <v>Marsh Creek</v>
      </c>
      <c r="I327" s="15">
        <f>IFERROR(__xludf.DUMMYFUNCTION("""COMPUTED_VALUE"""),0.5833333333321207)</f>
        <v>0.5833333333</v>
      </c>
      <c r="J327" s="16">
        <f>IFERROR(__xludf.DUMMYFUNCTION("""COMPUTED_VALUE"""),43644.625)</f>
        <v>43644.625</v>
      </c>
      <c r="K327" t="str">
        <f>IFERROR(__xludf.DUMMYFUNCTION("""COMPUTED_VALUE"""),"20ft Sea Ark FL5351SJ UNF 2015")</f>
        <v>20ft Sea Ark FL5351SJ UNF 2015</v>
      </c>
      <c r="M327" t="str">
        <f>IFERROR(__xludf.DUMMYFUNCTION("""COMPUTED_VALUE"""),"Ford F150 2015 (White) - DEP21448")</f>
        <v>Ford F150 2015 (White) - DEP21448</v>
      </c>
      <c r="N327" t="str">
        <f>IFERROR(__xludf.DUMMYFUNCTION("""COMPUTED_VALUE"""),"Pam Marcum, (480) 332-5414")</f>
        <v>Pam Marcum, (480) 332-5414</v>
      </c>
      <c r="O327" t="str">
        <f>IFERROR(__xludf.DUMMYFUNCTION("""COMPUTED_VALUE"""),"Gabby Canas, Alee Knoell")</f>
        <v>Gabby Canas, Alee Knoell</v>
      </c>
      <c r="P327" t="str">
        <f>IFERROR(__xludf.DUMMYFUNCTION("""COMPUTED_VALUE"""),"Pam &amp;  Gabby")</f>
        <v>Pam &amp;  Gabby</v>
      </c>
      <c r="Q327" t="str">
        <f>IFERROR(__xludf.DUMMYFUNCTION("""COMPUTED_VALUE"""),"Good")</f>
        <v>Good</v>
      </c>
      <c r="R327" t="str">
        <f>IFERROR(__xludf.DUMMYFUNCTION("""COMPUTED_VALUE"""),"Good")</f>
        <v>Good</v>
      </c>
      <c r="S327" t="str">
        <f>IFERROR(__xludf.DUMMYFUNCTION("""COMPUTED_VALUE"""),"Good")</f>
        <v>Good</v>
      </c>
      <c r="T327" t="str">
        <f>IFERROR(__xludf.DUMMYFUNCTION("""COMPUTED_VALUE"""),"Good")</f>
        <v>Good</v>
      </c>
      <c r="U327" t="str">
        <f>IFERROR(__xludf.DUMMYFUNCTION("""COMPUTED_VALUE"""),"Good")</f>
        <v>Good</v>
      </c>
      <c r="V327" t="str">
        <f>IFERROR(__xludf.DUMMYFUNCTION("""COMPUTED_VALUE"""),"Good")</f>
        <v>Good</v>
      </c>
      <c r="W327" t="str">
        <f>IFERROR(__xludf.DUMMYFUNCTION("""COMPUTED_VALUE"""),"Good")</f>
        <v>Good</v>
      </c>
      <c r="X327" t="str">
        <f>IFERROR(__xludf.DUMMYFUNCTION("""COMPUTED_VALUE"""),"Good")</f>
        <v>Good</v>
      </c>
      <c r="Y327" t="str">
        <f>IFERROR(__xludf.DUMMYFUNCTION("""COMPUTED_VALUE"""),"Good")</f>
        <v>Good</v>
      </c>
      <c r="Z327" t="str">
        <f>IFERROR(__xludf.DUMMYFUNCTION("""COMPUTED_VALUE"""),"Good")</f>
        <v>Good</v>
      </c>
      <c r="AA327" t="str">
        <f>IFERROR(__xludf.DUMMYFUNCTION("""COMPUTED_VALUE"""),"Good")</f>
        <v>Good</v>
      </c>
      <c r="AB327" t="str">
        <f>IFERROR(__xludf.DUMMYFUNCTION("""COMPUTED_VALUE"""),"Good")</f>
        <v>Good</v>
      </c>
      <c r="AC327" t="str">
        <f>IFERROR(__xludf.DUMMYFUNCTION("""COMPUTED_VALUE"""),"Good")</f>
        <v>Good</v>
      </c>
      <c r="AE327" s="11"/>
      <c r="AF327" t="s">
        <v>218</v>
      </c>
      <c r="AG327" s="17" t="s">
        <v>115</v>
      </c>
      <c r="AH327" s="12">
        <v>1410.0</v>
      </c>
      <c r="AI327" s="12" t="s">
        <v>933</v>
      </c>
      <c r="AJ327" s="19" t="s">
        <v>934</v>
      </c>
      <c r="AK327" s="20" t="str">
        <f>HYPERLINK("https://docs.google.com/document/d/1KgtsJJKzhgVyGWsX20RlzbAQfyhax9XMYyQYU7_jT3Q/edit?usp=drivesdk","Pam  Marcum - 6/28/2019 9:00 AM")</f>
        <v>Pam  Marcum - 6/28/2019 9:00 AM</v>
      </c>
      <c r="AL327" s="12" t="s">
        <v>935</v>
      </c>
    </row>
    <row r="328">
      <c r="A328" s="10">
        <f>IFERROR(__xludf.DUMMYFUNCTION("""COMPUTED_VALUE"""),43647.515463958334)</f>
        <v>43647.51546</v>
      </c>
      <c r="B328" s="11" t="str">
        <f>IFERROR(__xludf.DUMMYFUNCTION("""COMPUTED_VALUE"""),"Pamela Marcum")</f>
        <v>Pamela Marcum</v>
      </c>
      <c r="C328" t="str">
        <f>IFERROR(__xludf.DUMMYFUNCTION("""COMPUTED_VALUE"""),"Pamela.Marcum@dep.state.fl.us")</f>
        <v>Pamela.Marcum@dep.state.fl.us</v>
      </c>
      <c r="D328" t="str">
        <f>IFERROR(__xludf.DUMMYFUNCTION("""COMPUTED_VALUE"""),"Research/Nikki")</f>
        <v>Research/Nikki</v>
      </c>
      <c r="E328" t="str">
        <f>IFERROR(__xludf.DUMMYFUNCTION("""COMPUTED_VALUE"""),"Aunt Kate's")</f>
        <v>Aunt Kate's</v>
      </c>
      <c r="F328" s="13">
        <f>IFERROR(__xludf.DUMMYFUNCTION("""COMPUTED_VALUE"""),0.5416666666678793)</f>
        <v>0.5416666667</v>
      </c>
      <c r="G328" s="14">
        <f>IFERROR(__xludf.DUMMYFUNCTION("""COMPUTED_VALUE"""),43647.0)</f>
        <v>43647</v>
      </c>
      <c r="H328" t="str">
        <f>IFERROR(__xludf.DUMMYFUNCTION("""COMPUTED_VALUE"""),"Tolomato &amp; Guana Rivers")</f>
        <v>Tolomato &amp; Guana Rivers</v>
      </c>
      <c r="I328" s="15">
        <f>IFERROR(__xludf.DUMMYFUNCTION("""COMPUTED_VALUE"""),0.75)</f>
        <v>0.75</v>
      </c>
      <c r="J328" s="16">
        <f>IFERROR(__xludf.DUMMYFUNCTION("""COMPUTED_VALUE"""),43647.77083333333)</f>
        <v>43647.77083</v>
      </c>
      <c r="K328" t="str">
        <f>IFERROR(__xludf.DUMMYFUNCTION("""COMPUTED_VALUE"""),"20ft Sea Ark FL5351SJ UNF 2015")</f>
        <v>20ft Sea Ark FL5351SJ UNF 2015</v>
      </c>
      <c r="M328" t="str">
        <f>IFERROR(__xludf.DUMMYFUNCTION("""COMPUTED_VALUE"""),"Ford F150 2015 (White) - DEP21448")</f>
        <v>Ford F150 2015 (White) - DEP21448</v>
      </c>
      <c r="N328" t="str">
        <f>IFERROR(__xludf.DUMMYFUNCTION("""COMPUTED_VALUE"""),"Pam Marcum, (480) 332-5414")</f>
        <v>Pam Marcum, (480) 332-5414</v>
      </c>
      <c r="O328" t="str">
        <f>IFERROR(__xludf.DUMMYFUNCTION("""COMPUTED_VALUE"""),"Nicole Peckham, Adrienne Breef-Pilz")</f>
        <v>Nicole Peckham, Adrienne Breef-Pilz</v>
      </c>
      <c r="P328" t="str">
        <f>IFERROR(__xludf.DUMMYFUNCTION("""COMPUTED_VALUE"""),"Pam")</f>
        <v>Pam</v>
      </c>
      <c r="Q328" t="str">
        <f>IFERROR(__xludf.DUMMYFUNCTION("""COMPUTED_VALUE"""),"Good")</f>
        <v>Good</v>
      </c>
      <c r="R328" t="str">
        <f>IFERROR(__xludf.DUMMYFUNCTION("""COMPUTED_VALUE"""),"Good")</f>
        <v>Good</v>
      </c>
      <c r="S328" t="str">
        <f>IFERROR(__xludf.DUMMYFUNCTION("""COMPUTED_VALUE"""),"Good")</f>
        <v>Good</v>
      </c>
      <c r="T328" t="str">
        <f>IFERROR(__xludf.DUMMYFUNCTION("""COMPUTED_VALUE"""),"Good")</f>
        <v>Good</v>
      </c>
      <c r="U328" t="str">
        <f>IFERROR(__xludf.DUMMYFUNCTION("""COMPUTED_VALUE"""),"Good")</f>
        <v>Good</v>
      </c>
      <c r="V328" t="str">
        <f>IFERROR(__xludf.DUMMYFUNCTION("""COMPUTED_VALUE"""),"Good")</f>
        <v>Good</v>
      </c>
      <c r="W328" t="str">
        <f>IFERROR(__xludf.DUMMYFUNCTION("""COMPUTED_VALUE"""),"Good")</f>
        <v>Good</v>
      </c>
      <c r="X328" t="str">
        <f>IFERROR(__xludf.DUMMYFUNCTION("""COMPUTED_VALUE"""),"Good")</f>
        <v>Good</v>
      </c>
      <c r="Y328" t="str">
        <f>IFERROR(__xludf.DUMMYFUNCTION("""COMPUTED_VALUE"""),"Good")</f>
        <v>Good</v>
      </c>
      <c r="Z328" t="str">
        <f>IFERROR(__xludf.DUMMYFUNCTION("""COMPUTED_VALUE"""),"Good")</f>
        <v>Good</v>
      </c>
      <c r="AA328" t="str">
        <f>IFERROR(__xludf.DUMMYFUNCTION("""COMPUTED_VALUE"""),"Good")</f>
        <v>Good</v>
      </c>
      <c r="AB328" t="str">
        <f>IFERROR(__xludf.DUMMYFUNCTION("""COMPUTED_VALUE"""),"Good")</f>
        <v>Good</v>
      </c>
      <c r="AC328" t="str">
        <f>IFERROR(__xludf.DUMMYFUNCTION("""COMPUTED_VALUE"""),"Good")</f>
        <v>Good</v>
      </c>
      <c r="AE328" s="11"/>
      <c r="AF328" t="s">
        <v>218</v>
      </c>
      <c r="AG328" s="17" t="s">
        <v>60</v>
      </c>
      <c r="AH328" s="12">
        <v>1815.0</v>
      </c>
      <c r="AI328" s="12" t="s">
        <v>936</v>
      </c>
      <c r="AJ328" s="19" t="s">
        <v>937</v>
      </c>
      <c r="AK328" s="20" t="str">
        <f>HYPERLINK("https://docs.google.com/document/d/1d2XWI0EjkYtmDxCVNlEHb93pARhb9WKgiaWv_9QPQ1I/edit?usp=drivesdk","Pamela Marcum - 7/1/2019 1:00 PM")</f>
        <v>Pamela Marcum - 7/1/2019 1:00 PM</v>
      </c>
      <c r="AL328" s="12" t="s">
        <v>938</v>
      </c>
    </row>
    <row r="329">
      <c r="A329" s="10">
        <f>IFERROR(__xludf.DUMMYFUNCTION("""COMPUTED_VALUE"""),43647.66340347222)</f>
        <v>43647.6634</v>
      </c>
      <c r="B329" s="11" t="str">
        <f>IFERROR(__xludf.DUMMYFUNCTION("""COMPUTED_VALUE"""),"S. Tanner")</f>
        <v>S. Tanner</v>
      </c>
      <c r="C329" t="str">
        <f>IFERROR(__xludf.DUMMYFUNCTION("""COMPUTED_VALUE"""),"silas.tanner@floridadep.gov")</f>
        <v>silas.tanner@floridadep.gov</v>
      </c>
      <c r="D329" t="str">
        <f>IFERROR(__xludf.DUMMYFUNCTION("""COMPUTED_VALUE"""),"Research/Shannon")</f>
        <v>Research/Shannon</v>
      </c>
      <c r="E329" t="str">
        <f>IFERROR(__xludf.DUMMYFUNCTION("""COMPUTED_VALUE"""),"Vilano Landing")</f>
        <v>Vilano Landing</v>
      </c>
      <c r="F329" s="13">
        <f>IFERROR(__xludf.DUMMYFUNCTION("""COMPUTED_VALUE"""),0.3541666666678793)</f>
        <v>0.3541666667</v>
      </c>
      <c r="G329" s="14">
        <f>IFERROR(__xludf.DUMMYFUNCTION("""COMPUTED_VALUE"""),43648.0)</f>
        <v>43648</v>
      </c>
      <c r="H329" t="str">
        <f>IFERROR(__xludf.DUMMYFUNCTION("""COMPUTED_VALUE"""),"ICW - SWMP sites")</f>
        <v>ICW - SWMP sites</v>
      </c>
      <c r="I329" s="15">
        <f>IFERROR(__xludf.DUMMYFUNCTION("""COMPUTED_VALUE"""),0.5208333333321207)</f>
        <v>0.5208333333</v>
      </c>
      <c r="J329" s="16">
        <f>IFERROR(__xludf.DUMMYFUNCTION("""COMPUTED_VALUE"""),43648.54166666667)</f>
        <v>43648.54167</v>
      </c>
      <c r="K329" t="str">
        <f>IFERROR(__xludf.DUMMYFUNCTION("""COMPUTED_VALUE"""),"20ft Sea Ark FL5351SJ UNF 2015")</f>
        <v>20ft Sea Ark FL5351SJ UNF 2015</v>
      </c>
      <c r="M329" t="str">
        <f>IFERROR(__xludf.DUMMYFUNCTION("""COMPUTED_VALUE"""),"Ford F150 2015 (White) - DEP21448")</f>
        <v>Ford F150 2015 (White) - DEP21448</v>
      </c>
      <c r="N329" t="str">
        <f>IFERROR(__xludf.DUMMYFUNCTION("""COMPUTED_VALUE"""),"Silas Tanner, (904) 483-8423, Remo Mondazzi")</f>
        <v>Silas Tanner, (904) 483-8423, Remo Mondazzi</v>
      </c>
      <c r="O329" t="str">
        <f>IFERROR(__xludf.DUMMYFUNCTION("""COMPUTED_VALUE"""),"Molly Dent")</f>
        <v>Molly Dent</v>
      </c>
      <c r="P329" t="str">
        <f>IFERROR(__xludf.DUMMYFUNCTION("""COMPUTED_VALUE"""),"S. Tanner")</f>
        <v>S. Tanner</v>
      </c>
      <c r="Q329" t="str">
        <f>IFERROR(__xludf.DUMMYFUNCTION("""COMPUTED_VALUE"""),"Good")</f>
        <v>Good</v>
      </c>
      <c r="R329" t="str">
        <f>IFERROR(__xludf.DUMMYFUNCTION("""COMPUTED_VALUE"""),"Good")</f>
        <v>Good</v>
      </c>
      <c r="S329" t="str">
        <f>IFERROR(__xludf.DUMMYFUNCTION("""COMPUTED_VALUE"""),"Good")</f>
        <v>Good</v>
      </c>
      <c r="T329" t="str">
        <f>IFERROR(__xludf.DUMMYFUNCTION("""COMPUTED_VALUE"""),"Good")</f>
        <v>Good</v>
      </c>
      <c r="U329" t="str">
        <f>IFERROR(__xludf.DUMMYFUNCTION("""COMPUTED_VALUE"""),"Good")</f>
        <v>Good</v>
      </c>
      <c r="V329" t="str">
        <f>IFERROR(__xludf.DUMMYFUNCTION("""COMPUTED_VALUE"""),"Good")</f>
        <v>Good</v>
      </c>
      <c r="W329" t="str">
        <f>IFERROR(__xludf.DUMMYFUNCTION("""COMPUTED_VALUE"""),"Good")</f>
        <v>Good</v>
      </c>
      <c r="X329" t="str">
        <f>IFERROR(__xludf.DUMMYFUNCTION("""COMPUTED_VALUE"""),"Good")</f>
        <v>Good</v>
      </c>
      <c r="Y329" t="str">
        <f>IFERROR(__xludf.DUMMYFUNCTION("""COMPUTED_VALUE"""),"Good")</f>
        <v>Good</v>
      </c>
      <c r="Z329" t="str">
        <f>IFERROR(__xludf.DUMMYFUNCTION("""COMPUTED_VALUE"""),"Good")</f>
        <v>Good</v>
      </c>
      <c r="AA329" t="str">
        <f>IFERROR(__xludf.DUMMYFUNCTION("""COMPUTED_VALUE"""),"Good")</f>
        <v>Good</v>
      </c>
      <c r="AB329" t="str">
        <f>IFERROR(__xludf.DUMMYFUNCTION("""COMPUTED_VALUE"""),"Good")</f>
        <v>Good</v>
      </c>
      <c r="AC329" t="str">
        <f>IFERROR(__xludf.DUMMYFUNCTION("""COMPUTED_VALUE"""),"Good")</f>
        <v>Good</v>
      </c>
      <c r="AE329" s="11"/>
      <c r="AF329" t="s">
        <v>269</v>
      </c>
      <c r="AG329" s="17" t="s">
        <v>511</v>
      </c>
      <c r="AH329" s="12">
        <v>1615.0</v>
      </c>
      <c r="AI329" s="12" t="s">
        <v>939</v>
      </c>
      <c r="AJ329" s="19" t="s">
        <v>940</v>
      </c>
      <c r="AK329" s="20" t="str">
        <f>HYPERLINK("https://docs.google.com/document/d/1O2axMQA5xDTQpskdWm80p09JuUPVL5tfWcrGdGzBO5k/edit?usp=drivesdk","S. Tanner - 7/2/2019 8:30 AM")</f>
        <v>S. Tanner - 7/2/2019 8:30 AM</v>
      </c>
      <c r="AL329" s="12" t="s">
        <v>941</v>
      </c>
    </row>
    <row r="330">
      <c r="A330" s="10">
        <f>IFERROR(__xludf.DUMMYFUNCTION("""COMPUTED_VALUE"""),43648.68422519676)</f>
        <v>43648.68423</v>
      </c>
      <c r="B330" s="11" t="str">
        <f>IFERROR(__xludf.DUMMYFUNCTION("""COMPUTED_VALUE"""),"Ruben Allen")</f>
        <v>Ruben Allen</v>
      </c>
      <c r="C330" t="str">
        <f>IFERROR(__xludf.DUMMYFUNCTION("""COMPUTED_VALUE"""),"Rubeall57@gmail.com")</f>
        <v>Rubeall57@gmail.com</v>
      </c>
      <c r="D330" t="str">
        <f>IFERROR(__xludf.DUMMYFUNCTION("""COMPUTED_VALUE"""),"Research/Pam")</f>
        <v>Research/Pam</v>
      </c>
      <c r="E330" t="str">
        <f>IFERROR(__xludf.DUMMYFUNCTION("""COMPUTED_VALUE"""),"St Augustine")</f>
        <v>St Augustine</v>
      </c>
      <c r="F330" s="13">
        <f>IFERROR(__xludf.DUMMYFUNCTION("""COMPUTED_VALUE"""),0.3541666666678793)</f>
        <v>0.3541666667</v>
      </c>
      <c r="G330" s="14">
        <f>IFERROR(__xludf.DUMMYFUNCTION("""COMPUTED_VALUE"""),43649.0)</f>
        <v>43649</v>
      </c>
      <c r="H330" t="str">
        <f>IFERROR(__xludf.DUMMYFUNCTION("""COMPUTED_VALUE"""),"Intercoastal WW Pine Island and reutrn")</f>
        <v>Intercoastal WW Pine Island and reutrn</v>
      </c>
      <c r="I330" s="15">
        <f>IFERROR(__xludf.DUMMYFUNCTION("""COMPUTED_VALUE"""),0.4791666666678793)</f>
        <v>0.4791666667</v>
      </c>
      <c r="J330" s="16">
        <f>IFERROR(__xludf.DUMMYFUNCTION("""COMPUTED_VALUE"""),43649.5)</f>
        <v>43649.5</v>
      </c>
      <c r="K330" t="str">
        <f>IFERROR(__xludf.DUMMYFUNCTION("""COMPUTED_VALUE"""),"20ft Sea Ark FL5351SJ UNF 2015")</f>
        <v>20ft Sea Ark FL5351SJ UNF 2015</v>
      </c>
      <c r="M330" t="str">
        <f>IFERROR(__xludf.DUMMYFUNCTION("""COMPUTED_VALUE"""),"Ford F150 2015 (White) - DEP21448")</f>
        <v>Ford F150 2015 (White) - DEP21448</v>
      </c>
      <c r="N330" t="str">
        <f>IFERROR(__xludf.DUMMYFUNCTION("""COMPUTED_VALUE"""),"Ruben Allen  (904) 860-0083")</f>
        <v>Ruben Allen  (904) 860-0083</v>
      </c>
      <c r="O330" t="str">
        <f>IFERROR(__xludf.DUMMYFUNCTION("""COMPUTED_VALUE"""),"Alee Knoell")</f>
        <v>Alee Knoell</v>
      </c>
      <c r="P330" t="str">
        <f>IFERROR(__xludf.DUMMYFUNCTION("""COMPUTED_VALUE"""),"Ruben Allen")</f>
        <v>Ruben Allen</v>
      </c>
      <c r="Q330" t="str">
        <f>IFERROR(__xludf.DUMMYFUNCTION("""COMPUTED_VALUE"""),"Good")</f>
        <v>Good</v>
      </c>
      <c r="R330" t="str">
        <f>IFERROR(__xludf.DUMMYFUNCTION("""COMPUTED_VALUE"""),"Good")</f>
        <v>Good</v>
      </c>
      <c r="S330" t="str">
        <f>IFERROR(__xludf.DUMMYFUNCTION("""COMPUTED_VALUE"""),"Good")</f>
        <v>Good</v>
      </c>
      <c r="T330" t="str">
        <f>IFERROR(__xludf.DUMMYFUNCTION("""COMPUTED_VALUE"""),"Good")</f>
        <v>Good</v>
      </c>
      <c r="U330" t="str">
        <f>IFERROR(__xludf.DUMMYFUNCTION("""COMPUTED_VALUE"""),"Good")</f>
        <v>Good</v>
      </c>
      <c r="V330" t="str">
        <f>IFERROR(__xludf.DUMMYFUNCTION("""COMPUTED_VALUE"""),"Good")</f>
        <v>Good</v>
      </c>
      <c r="W330" t="str">
        <f>IFERROR(__xludf.DUMMYFUNCTION("""COMPUTED_VALUE"""),"Good")</f>
        <v>Good</v>
      </c>
      <c r="X330" t="str">
        <f>IFERROR(__xludf.DUMMYFUNCTION("""COMPUTED_VALUE"""),"Good")</f>
        <v>Good</v>
      </c>
      <c r="Y330" t="str">
        <f>IFERROR(__xludf.DUMMYFUNCTION("""COMPUTED_VALUE"""),"Good")</f>
        <v>Good</v>
      </c>
      <c r="Z330" t="str">
        <f>IFERROR(__xludf.DUMMYFUNCTION("""COMPUTED_VALUE"""),"Good")</f>
        <v>Good</v>
      </c>
      <c r="AA330" t="str">
        <f>IFERROR(__xludf.DUMMYFUNCTION("""COMPUTED_VALUE"""),"Good")</f>
        <v>Good</v>
      </c>
      <c r="AB330" t="str">
        <f>IFERROR(__xludf.DUMMYFUNCTION("""COMPUTED_VALUE"""),"Good")</f>
        <v>Good</v>
      </c>
      <c r="AC330" t="str">
        <f>IFERROR(__xludf.DUMMYFUNCTION("""COMPUTED_VALUE"""),"Good")</f>
        <v>Good</v>
      </c>
      <c r="AD330" t="str">
        <f>IFERROR(__xludf.DUMMYFUNCTION("""COMPUTED_VALUE"""),"Yes")</f>
        <v>Yes</v>
      </c>
      <c r="AE330" s="11" t="str">
        <f>IFERROR(__xludf.DUMMYFUNCTION("""COMPUTED_VALUE"""),"Yes")</f>
        <v>Yes</v>
      </c>
      <c r="AF330" t="s">
        <v>262</v>
      </c>
      <c r="AG330" s="17" t="s">
        <v>511</v>
      </c>
      <c r="AH330" s="12">
        <v>1133.0</v>
      </c>
      <c r="AI330" s="12" t="s">
        <v>942</v>
      </c>
      <c r="AJ330" s="19" t="s">
        <v>943</v>
      </c>
      <c r="AK330" s="20" t="str">
        <f>HYPERLINK("https://docs.google.com/document/d/1Lj3Corcrdfv8NhADDnB5MnFLc80Lp1cbT2jtyOaAzZg/edit?usp=drivesdk","Ruben Allen - 7/3/2019 8:30 AM")</f>
        <v>Ruben Allen - 7/3/2019 8:30 AM</v>
      </c>
      <c r="AL330" s="12" t="s">
        <v>944</v>
      </c>
    </row>
    <row r="331">
      <c r="A331" s="10">
        <f>IFERROR(__xludf.DUMMYFUNCTION("""COMPUTED_VALUE"""),43649.596777893516)</f>
        <v>43649.59678</v>
      </c>
      <c r="B331" s="11" t="str">
        <f>IFERROR(__xludf.DUMMYFUNCTION("""COMPUTED_VALUE"""),"TEST")</f>
        <v>TEST</v>
      </c>
      <c r="C331" t="str">
        <f>IFERROR(__xludf.DUMMYFUNCTION("""COMPUTED_VALUE"""),"josephine.spearman@FloridaDEP.org")</f>
        <v>josephine.spearman@FloridaDEP.org</v>
      </c>
      <c r="D331" t="str">
        <f>IFERROR(__xludf.DUMMYFUNCTION("""COMPUTED_VALUE"""),"Education")</f>
        <v>Education</v>
      </c>
      <c r="E331" t="str">
        <f>IFERROR(__xludf.DUMMYFUNCTION("""COMPUTED_VALUE"""),"TEST")</f>
        <v>TEST</v>
      </c>
      <c r="F331" s="13">
        <f>IFERROR(__xludf.DUMMYFUNCTION("""COMPUTED_VALUE"""),0.625)</f>
        <v>0.625</v>
      </c>
      <c r="G331" s="14">
        <f>IFERROR(__xludf.DUMMYFUNCTION("""COMPUTED_VALUE"""),43649.0)</f>
        <v>43649</v>
      </c>
      <c r="H331" t="str">
        <f>IFERROR(__xludf.DUMMYFUNCTION("""COMPUTED_VALUE"""),"TEST")</f>
        <v>TEST</v>
      </c>
      <c r="I331" s="15">
        <f>IFERROR(__xludf.DUMMYFUNCTION("""COMPUTED_VALUE"""),0.6458333333321207)</f>
        <v>0.6458333333</v>
      </c>
      <c r="J331" s="16">
        <f>IFERROR(__xludf.DUMMYFUNCTION("""COMPUTED_VALUE"""),43649.75)</f>
        <v>43649.75</v>
      </c>
      <c r="K331" t="str">
        <f>IFERROR(__xludf.DUMMYFUNCTION("""COMPUTED_VALUE"""),"Canoe(s)")</f>
        <v>Canoe(s)</v>
      </c>
      <c r="L331">
        <f>IFERROR(__xludf.DUMMYFUNCTION("""COMPUTED_VALUE"""),1.0)</f>
        <v>1</v>
      </c>
      <c r="M331" t="str">
        <f>IFERROR(__xludf.DUMMYFUNCTION("""COMPUTED_VALUE"""),"Ford F150 2008 - DEP18041 (SWMP Thing)")</f>
        <v>Ford F150 2008 - DEP18041 (SWMP Thing)</v>
      </c>
      <c r="N331" t="str">
        <f>IFERROR(__xludf.DUMMYFUNCTION("""COMPUTED_VALUE"""),"TEST")</f>
        <v>TEST</v>
      </c>
      <c r="O331" t="str">
        <f>IFERROR(__xludf.DUMMYFUNCTION("""COMPUTED_VALUE"""),"Josie Spearman, (386) 627-0816")</f>
        <v>Josie Spearman, (386) 627-0816</v>
      </c>
      <c r="P331" t="str">
        <f>IFERROR(__xludf.DUMMYFUNCTION("""COMPUTED_VALUE"""),"TEST")</f>
        <v>TEST</v>
      </c>
      <c r="Q331" t="str">
        <f>IFERROR(__xludf.DUMMYFUNCTION("""COMPUTED_VALUE"""),"Good")</f>
        <v>Good</v>
      </c>
      <c r="R331" t="str">
        <f>IFERROR(__xludf.DUMMYFUNCTION("""COMPUTED_VALUE"""),"Good")</f>
        <v>Good</v>
      </c>
      <c r="S331" t="str">
        <f>IFERROR(__xludf.DUMMYFUNCTION("""COMPUTED_VALUE"""),"Good")</f>
        <v>Good</v>
      </c>
      <c r="T331" t="str">
        <f>IFERROR(__xludf.DUMMYFUNCTION("""COMPUTED_VALUE"""),"Good")</f>
        <v>Good</v>
      </c>
      <c r="U331" t="str">
        <f>IFERROR(__xludf.DUMMYFUNCTION("""COMPUTED_VALUE"""),"Good")</f>
        <v>Good</v>
      </c>
      <c r="V331" t="str">
        <f>IFERROR(__xludf.DUMMYFUNCTION("""COMPUTED_VALUE"""),"Good")</f>
        <v>Good</v>
      </c>
      <c r="W331" t="str">
        <f>IFERROR(__xludf.DUMMYFUNCTION("""COMPUTED_VALUE"""),"Good")</f>
        <v>Good</v>
      </c>
      <c r="X331" t="str">
        <f>IFERROR(__xludf.DUMMYFUNCTION("""COMPUTED_VALUE"""),"Good")</f>
        <v>Good</v>
      </c>
      <c r="Y331" t="str">
        <f>IFERROR(__xludf.DUMMYFUNCTION("""COMPUTED_VALUE"""),"Good")</f>
        <v>Good</v>
      </c>
      <c r="Z331" t="str">
        <f>IFERROR(__xludf.DUMMYFUNCTION("""COMPUTED_VALUE"""),"Good")</f>
        <v>Good</v>
      </c>
      <c r="AA331" t="str">
        <f>IFERROR(__xludf.DUMMYFUNCTION("""COMPUTED_VALUE"""),"Good")</f>
        <v>Good</v>
      </c>
      <c r="AB331" t="str">
        <f>IFERROR(__xludf.DUMMYFUNCTION("""COMPUTED_VALUE"""),"Good")</f>
        <v>Good</v>
      </c>
      <c r="AC331" t="str">
        <f>IFERROR(__xludf.DUMMYFUNCTION("""COMPUTED_VALUE"""),"Good")</f>
        <v>Good</v>
      </c>
      <c r="AE331" s="11"/>
      <c r="AF331" t="s">
        <v>9</v>
      </c>
      <c r="AG331" s="17"/>
      <c r="AI331" s="12" t="s">
        <v>945</v>
      </c>
      <c r="AJ331" s="19" t="s">
        <v>946</v>
      </c>
      <c r="AK331" s="20" t="str">
        <f>HYPERLINK("https://docs.google.com/document/d/1qXtK3oH7DmcQDkV7PcKHYbDz7zDrjKI0qG6ostGLO4o/edit?usp=drivesdk","TEST - 7/3/2019 3:00 PM")</f>
        <v>TEST - 7/3/2019 3:00 PM</v>
      </c>
      <c r="AL331" s="12" t="s">
        <v>947</v>
      </c>
    </row>
    <row r="332">
      <c r="A332" s="10">
        <f>IFERROR(__xludf.DUMMYFUNCTION("""COMPUTED_VALUE"""),43654.284482685194)</f>
        <v>43654.28448</v>
      </c>
      <c r="B332" s="11" t="str">
        <f>IFERROR(__xludf.DUMMYFUNCTION("""COMPUTED_VALUE"""),"Silas Tanner")</f>
        <v>Silas Tanner</v>
      </c>
      <c r="C332" t="str">
        <f>IFERROR(__xludf.DUMMYFUNCTION("""COMPUTED_VALUE"""),"silas.tanner@dep.state.fl")</f>
        <v>silas.tanner@dep.state.fl</v>
      </c>
      <c r="D332" t="str">
        <f>IFERROR(__xludf.DUMMYFUNCTION("""COMPUTED_VALUE"""),"Research/Nikki")</f>
        <v>Research/Nikki</v>
      </c>
      <c r="E332" t="str">
        <f>IFERROR(__xludf.DUMMYFUNCTION("""COMPUTED_VALUE"""),"Usina")</f>
        <v>Usina</v>
      </c>
      <c r="F332" s="13">
        <f>IFERROR(__xludf.DUMMYFUNCTION("""COMPUTED_VALUE"""),0.2916666666678793)</f>
        <v>0.2916666667</v>
      </c>
      <c r="G332" s="14">
        <f>IFERROR(__xludf.DUMMYFUNCTION("""COMPUTED_VALUE"""),43654.0)</f>
        <v>43654</v>
      </c>
      <c r="H332" t="str">
        <f>IFERROR(__xludf.DUMMYFUNCTION("""COMPUTED_VALUE"""),"ICW Pine Island")</f>
        <v>ICW Pine Island</v>
      </c>
      <c r="I332" s="15">
        <f>IFERROR(__xludf.DUMMYFUNCTION("""COMPUTED_VALUE"""),0.625)</f>
        <v>0.625</v>
      </c>
      <c r="J332" s="16">
        <f>IFERROR(__xludf.DUMMYFUNCTION("""COMPUTED_VALUE"""),43654.63541666667)</f>
        <v>43654.63542</v>
      </c>
      <c r="K332" t="str">
        <f>IFERROR(__xludf.DUMMYFUNCTION("""COMPUTED_VALUE"""),"20ft Sea Ark FL5351SJ UNF 2015")</f>
        <v>20ft Sea Ark FL5351SJ UNF 2015</v>
      </c>
      <c r="M332" t="str">
        <f>IFERROR(__xludf.DUMMYFUNCTION("""COMPUTED_VALUE"""),"Ford F150 2015 (White) - DEP21448")</f>
        <v>Ford F150 2015 (White) - DEP21448</v>
      </c>
      <c r="N332" t="str">
        <f>IFERROR(__xludf.DUMMYFUNCTION("""COMPUTED_VALUE"""),"Silas Tanner, (904) 483-8423")</f>
        <v>Silas Tanner, (904) 483-8423</v>
      </c>
      <c r="O332" t="str">
        <f>IFERROR(__xludf.DUMMYFUNCTION("""COMPUTED_VALUE"""),"Gabriela Canas, (904) 891-9743, Melissa Southwell, Tyler Cooper-Kolb")</f>
        <v>Gabriela Canas, (904) 891-9743, Melissa Southwell, Tyler Cooper-Kolb</v>
      </c>
      <c r="P332" t="str">
        <f>IFERROR(__xludf.DUMMYFUNCTION("""COMPUTED_VALUE"""),"S. Tanner")</f>
        <v>S. Tanner</v>
      </c>
      <c r="Q332" t="str">
        <f>IFERROR(__xludf.DUMMYFUNCTION("""COMPUTED_VALUE"""),"Good")</f>
        <v>Good</v>
      </c>
      <c r="R332" t="str">
        <f>IFERROR(__xludf.DUMMYFUNCTION("""COMPUTED_VALUE"""),"Good")</f>
        <v>Good</v>
      </c>
      <c r="S332" t="str">
        <f>IFERROR(__xludf.DUMMYFUNCTION("""COMPUTED_VALUE"""),"Good")</f>
        <v>Good</v>
      </c>
      <c r="T332" t="str">
        <f>IFERROR(__xludf.DUMMYFUNCTION("""COMPUTED_VALUE"""),"Good")</f>
        <v>Good</v>
      </c>
      <c r="U332" t="str">
        <f>IFERROR(__xludf.DUMMYFUNCTION("""COMPUTED_VALUE"""),"Good")</f>
        <v>Good</v>
      </c>
      <c r="V332" t="str">
        <f>IFERROR(__xludf.DUMMYFUNCTION("""COMPUTED_VALUE"""),"Good")</f>
        <v>Good</v>
      </c>
      <c r="W332" t="str">
        <f>IFERROR(__xludf.DUMMYFUNCTION("""COMPUTED_VALUE"""),"Good")</f>
        <v>Good</v>
      </c>
      <c r="X332" t="str">
        <f>IFERROR(__xludf.DUMMYFUNCTION("""COMPUTED_VALUE"""),"Good")</f>
        <v>Good</v>
      </c>
      <c r="Y332" t="str">
        <f>IFERROR(__xludf.DUMMYFUNCTION("""COMPUTED_VALUE"""),"Good")</f>
        <v>Good</v>
      </c>
      <c r="Z332" t="str">
        <f>IFERROR(__xludf.DUMMYFUNCTION("""COMPUTED_VALUE"""),"Good")</f>
        <v>Good</v>
      </c>
      <c r="AA332" t="str">
        <f>IFERROR(__xludf.DUMMYFUNCTION("""COMPUTED_VALUE"""),"Good")</f>
        <v>Good</v>
      </c>
      <c r="AB332" t="str">
        <f>IFERROR(__xludf.DUMMYFUNCTION("""COMPUTED_VALUE"""),"Good")</f>
        <v>Good</v>
      </c>
      <c r="AC332" t="str">
        <f>IFERROR(__xludf.DUMMYFUNCTION("""COMPUTED_VALUE"""),"Good")</f>
        <v>Good</v>
      </c>
      <c r="AE332" s="11"/>
      <c r="AF332" t="s">
        <v>218</v>
      </c>
      <c r="AG332" s="17" t="s">
        <v>43</v>
      </c>
      <c r="AH332" s="12">
        <v>920.0</v>
      </c>
      <c r="AI332" s="12" t="s">
        <v>948</v>
      </c>
      <c r="AJ332" s="19" t="s">
        <v>949</v>
      </c>
      <c r="AK332" s="20" t="str">
        <f>HYPERLINK("https://docs.google.com/document/d/1Obn3valZ5ZFWEdYba74PwGZ9qtkhWraIPZUu6aHGrnU/edit?usp=drivesdk","Silas Tanner - 7/8/2019 7:00 AM")</f>
        <v>Silas Tanner - 7/8/2019 7:00 AM</v>
      </c>
      <c r="AL332" s="12" t="s">
        <v>950</v>
      </c>
    </row>
    <row r="333">
      <c r="A333" s="10">
        <f>IFERROR(__xludf.DUMMYFUNCTION("""COMPUTED_VALUE"""),43655.461362118054)</f>
        <v>43655.46136</v>
      </c>
      <c r="B333" s="11" t="str">
        <f>IFERROR(__xludf.DUMMYFUNCTION("""COMPUTED_VALUE"""),"Silas Tanner")</f>
        <v>Silas Tanner</v>
      </c>
      <c r="C333" t="str">
        <f>IFERROR(__xludf.DUMMYFUNCTION("""COMPUTED_VALUE"""),"silas.tanner@dep.state.fl")</f>
        <v>silas.tanner@dep.state.fl</v>
      </c>
      <c r="D333" t="str">
        <f>IFERROR(__xludf.DUMMYFUNCTION("""COMPUTED_VALUE"""),"Research/Nikki")</f>
        <v>Research/Nikki</v>
      </c>
      <c r="E333" t="str">
        <f>IFERROR(__xludf.DUMMYFUNCTION("""COMPUTED_VALUE"""),"Vilano landing")</f>
        <v>Vilano landing</v>
      </c>
      <c r="F333" s="13">
        <f>IFERROR(__xludf.DUMMYFUNCTION("""COMPUTED_VALUE"""),0.46527777777737356)</f>
        <v>0.4652777778</v>
      </c>
      <c r="G333" s="14">
        <f>IFERROR(__xludf.DUMMYFUNCTION("""COMPUTED_VALUE"""),43655.0)</f>
        <v>43655</v>
      </c>
      <c r="H333" t="str">
        <f>IFERROR(__xludf.DUMMYFUNCTION("""COMPUTED_VALUE"""),"ICW San Sebastian")</f>
        <v>ICW San Sebastian</v>
      </c>
      <c r="I333" s="15">
        <f>IFERROR(__xludf.DUMMYFUNCTION("""COMPUTED_VALUE"""),0.5625)</f>
        <v>0.5625</v>
      </c>
      <c r="J333" s="16">
        <f>IFERROR(__xludf.DUMMYFUNCTION("""COMPUTED_VALUE"""),43655.60416666667)</f>
        <v>43655.60417</v>
      </c>
      <c r="K333" t="str">
        <f>IFERROR(__xludf.DUMMYFUNCTION("""COMPUTED_VALUE"""),"20ft Sea Ark FL5351SJ UNF 2015")</f>
        <v>20ft Sea Ark FL5351SJ UNF 2015</v>
      </c>
      <c r="M333" t="str">
        <f>IFERROR(__xludf.DUMMYFUNCTION("""COMPUTED_VALUE"""),"Ford F150 2015 (White) - DEP21448")</f>
        <v>Ford F150 2015 (White) - DEP21448</v>
      </c>
      <c r="N333" t="str">
        <f>IFERROR(__xludf.DUMMYFUNCTION("""COMPUTED_VALUE"""),"Shannon Dunnigan, (803) 727-5734, Silas Tanner, (904) 483-8423")</f>
        <v>Shannon Dunnigan, (803) 727-5734, Silas Tanner, (904) 483-8423</v>
      </c>
      <c r="O333" t="str">
        <f>IFERROR(__xludf.DUMMYFUNCTION("""COMPUTED_VALUE"""),"Jessica Lee")</f>
        <v>Jessica Lee</v>
      </c>
      <c r="P333" t="str">
        <f>IFERROR(__xludf.DUMMYFUNCTION("""COMPUTED_VALUE"""),"S. Dunnigan")</f>
        <v>S. Dunnigan</v>
      </c>
      <c r="Q333" t="str">
        <f>IFERROR(__xludf.DUMMYFUNCTION("""COMPUTED_VALUE"""),"Good")</f>
        <v>Good</v>
      </c>
      <c r="R333" t="str">
        <f>IFERROR(__xludf.DUMMYFUNCTION("""COMPUTED_VALUE"""),"Good")</f>
        <v>Good</v>
      </c>
      <c r="S333" t="str">
        <f>IFERROR(__xludf.DUMMYFUNCTION("""COMPUTED_VALUE"""),"Good")</f>
        <v>Good</v>
      </c>
      <c r="T333" t="str">
        <f>IFERROR(__xludf.DUMMYFUNCTION("""COMPUTED_VALUE"""),"Good")</f>
        <v>Good</v>
      </c>
      <c r="U333" t="str">
        <f>IFERROR(__xludf.DUMMYFUNCTION("""COMPUTED_VALUE"""),"Good")</f>
        <v>Good</v>
      </c>
      <c r="V333" t="str">
        <f>IFERROR(__xludf.DUMMYFUNCTION("""COMPUTED_VALUE"""),"Good")</f>
        <v>Good</v>
      </c>
      <c r="W333" t="str">
        <f>IFERROR(__xludf.DUMMYFUNCTION("""COMPUTED_VALUE"""),"Good")</f>
        <v>Good</v>
      </c>
      <c r="X333" t="str">
        <f>IFERROR(__xludf.DUMMYFUNCTION("""COMPUTED_VALUE"""),"Good")</f>
        <v>Good</v>
      </c>
      <c r="Y333" t="str">
        <f>IFERROR(__xludf.DUMMYFUNCTION("""COMPUTED_VALUE"""),"Good")</f>
        <v>Good</v>
      </c>
      <c r="Z333" t="str">
        <f>IFERROR(__xludf.DUMMYFUNCTION("""COMPUTED_VALUE"""),"Good")</f>
        <v>Good</v>
      </c>
      <c r="AA333" t="str">
        <f>IFERROR(__xludf.DUMMYFUNCTION("""COMPUTED_VALUE"""),"Good")</f>
        <v>Good</v>
      </c>
      <c r="AB333" t="str">
        <f>IFERROR(__xludf.DUMMYFUNCTION("""COMPUTED_VALUE"""),"Good")</f>
        <v>Good</v>
      </c>
      <c r="AC333" t="str">
        <f>IFERROR(__xludf.DUMMYFUNCTION("""COMPUTED_VALUE"""),"Good")</f>
        <v>Good</v>
      </c>
      <c r="AE333" s="11"/>
      <c r="AF333" t="s">
        <v>218</v>
      </c>
      <c r="AG333" s="17" t="s">
        <v>43</v>
      </c>
      <c r="AH333" s="12">
        <v>1215.0</v>
      </c>
      <c r="AI333" s="12" t="s">
        <v>951</v>
      </c>
      <c r="AJ333" s="19" t="s">
        <v>952</v>
      </c>
      <c r="AK333" s="20" t="str">
        <f>HYPERLINK("https://docs.google.com/document/d/1uTQ3cRptrbH2rU6bifYJQOp03goG-mR9xEJElr8rAvw/edit?usp=drivesdk","Silas Tanner - 7/9/2019 11:10 AM")</f>
        <v>Silas Tanner - 7/9/2019 11:10 AM</v>
      </c>
      <c r="AL333" s="12" t="s">
        <v>953</v>
      </c>
    </row>
    <row r="334">
      <c r="A334" s="10">
        <f>IFERROR(__xludf.DUMMYFUNCTION("""COMPUTED_VALUE"""),43657.346283391205)</f>
        <v>43657.34628</v>
      </c>
      <c r="B334" s="11" t="str">
        <f>IFERROR(__xludf.DUMMYFUNCTION("""COMPUTED_VALUE"""),"Jimmy")</f>
        <v>Jimmy</v>
      </c>
      <c r="C334" t="str">
        <f>IFERROR(__xludf.DUMMYFUNCTION("""COMPUTED_VALUE"""),"james.tomazinis@floridadep.gov")</f>
        <v>james.tomazinis@floridadep.gov</v>
      </c>
      <c r="D334" t="str">
        <f>IFERROR(__xludf.DUMMYFUNCTION("""COMPUTED_VALUE"""),"Stewardship (Aquatic)")</f>
        <v>Stewardship (Aquatic)</v>
      </c>
      <c r="E334" t="str">
        <f>IFERROR(__xludf.DUMMYFUNCTION("""COMPUTED_VALUE"""),"Vilano")</f>
        <v>Vilano</v>
      </c>
      <c r="F334" s="13">
        <f>IFERROR(__xludf.DUMMYFUNCTION("""COMPUTED_VALUE"""),0.3854166666678793)</f>
        <v>0.3854166667</v>
      </c>
      <c r="G334" s="14">
        <f>IFERROR(__xludf.DUMMYFUNCTION("""COMPUTED_VALUE"""),43657.0)</f>
        <v>43657</v>
      </c>
      <c r="H334" t="str">
        <f>IFERROR(__xludf.DUMMYFUNCTION("""COMPUTED_VALUE"""),"Tolomato Nekton Sites")</f>
        <v>Tolomato Nekton Sites</v>
      </c>
      <c r="I334" s="15">
        <f>IFERROR(__xludf.DUMMYFUNCTION("""COMPUTED_VALUE"""),0.6875)</f>
        <v>0.6875</v>
      </c>
      <c r="J334" s="16"/>
      <c r="K334" t="str">
        <f>IFERROR(__xludf.DUMMYFUNCTION("""COMPUTED_VALUE"""),"23ft Skiff (Bertha) FL7972LJ DEP07613")</f>
        <v>23ft Skiff (Bertha) FL7972LJ DEP07613</v>
      </c>
      <c r="M334" t="str">
        <f>IFERROR(__xludf.DUMMYFUNCTION("""COMPUTED_VALUE"""),"Ford F150 2015 (White) - DEP21448")</f>
        <v>Ford F150 2015 (White) - DEP21448</v>
      </c>
      <c r="N334" t="str">
        <f>IFERROR(__xludf.DUMMYFUNCTION("""COMPUTED_VALUE"""),"Jimmy Tomazinis, (904) 547-0094")</f>
        <v>Jimmy Tomazinis, (904) 547-0094</v>
      </c>
      <c r="O334" t="str">
        <f>IFERROR(__xludf.DUMMYFUNCTION("""COMPUTED_VALUE"""),"Dickson, Amy, Jeff, Raymond")</f>
        <v>Dickson, Amy, Jeff, Raymond</v>
      </c>
      <c r="P334" t="str">
        <f>IFERROR(__xludf.DUMMYFUNCTION("""COMPUTED_VALUE"""),"Jimmy")</f>
        <v>Jimmy</v>
      </c>
      <c r="Q334" t="str">
        <f>IFERROR(__xludf.DUMMYFUNCTION("""COMPUTED_VALUE"""),"Good")</f>
        <v>Good</v>
      </c>
      <c r="R334" t="str">
        <f>IFERROR(__xludf.DUMMYFUNCTION("""COMPUTED_VALUE"""),"Good")</f>
        <v>Good</v>
      </c>
      <c r="S334" t="str">
        <f>IFERROR(__xludf.DUMMYFUNCTION("""COMPUTED_VALUE"""),"Good")</f>
        <v>Good</v>
      </c>
      <c r="T334" t="str">
        <f>IFERROR(__xludf.DUMMYFUNCTION("""COMPUTED_VALUE"""),"Good")</f>
        <v>Good</v>
      </c>
      <c r="U334" t="str">
        <f>IFERROR(__xludf.DUMMYFUNCTION("""COMPUTED_VALUE"""),"Good")</f>
        <v>Good</v>
      </c>
      <c r="V334" t="str">
        <f>IFERROR(__xludf.DUMMYFUNCTION("""COMPUTED_VALUE"""),"Good")</f>
        <v>Good</v>
      </c>
      <c r="W334" t="str">
        <f>IFERROR(__xludf.DUMMYFUNCTION("""COMPUTED_VALUE"""),"Good")</f>
        <v>Good</v>
      </c>
      <c r="X334" t="str">
        <f>IFERROR(__xludf.DUMMYFUNCTION("""COMPUTED_VALUE"""),"Good")</f>
        <v>Good</v>
      </c>
      <c r="Y334" t="str">
        <f>IFERROR(__xludf.DUMMYFUNCTION("""COMPUTED_VALUE"""),"Good")</f>
        <v>Good</v>
      </c>
      <c r="Z334" t="str">
        <f>IFERROR(__xludf.DUMMYFUNCTION("""COMPUTED_VALUE"""),"Good")</f>
        <v>Good</v>
      </c>
      <c r="AA334" t="str">
        <f>IFERROR(__xludf.DUMMYFUNCTION("""COMPUTED_VALUE"""),"Good")</f>
        <v>Good</v>
      </c>
      <c r="AB334" t="str">
        <f>IFERROR(__xludf.DUMMYFUNCTION("""COMPUTED_VALUE"""),"Good")</f>
        <v>Good</v>
      </c>
      <c r="AC334" t="str">
        <f>IFERROR(__xludf.DUMMYFUNCTION("""COMPUTED_VALUE"""),"Good")</f>
        <v>Good</v>
      </c>
      <c r="AE334" s="11"/>
      <c r="AF334" t="s">
        <v>32</v>
      </c>
      <c r="AG334" s="17" t="s">
        <v>18</v>
      </c>
      <c r="AH334" s="12">
        <v>1550.0</v>
      </c>
      <c r="AI334" s="12" t="s">
        <v>954</v>
      </c>
      <c r="AJ334" s="19" t="s">
        <v>955</v>
      </c>
      <c r="AK334" s="20" t="str">
        <f>HYPERLINK("https://docs.google.com/document/d/1aBGvsEHCirIyyRknTERtRhpAFTNHS0JnXUlFaT1v4cE/edit?usp=drivesdk","Jimmy - 7/11/2019 9:15 AM")</f>
        <v>Jimmy - 7/11/2019 9:15 AM</v>
      </c>
      <c r="AL334" s="12" t="s">
        <v>956</v>
      </c>
    </row>
    <row r="335">
      <c r="A335" s="10">
        <f>IFERROR(__xludf.DUMMYFUNCTION("""COMPUTED_VALUE"""),43657.418944791665)</f>
        <v>43657.41894</v>
      </c>
      <c r="B335" s="11" t="str">
        <f>IFERROR(__xludf.DUMMYFUNCTION("""COMPUTED_VALUE"""),"Pam Marcum")</f>
        <v>Pam Marcum</v>
      </c>
      <c r="C335" t="str">
        <f>IFERROR(__xludf.DUMMYFUNCTION("""COMPUTED_VALUE"""),"Pamela.Marcum@dep.state.fl.us")</f>
        <v>Pamela.Marcum@dep.state.fl.us</v>
      </c>
      <c r="D335" t="str">
        <f>IFERROR(__xludf.DUMMYFUNCTION("""COMPUTED_VALUE"""),"Research/Nikki")</f>
        <v>Research/Nikki</v>
      </c>
      <c r="E335" t="str">
        <f>IFERROR(__xludf.DUMMYFUNCTION("""COMPUTED_VALUE"""),"Green Rd")</f>
        <v>Green Rd</v>
      </c>
      <c r="F335" s="13">
        <f>IFERROR(__xludf.DUMMYFUNCTION("""COMPUTED_VALUE"""),0.4166666666678793)</f>
        <v>0.4166666667</v>
      </c>
      <c r="G335" s="14">
        <f>IFERROR(__xludf.DUMMYFUNCTION("""COMPUTED_VALUE"""),43657.0)</f>
        <v>43657</v>
      </c>
      <c r="H335" t="str">
        <f>IFERROR(__xludf.DUMMYFUNCTION("""COMPUTED_VALUE"""),"Devil's Elbow")</f>
        <v>Devil's Elbow</v>
      </c>
      <c r="I335" s="15">
        <f>IFERROR(__xludf.DUMMYFUNCTION("""COMPUTED_VALUE"""),0.5833333333321207)</f>
        <v>0.5833333333</v>
      </c>
      <c r="J335" s="16">
        <f>IFERROR(__xludf.DUMMYFUNCTION("""COMPUTED_VALUE"""),43657.60416666667)</f>
        <v>43657.60417</v>
      </c>
      <c r="K335" t="str">
        <f>IFERROR(__xludf.DUMMYFUNCTION("""COMPUTED_VALUE"""),"17ft Skill FL0642GW DEP07239")</f>
        <v>17ft Skill FL0642GW DEP07239</v>
      </c>
      <c r="M335" t="str">
        <f>IFERROR(__xludf.DUMMYFUNCTION("""COMPUTED_VALUE"""),"2018 F150 AP truck")</f>
        <v>2018 F150 AP truck</v>
      </c>
      <c r="N335" t="str">
        <f>IFERROR(__xludf.DUMMYFUNCTION("""COMPUTED_VALUE"""),"Pam Marcum, (480) 332-5414")</f>
        <v>Pam Marcum, (480) 332-5414</v>
      </c>
      <c r="O335" t="str">
        <f>IFERROR(__xludf.DUMMYFUNCTION("""COMPUTED_VALUE"""),"Adrienne Breef-Pilz, Nicole Peckham, David Kimbro")</f>
        <v>Adrienne Breef-Pilz, Nicole Peckham, David Kimbro</v>
      </c>
      <c r="P335" t="str">
        <f>IFERROR(__xludf.DUMMYFUNCTION("""COMPUTED_VALUE"""),"Pam")</f>
        <v>Pam</v>
      </c>
      <c r="Q335" t="str">
        <f>IFERROR(__xludf.DUMMYFUNCTION("""COMPUTED_VALUE"""),"Good")</f>
        <v>Good</v>
      </c>
      <c r="R335" t="str">
        <f>IFERROR(__xludf.DUMMYFUNCTION("""COMPUTED_VALUE"""),"Good")</f>
        <v>Good</v>
      </c>
      <c r="S335" t="str">
        <f>IFERROR(__xludf.DUMMYFUNCTION("""COMPUTED_VALUE"""),"Good")</f>
        <v>Good</v>
      </c>
      <c r="T335" t="str">
        <f>IFERROR(__xludf.DUMMYFUNCTION("""COMPUTED_VALUE"""),"Good")</f>
        <v>Good</v>
      </c>
      <c r="U335" t="str">
        <f>IFERROR(__xludf.DUMMYFUNCTION("""COMPUTED_VALUE"""),"Good")</f>
        <v>Good</v>
      </c>
      <c r="V335" t="str">
        <f>IFERROR(__xludf.DUMMYFUNCTION("""COMPUTED_VALUE"""),"Good")</f>
        <v>Good</v>
      </c>
      <c r="W335" t="str">
        <f>IFERROR(__xludf.DUMMYFUNCTION("""COMPUTED_VALUE"""),"Good")</f>
        <v>Good</v>
      </c>
      <c r="X335" t="str">
        <f>IFERROR(__xludf.DUMMYFUNCTION("""COMPUTED_VALUE"""),"Good")</f>
        <v>Good</v>
      </c>
      <c r="Y335" t="str">
        <f>IFERROR(__xludf.DUMMYFUNCTION("""COMPUTED_VALUE"""),"Good")</f>
        <v>Good</v>
      </c>
      <c r="Z335" t="str">
        <f>IFERROR(__xludf.DUMMYFUNCTION("""COMPUTED_VALUE"""),"Good")</f>
        <v>Good</v>
      </c>
      <c r="AA335" t="str">
        <f>IFERROR(__xludf.DUMMYFUNCTION("""COMPUTED_VALUE"""),"Good")</f>
        <v>Good</v>
      </c>
      <c r="AB335" t="str">
        <f>IFERROR(__xludf.DUMMYFUNCTION("""COMPUTED_VALUE"""),"Good")</f>
        <v>Good</v>
      </c>
      <c r="AC335" t="str">
        <f>IFERROR(__xludf.DUMMYFUNCTION("""COMPUTED_VALUE"""),"Good")</f>
        <v>Good</v>
      </c>
      <c r="AE335" s="11"/>
      <c r="AF335" t="s">
        <v>218</v>
      </c>
      <c r="AG335" s="17" t="s">
        <v>128</v>
      </c>
      <c r="AH335" s="12">
        <v>1450.0</v>
      </c>
      <c r="AI335" s="12" t="s">
        <v>957</v>
      </c>
      <c r="AJ335" s="19" t="s">
        <v>958</v>
      </c>
      <c r="AK335" s="20" t="str">
        <f>HYPERLINK("https://docs.google.com/document/d/1i930KaeCQlWUDAixF0akElGqD6KN0UM1R3AMA3CzBgU/edit?usp=drivesdk","Pam Marcum - 7/11/2019 10:00 AM")</f>
        <v>Pam Marcum - 7/11/2019 10:00 AM</v>
      </c>
      <c r="AL335" s="12" t="s">
        <v>959</v>
      </c>
    </row>
    <row r="336">
      <c r="A336" s="10">
        <f>IFERROR(__xludf.DUMMYFUNCTION("""COMPUTED_VALUE"""),43658.41978898148)</f>
        <v>43658.41979</v>
      </c>
      <c r="B336" s="11" t="str">
        <f>IFERROR(__xludf.DUMMYFUNCTION("""COMPUTED_VALUE"""),"Pamela Marcum")</f>
        <v>Pamela Marcum</v>
      </c>
      <c r="C336" t="str">
        <f>IFERROR(__xludf.DUMMYFUNCTION("""COMPUTED_VALUE"""),"pamela.marcum@Floridadep.gov")</f>
        <v>pamela.marcum@Floridadep.gov</v>
      </c>
      <c r="D336" t="str">
        <f>IFERROR(__xludf.DUMMYFUNCTION("""COMPUTED_VALUE"""),"Research/Nikki")</f>
        <v>Research/Nikki</v>
      </c>
      <c r="E336" t="str">
        <f>IFERROR(__xludf.DUMMYFUNCTION("""COMPUTED_VALUE"""),"Green rd")</f>
        <v>Green rd</v>
      </c>
      <c r="F336" s="13">
        <f>IFERROR(__xludf.DUMMYFUNCTION("""COMPUTED_VALUE"""),0.4166666666678793)</f>
        <v>0.4166666667</v>
      </c>
      <c r="G336" s="14">
        <f>IFERROR(__xludf.DUMMYFUNCTION("""COMPUTED_VALUE"""),43658.0)</f>
        <v>43658</v>
      </c>
      <c r="H336" t="str">
        <f>IFERROR(__xludf.DUMMYFUNCTION("""COMPUTED_VALUE"""),"Moses flats")</f>
        <v>Moses flats</v>
      </c>
      <c r="I336" s="15">
        <f>IFERROR(__xludf.DUMMYFUNCTION("""COMPUTED_VALUE"""),0.6666666666678793)</f>
        <v>0.6666666667</v>
      </c>
      <c r="J336" s="16">
        <f>IFERROR(__xludf.DUMMYFUNCTION("""COMPUTED_VALUE"""),43658.6875)</f>
        <v>43658.6875</v>
      </c>
      <c r="K336" t="str">
        <f>IFERROR(__xludf.DUMMYFUNCTION("""COMPUTED_VALUE"""),"17ft Skill FL0642GW DEP07239")</f>
        <v>17ft Skill FL0642GW DEP07239</v>
      </c>
      <c r="M336" t="str">
        <f>IFERROR(__xludf.DUMMYFUNCTION("""COMPUTED_VALUE"""),"2018 f150 AP")</f>
        <v>2018 f150 AP</v>
      </c>
      <c r="N336" t="str">
        <f>IFERROR(__xludf.DUMMYFUNCTION("""COMPUTED_VALUE"""),"Pam Marcum, (480) 332-5414")</f>
        <v>Pam Marcum, (480) 332-5414</v>
      </c>
      <c r="O336" t="str">
        <f>IFERROR(__xludf.DUMMYFUNCTION("""COMPUTED_VALUE"""),"Nicole Peckham, Adrienne Breef-Pilz, David Kimbro, Allison Noble")</f>
        <v>Nicole Peckham, Adrienne Breef-Pilz, David Kimbro, Allison Noble</v>
      </c>
      <c r="P336" t="str">
        <f>IFERROR(__xludf.DUMMYFUNCTION("""COMPUTED_VALUE"""),"Pam")</f>
        <v>Pam</v>
      </c>
      <c r="Q336" t="str">
        <f>IFERROR(__xludf.DUMMYFUNCTION("""COMPUTED_VALUE"""),"Good")</f>
        <v>Good</v>
      </c>
      <c r="R336" t="str">
        <f>IFERROR(__xludf.DUMMYFUNCTION("""COMPUTED_VALUE"""),"Good")</f>
        <v>Good</v>
      </c>
      <c r="S336" t="str">
        <f>IFERROR(__xludf.DUMMYFUNCTION("""COMPUTED_VALUE"""),"Good")</f>
        <v>Good</v>
      </c>
      <c r="T336" t="str">
        <f>IFERROR(__xludf.DUMMYFUNCTION("""COMPUTED_VALUE"""),"Good")</f>
        <v>Good</v>
      </c>
      <c r="U336" t="str">
        <f>IFERROR(__xludf.DUMMYFUNCTION("""COMPUTED_VALUE"""),"Good")</f>
        <v>Good</v>
      </c>
      <c r="V336" t="str">
        <f>IFERROR(__xludf.DUMMYFUNCTION("""COMPUTED_VALUE"""),"Good")</f>
        <v>Good</v>
      </c>
      <c r="W336" t="str">
        <f>IFERROR(__xludf.DUMMYFUNCTION("""COMPUTED_VALUE"""),"Good")</f>
        <v>Good</v>
      </c>
      <c r="X336" t="str">
        <f>IFERROR(__xludf.DUMMYFUNCTION("""COMPUTED_VALUE"""),"Good")</f>
        <v>Good</v>
      </c>
      <c r="Y336" t="str">
        <f>IFERROR(__xludf.DUMMYFUNCTION("""COMPUTED_VALUE"""),"Good")</f>
        <v>Good</v>
      </c>
      <c r="Z336" t="str">
        <f>IFERROR(__xludf.DUMMYFUNCTION("""COMPUTED_VALUE"""),"Good")</f>
        <v>Good</v>
      </c>
      <c r="AA336" t="str">
        <f>IFERROR(__xludf.DUMMYFUNCTION("""COMPUTED_VALUE"""),"Good")</f>
        <v>Good</v>
      </c>
      <c r="AB336" t="str">
        <f>IFERROR(__xludf.DUMMYFUNCTION("""COMPUTED_VALUE"""),"Good")</f>
        <v>Good</v>
      </c>
      <c r="AC336" t="str">
        <f>IFERROR(__xludf.DUMMYFUNCTION("""COMPUTED_VALUE"""),"Good")</f>
        <v>Good</v>
      </c>
      <c r="AE336" s="11"/>
      <c r="AF336" t="s">
        <v>218</v>
      </c>
      <c r="AG336" s="17" t="s">
        <v>128</v>
      </c>
      <c r="AH336" s="12">
        <v>1435.0</v>
      </c>
      <c r="AI336" s="12" t="s">
        <v>960</v>
      </c>
      <c r="AJ336" s="19" t="s">
        <v>961</v>
      </c>
      <c r="AK336" s="20" t="str">
        <f>HYPERLINK("https://docs.google.com/document/d/1fsp2VE6J3eq1qlBaOs9_c3VwCKjWu0Kv5nHjHXrgkIw/edit?usp=drivesdk","Pamela Marcum - 7/12/2019 10:00 AM")</f>
        <v>Pamela Marcum - 7/12/2019 10:00 AM</v>
      </c>
      <c r="AL336" s="12" t="s">
        <v>962</v>
      </c>
    </row>
    <row r="337">
      <c r="A337" s="10">
        <f>IFERROR(__xludf.DUMMYFUNCTION("""COMPUTED_VALUE"""),43661.31049437499)</f>
        <v>43661.31049</v>
      </c>
      <c r="B337" s="11" t="str">
        <f>IFERROR(__xludf.DUMMYFUNCTION("""COMPUTED_VALUE"""),"S. Tanner")</f>
        <v>S. Tanner</v>
      </c>
      <c r="C337" t="str">
        <f>IFERROR(__xludf.DUMMYFUNCTION("""COMPUTED_VALUE"""),"silas.tanner@floridadep.gov")</f>
        <v>silas.tanner@floridadep.gov</v>
      </c>
      <c r="D337" t="str">
        <f>IFERROR(__xludf.DUMMYFUNCTION("""COMPUTED_VALUE"""),"Research/Nikki")</f>
        <v>Research/Nikki</v>
      </c>
      <c r="E337" t="str">
        <f>IFERROR(__xludf.DUMMYFUNCTION("""COMPUTED_VALUE"""),"Vilano landing")</f>
        <v>Vilano landing</v>
      </c>
      <c r="F337" s="13">
        <f>IFERROR(__xludf.DUMMYFUNCTION("""COMPUTED_VALUE"""),0.32986111110949423)</f>
        <v>0.3298611111</v>
      </c>
      <c r="G337" s="14">
        <f>IFERROR(__xludf.DUMMYFUNCTION("""COMPUTED_VALUE"""),43661.0)</f>
        <v>43661</v>
      </c>
      <c r="H337" t="str">
        <f>IFERROR(__xludf.DUMMYFUNCTION("""COMPUTED_VALUE"""),"ICW SWMP sites")</f>
        <v>ICW SWMP sites</v>
      </c>
      <c r="I337" s="15">
        <f>IFERROR(__xludf.DUMMYFUNCTION("""COMPUTED_VALUE"""),0.5416666666678793)</f>
        <v>0.5416666667</v>
      </c>
      <c r="J337" s="16">
        <f>IFERROR(__xludf.DUMMYFUNCTION("""COMPUTED_VALUE"""),43661.5625)</f>
        <v>43661.5625</v>
      </c>
      <c r="K337" t="str">
        <f>IFERROR(__xludf.DUMMYFUNCTION("""COMPUTED_VALUE"""),"23ft Skiff (Bertha) FL7972LJ DEP07613")</f>
        <v>23ft Skiff (Bertha) FL7972LJ DEP07613</v>
      </c>
      <c r="M337" t="str">
        <f>IFERROR(__xludf.DUMMYFUNCTION("""COMPUTED_VALUE"""),"Ford F150 2015 (White) - DEP21448")</f>
        <v>Ford F150 2015 (White) - DEP21448</v>
      </c>
      <c r="N337" t="str">
        <f>IFERROR(__xludf.DUMMYFUNCTION("""COMPUTED_VALUE"""),"Silas Tanner, (904) 483-8423")</f>
        <v>Silas Tanner, (904) 483-8423</v>
      </c>
      <c r="O337" t="str">
        <f>IFERROR(__xludf.DUMMYFUNCTION("""COMPUTED_VALUE"""),"Alee Kneoll, Jeff Finnan")</f>
        <v>Alee Kneoll, Jeff Finnan</v>
      </c>
      <c r="P337" t="str">
        <f>IFERROR(__xludf.DUMMYFUNCTION("""COMPUTED_VALUE"""),"S. Tanner")</f>
        <v>S. Tanner</v>
      </c>
      <c r="Q337" t="str">
        <f>IFERROR(__xludf.DUMMYFUNCTION("""COMPUTED_VALUE"""),"Good")</f>
        <v>Good</v>
      </c>
      <c r="R337" t="str">
        <f>IFERROR(__xludf.DUMMYFUNCTION("""COMPUTED_VALUE"""),"Good")</f>
        <v>Good</v>
      </c>
      <c r="S337" t="str">
        <f>IFERROR(__xludf.DUMMYFUNCTION("""COMPUTED_VALUE"""),"Good")</f>
        <v>Good</v>
      </c>
      <c r="T337" t="str">
        <f>IFERROR(__xludf.DUMMYFUNCTION("""COMPUTED_VALUE"""),"Good")</f>
        <v>Good</v>
      </c>
      <c r="U337" t="str">
        <f>IFERROR(__xludf.DUMMYFUNCTION("""COMPUTED_VALUE"""),"Good")</f>
        <v>Good</v>
      </c>
      <c r="V337" t="str">
        <f>IFERROR(__xludf.DUMMYFUNCTION("""COMPUTED_VALUE"""),"Good")</f>
        <v>Good</v>
      </c>
      <c r="W337" t="str">
        <f>IFERROR(__xludf.DUMMYFUNCTION("""COMPUTED_VALUE"""),"Good")</f>
        <v>Good</v>
      </c>
      <c r="X337" t="str">
        <f>IFERROR(__xludf.DUMMYFUNCTION("""COMPUTED_VALUE"""),"Good")</f>
        <v>Good</v>
      </c>
      <c r="Y337" t="str">
        <f>IFERROR(__xludf.DUMMYFUNCTION("""COMPUTED_VALUE"""),"Good")</f>
        <v>Good</v>
      </c>
      <c r="Z337" t="str">
        <f>IFERROR(__xludf.DUMMYFUNCTION("""COMPUTED_VALUE"""),"Good")</f>
        <v>Good</v>
      </c>
      <c r="AA337" t="str">
        <f>IFERROR(__xludf.DUMMYFUNCTION("""COMPUTED_VALUE"""),"Good")</f>
        <v>Good</v>
      </c>
      <c r="AB337" t="str">
        <f>IFERROR(__xludf.DUMMYFUNCTION("""COMPUTED_VALUE"""),"Good")</f>
        <v>Good</v>
      </c>
      <c r="AC337" t="str">
        <f>IFERROR(__xludf.DUMMYFUNCTION("""COMPUTED_VALUE"""),"Good")</f>
        <v>Good</v>
      </c>
      <c r="AE337" s="11"/>
      <c r="AF337" t="s">
        <v>218</v>
      </c>
      <c r="AG337" s="17" t="s">
        <v>18</v>
      </c>
      <c r="AH337" s="12">
        <v>1230.0</v>
      </c>
      <c r="AI337" s="12" t="s">
        <v>963</v>
      </c>
      <c r="AJ337" s="19" t="s">
        <v>964</v>
      </c>
      <c r="AK337" s="20" t="str">
        <f>HYPERLINK("https://docs.google.com/document/d/1qfBh_O_GEYX9iCz3WJwlITP89zxKCd3VjFTCB8EEAZE/edit?usp=drivesdk","S. Tanner - 7/15/2019 7:55 AM")</f>
        <v>S. Tanner - 7/15/2019 7:55 AM</v>
      </c>
      <c r="AL337" s="12" t="s">
        <v>965</v>
      </c>
    </row>
    <row r="338">
      <c r="A338" s="10">
        <f>IFERROR(__xludf.DUMMYFUNCTION("""COMPUTED_VALUE"""),43662.61286083333)</f>
        <v>43662.61286</v>
      </c>
      <c r="B338" s="11" t="str">
        <f>IFERROR(__xludf.DUMMYFUNCTION("""COMPUTED_VALUE"""),"Jimmy")</f>
        <v>Jimmy</v>
      </c>
      <c r="C338" t="str">
        <f>IFERROR(__xludf.DUMMYFUNCTION("""COMPUTED_VALUE"""),"james.tomazinis@floridadep.gov")</f>
        <v>james.tomazinis@floridadep.gov</v>
      </c>
      <c r="D338" t="str">
        <f>IFERROR(__xludf.DUMMYFUNCTION("""COMPUTED_VALUE"""),"Stewardship (Aquatic)")</f>
        <v>Stewardship (Aquatic)</v>
      </c>
      <c r="E338" t="str">
        <f>IFERROR(__xludf.DUMMYFUNCTION("""COMPUTED_VALUE"""),"Goffinsville and Dee Dee Bartels")</f>
        <v>Goffinsville and Dee Dee Bartels</v>
      </c>
      <c r="F338" s="13">
        <f>IFERROR(__xludf.DUMMYFUNCTION("""COMPUTED_VALUE"""),0.40625)</f>
        <v>0.40625</v>
      </c>
      <c r="G338" s="14">
        <f>IFERROR(__xludf.DUMMYFUNCTION("""COMPUTED_VALUE"""),43662.0)</f>
        <v>43662</v>
      </c>
      <c r="H338" t="str">
        <f>IFERROR(__xludf.DUMMYFUNCTION("""COMPUTED_VALUE"""),"NEAP WQ sites")</f>
        <v>NEAP WQ sites</v>
      </c>
      <c r="I338" s="15">
        <f>IFERROR(__xludf.DUMMYFUNCTION("""COMPUTED_VALUE"""),0.6666666666678793)</f>
        <v>0.6666666667</v>
      </c>
      <c r="J338" s="16"/>
      <c r="K338" t="str">
        <f>IFERROR(__xludf.DUMMYFUNCTION("""COMPUTED_VALUE"""),"23ft Skiff (Bertha) FL7972LJ DEP07613")</f>
        <v>23ft Skiff (Bertha) FL7972LJ DEP07613</v>
      </c>
      <c r="M338" t="str">
        <f>IFERROR(__xludf.DUMMYFUNCTION("""COMPUTED_VALUE"""),"Ford F150 2015 (White) - DEP21448")</f>
        <v>Ford F150 2015 (White) - DEP21448</v>
      </c>
      <c r="N338" t="str">
        <f>IFERROR(__xludf.DUMMYFUNCTION("""COMPUTED_VALUE"""),"Jimmy Tomazinis, (904) 547-0094")</f>
        <v>Jimmy Tomazinis, (904) 547-0094</v>
      </c>
      <c r="O338" t="str">
        <f>IFERROR(__xludf.DUMMYFUNCTION("""COMPUTED_VALUE"""),"Mike Darragh")</f>
        <v>Mike Darragh</v>
      </c>
      <c r="P338" t="str">
        <f>IFERROR(__xludf.DUMMYFUNCTION("""COMPUTED_VALUE"""),"Jimmy")</f>
        <v>Jimmy</v>
      </c>
      <c r="Q338" t="str">
        <f>IFERROR(__xludf.DUMMYFUNCTION("""COMPUTED_VALUE"""),"Good")</f>
        <v>Good</v>
      </c>
      <c r="R338" t="str">
        <f>IFERROR(__xludf.DUMMYFUNCTION("""COMPUTED_VALUE"""),"Good")</f>
        <v>Good</v>
      </c>
      <c r="S338" t="str">
        <f>IFERROR(__xludf.DUMMYFUNCTION("""COMPUTED_VALUE"""),"Good")</f>
        <v>Good</v>
      </c>
      <c r="T338" t="str">
        <f>IFERROR(__xludf.DUMMYFUNCTION("""COMPUTED_VALUE"""),"Good")</f>
        <v>Good</v>
      </c>
      <c r="U338" t="str">
        <f>IFERROR(__xludf.DUMMYFUNCTION("""COMPUTED_VALUE"""),"Good")</f>
        <v>Good</v>
      </c>
      <c r="V338" t="str">
        <f>IFERROR(__xludf.DUMMYFUNCTION("""COMPUTED_VALUE"""),"Good")</f>
        <v>Good</v>
      </c>
      <c r="W338" t="str">
        <f>IFERROR(__xludf.DUMMYFUNCTION("""COMPUTED_VALUE"""),"Good")</f>
        <v>Good</v>
      </c>
      <c r="X338" t="str">
        <f>IFERROR(__xludf.DUMMYFUNCTION("""COMPUTED_VALUE"""),"Good")</f>
        <v>Good</v>
      </c>
      <c r="Y338" t="str">
        <f>IFERROR(__xludf.DUMMYFUNCTION("""COMPUTED_VALUE"""),"Good")</f>
        <v>Good</v>
      </c>
      <c r="Z338" t="str">
        <f>IFERROR(__xludf.DUMMYFUNCTION("""COMPUTED_VALUE"""),"Good")</f>
        <v>Good</v>
      </c>
      <c r="AA338" t="str">
        <f>IFERROR(__xludf.DUMMYFUNCTION("""COMPUTED_VALUE"""),"Good")</f>
        <v>Good</v>
      </c>
      <c r="AB338" t="str">
        <f>IFERROR(__xludf.DUMMYFUNCTION("""COMPUTED_VALUE"""),"Good")</f>
        <v>Good</v>
      </c>
      <c r="AC338" t="str">
        <f>IFERROR(__xludf.DUMMYFUNCTION("""COMPUTED_VALUE"""),"Good")</f>
        <v>Good</v>
      </c>
      <c r="AE338" s="11"/>
      <c r="AF338" t="s">
        <v>32</v>
      </c>
      <c r="AG338" s="18"/>
      <c r="AI338" s="12" t="s">
        <v>966</v>
      </c>
      <c r="AJ338" s="19" t="s">
        <v>967</v>
      </c>
      <c r="AK338" s="20" t="str">
        <f>HYPERLINK("https://docs.google.com/document/d/1ZCXGxgcM0SMf47GDz2P2nEKQwWPen_IopWAdo9gZUe8/edit?usp=drivesdk","Jimmy - 7/16/2019 9:45 AM")</f>
        <v>Jimmy - 7/16/2019 9:45 AM</v>
      </c>
      <c r="AL338" s="12" t="s">
        <v>968</v>
      </c>
    </row>
    <row r="339">
      <c r="A339" s="10">
        <f>IFERROR(__xludf.DUMMYFUNCTION("""COMPUTED_VALUE"""),43662.6170340162)</f>
        <v>43662.61703</v>
      </c>
      <c r="B339" s="11" t="str">
        <f>IFERROR(__xludf.DUMMYFUNCTION("""COMPUTED_VALUE"""),"Jimmy")</f>
        <v>Jimmy</v>
      </c>
      <c r="C339" t="str">
        <f>IFERROR(__xludf.DUMMYFUNCTION("""COMPUTED_VALUE"""),"james.tomazinis@floridadep.gov")</f>
        <v>james.tomazinis@floridadep.gov</v>
      </c>
      <c r="D339" t="str">
        <f>IFERROR(__xludf.DUMMYFUNCTION("""COMPUTED_VALUE"""),"Stewardship (Aquatic)")</f>
        <v>Stewardship (Aquatic)</v>
      </c>
      <c r="E339" t="str">
        <f>IFERROR(__xludf.DUMMYFUNCTION("""COMPUTED_VALUE"""),"Goffinsville and Dee Dee Bartels")</f>
        <v>Goffinsville and Dee Dee Bartels</v>
      </c>
      <c r="F339" s="13">
        <f>IFERROR(__xludf.DUMMYFUNCTION("""COMPUTED_VALUE"""),0.40625)</f>
        <v>0.40625</v>
      </c>
      <c r="G339" s="14">
        <f>IFERROR(__xludf.DUMMYFUNCTION("""COMPUTED_VALUE"""),43663.0)</f>
        <v>43663</v>
      </c>
      <c r="H339" t="str">
        <f>IFERROR(__xludf.DUMMYFUNCTION("""COMPUTED_VALUE"""),"NEAP WQ sites")</f>
        <v>NEAP WQ sites</v>
      </c>
      <c r="I339" s="15">
        <f>IFERROR(__xludf.DUMMYFUNCTION("""COMPUTED_VALUE"""),0.6666666666678793)</f>
        <v>0.6666666667</v>
      </c>
      <c r="J339" s="16"/>
      <c r="K339" t="str">
        <f>IFERROR(__xludf.DUMMYFUNCTION("""COMPUTED_VALUE"""),"23ft Skiff (Bertha) FL7972LJ DEP07613")</f>
        <v>23ft Skiff (Bertha) FL7972LJ DEP07613</v>
      </c>
      <c r="M339" t="str">
        <f>IFERROR(__xludf.DUMMYFUNCTION("""COMPUTED_VALUE"""),"Ford F150 2015 (White) - DEP21448")</f>
        <v>Ford F150 2015 (White) - DEP21448</v>
      </c>
      <c r="N339" t="str">
        <f>IFERROR(__xludf.DUMMYFUNCTION("""COMPUTED_VALUE"""),"Jimmy Tomazinis, (904) 547-0094")</f>
        <v>Jimmy Tomazinis, (904) 547-0094</v>
      </c>
      <c r="O339" t="str">
        <f>IFERROR(__xludf.DUMMYFUNCTION("""COMPUTED_VALUE"""),"Mike Darragh")</f>
        <v>Mike Darragh</v>
      </c>
      <c r="P339" t="str">
        <f>IFERROR(__xludf.DUMMYFUNCTION("""COMPUTED_VALUE"""),"Jimmy")</f>
        <v>Jimmy</v>
      </c>
      <c r="Q339" t="str">
        <f>IFERROR(__xludf.DUMMYFUNCTION("""COMPUTED_VALUE"""),"Good")</f>
        <v>Good</v>
      </c>
      <c r="R339" t="str">
        <f>IFERROR(__xludf.DUMMYFUNCTION("""COMPUTED_VALUE"""),"Good")</f>
        <v>Good</v>
      </c>
      <c r="S339" t="str">
        <f>IFERROR(__xludf.DUMMYFUNCTION("""COMPUTED_VALUE"""),"Good")</f>
        <v>Good</v>
      </c>
      <c r="T339" t="str">
        <f>IFERROR(__xludf.DUMMYFUNCTION("""COMPUTED_VALUE"""),"Good")</f>
        <v>Good</v>
      </c>
      <c r="U339" t="str">
        <f>IFERROR(__xludf.DUMMYFUNCTION("""COMPUTED_VALUE"""),"Good")</f>
        <v>Good</v>
      </c>
      <c r="V339" t="str">
        <f>IFERROR(__xludf.DUMMYFUNCTION("""COMPUTED_VALUE"""),"Good")</f>
        <v>Good</v>
      </c>
      <c r="W339" t="str">
        <f>IFERROR(__xludf.DUMMYFUNCTION("""COMPUTED_VALUE"""),"Good")</f>
        <v>Good</v>
      </c>
      <c r="X339" t="str">
        <f>IFERROR(__xludf.DUMMYFUNCTION("""COMPUTED_VALUE"""),"Good")</f>
        <v>Good</v>
      </c>
      <c r="Y339" t="str">
        <f>IFERROR(__xludf.DUMMYFUNCTION("""COMPUTED_VALUE"""),"Good")</f>
        <v>Good</v>
      </c>
      <c r="Z339" t="str">
        <f>IFERROR(__xludf.DUMMYFUNCTION("""COMPUTED_VALUE"""),"Good")</f>
        <v>Good</v>
      </c>
      <c r="AA339" t="str">
        <f>IFERROR(__xludf.DUMMYFUNCTION("""COMPUTED_VALUE"""),"Good")</f>
        <v>Good</v>
      </c>
      <c r="AB339" t="str">
        <f>IFERROR(__xludf.DUMMYFUNCTION("""COMPUTED_VALUE"""),"Good")</f>
        <v>Good</v>
      </c>
      <c r="AC339" t="str">
        <f>IFERROR(__xludf.DUMMYFUNCTION("""COMPUTED_VALUE"""),"Good")</f>
        <v>Good</v>
      </c>
      <c r="AE339" s="11"/>
      <c r="AF339" t="s">
        <v>32</v>
      </c>
      <c r="AG339" s="17" t="s">
        <v>18</v>
      </c>
      <c r="AH339" s="12">
        <v>1400.0</v>
      </c>
      <c r="AI339" s="12" t="s">
        <v>969</v>
      </c>
      <c r="AJ339" s="19" t="s">
        <v>970</v>
      </c>
      <c r="AK339" s="20" t="str">
        <f>HYPERLINK("https://docs.google.com/document/d/1fe-2hVqu4qRXiK7uZpdjNWbt09bbNO2CMjpLNLRqic4/edit?usp=drivesdk","Jimmy - 7/17/2019 9:45 AM")</f>
        <v>Jimmy - 7/17/2019 9:45 AM</v>
      </c>
      <c r="AL339" s="12" t="s">
        <v>971</v>
      </c>
    </row>
    <row r="340">
      <c r="A340" s="10">
        <f>IFERROR(__xludf.DUMMYFUNCTION("""COMPUTED_VALUE"""),43668.730862627315)</f>
        <v>43668.73086</v>
      </c>
      <c r="B340" s="11" t="str">
        <f>IFERROR(__xludf.DUMMYFUNCTION("""COMPUTED_VALUE"""),"Jimmy")</f>
        <v>Jimmy</v>
      </c>
      <c r="C340" t="str">
        <f>IFERROR(__xludf.DUMMYFUNCTION("""COMPUTED_VALUE"""),"james.tomazinis@floridadep.gov")</f>
        <v>james.tomazinis@floridadep.gov</v>
      </c>
      <c r="D340" t="str">
        <f>IFERROR(__xludf.DUMMYFUNCTION("""COMPUTED_VALUE"""),"Stewardship (Aquatic)")</f>
        <v>Stewardship (Aquatic)</v>
      </c>
      <c r="E340" t="str">
        <f>IFERROR(__xludf.DUMMYFUNCTION("""COMPUTED_VALUE"""),"Goffinsville Park")</f>
        <v>Goffinsville Park</v>
      </c>
      <c r="F340" s="13">
        <f>IFERROR(__xludf.DUMMYFUNCTION("""COMPUTED_VALUE"""),0.375)</f>
        <v>0.375</v>
      </c>
      <c r="G340" s="14">
        <f>IFERROR(__xludf.DUMMYFUNCTION("""COMPUTED_VALUE"""),43668.0)</f>
        <v>43668</v>
      </c>
      <c r="H340" t="str">
        <f>IFERROR(__xludf.DUMMYFUNCTION("""COMPUTED_VALUE"""),"Berg dock reef")</f>
        <v>Berg dock reef</v>
      </c>
      <c r="I340" s="15">
        <f>IFERROR(__xludf.DUMMYFUNCTION("""COMPUTED_VALUE"""),0.4791666666678793)</f>
        <v>0.4791666667</v>
      </c>
      <c r="J340" s="16"/>
      <c r="K340" t="str">
        <f>IFERROR(__xludf.DUMMYFUNCTION("""COMPUTED_VALUE"""),"Jon Boat FL0484NP DEP06819")</f>
        <v>Jon Boat FL0484NP DEP06819</v>
      </c>
      <c r="M340" t="str">
        <f>IFERROR(__xludf.DUMMYFUNCTION("""COMPUTED_VALUE"""),"Ford F150 2015 (White) - DEP21448")</f>
        <v>Ford F150 2015 (White) - DEP21448</v>
      </c>
      <c r="N340" t="str">
        <f>IFERROR(__xludf.DUMMYFUNCTION("""COMPUTED_VALUE"""),"Jimmy Tomazinis, (904) 547-0094")</f>
        <v>Jimmy Tomazinis, (904) 547-0094</v>
      </c>
      <c r="O340" t="str">
        <f>IFERROR(__xludf.DUMMYFUNCTION("""COMPUTED_VALUE"""),"Cameron Ramsey")</f>
        <v>Cameron Ramsey</v>
      </c>
      <c r="P340" t="str">
        <f>IFERROR(__xludf.DUMMYFUNCTION("""COMPUTED_VALUE"""),"Jimmy")</f>
        <v>Jimmy</v>
      </c>
      <c r="Q340" t="str">
        <f>IFERROR(__xludf.DUMMYFUNCTION("""COMPUTED_VALUE"""),"Good")</f>
        <v>Good</v>
      </c>
      <c r="R340" t="str">
        <f>IFERROR(__xludf.DUMMYFUNCTION("""COMPUTED_VALUE"""),"Good")</f>
        <v>Good</v>
      </c>
      <c r="S340" t="str">
        <f>IFERROR(__xludf.DUMMYFUNCTION("""COMPUTED_VALUE"""),"Good")</f>
        <v>Good</v>
      </c>
      <c r="T340" t="str">
        <f>IFERROR(__xludf.DUMMYFUNCTION("""COMPUTED_VALUE"""),"Good")</f>
        <v>Good</v>
      </c>
      <c r="U340" t="str">
        <f>IFERROR(__xludf.DUMMYFUNCTION("""COMPUTED_VALUE"""),"Good")</f>
        <v>Good</v>
      </c>
      <c r="V340" t="str">
        <f>IFERROR(__xludf.DUMMYFUNCTION("""COMPUTED_VALUE"""),"Good")</f>
        <v>Good</v>
      </c>
      <c r="W340" t="str">
        <f>IFERROR(__xludf.DUMMYFUNCTION("""COMPUTED_VALUE"""),"Good")</f>
        <v>Good</v>
      </c>
      <c r="X340" t="str">
        <f>IFERROR(__xludf.DUMMYFUNCTION("""COMPUTED_VALUE"""),"Good")</f>
        <v>Good</v>
      </c>
      <c r="Y340" t="str">
        <f>IFERROR(__xludf.DUMMYFUNCTION("""COMPUTED_VALUE"""),"Good")</f>
        <v>Good</v>
      </c>
      <c r="Z340" t="str">
        <f>IFERROR(__xludf.DUMMYFUNCTION("""COMPUTED_VALUE"""),"Good")</f>
        <v>Good</v>
      </c>
      <c r="AA340" t="str">
        <f>IFERROR(__xludf.DUMMYFUNCTION("""COMPUTED_VALUE"""),"Good")</f>
        <v>Good</v>
      </c>
      <c r="AB340" t="str">
        <f>IFERROR(__xludf.DUMMYFUNCTION("""COMPUTED_VALUE"""),"Good")</f>
        <v>Good</v>
      </c>
      <c r="AC340" t="str">
        <f>IFERROR(__xludf.DUMMYFUNCTION("""COMPUTED_VALUE"""),"Good")</f>
        <v>Good</v>
      </c>
      <c r="AE340" s="11"/>
      <c r="AF340" t="s">
        <v>32</v>
      </c>
      <c r="AG340" s="17" t="s">
        <v>18</v>
      </c>
      <c r="AH340" s="12">
        <v>1050.0</v>
      </c>
      <c r="AI340" s="12" t="s">
        <v>972</v>
      </c>
      <c r="AJ340" s="19" t="s">
        <v>973</v>
      </c>
      <c r="AK340" s="20" t="str">
        <f>HYPERLINK("https://docs.google.com/document/d/1MyR0KwbVK6DLOQXHSWopn30pPwPKufzUXd-DVwHJfoc/edit?usp=drivesdk","Jimmy - 7/22/2019 9:00 AM")</f>
        <v>Jimmy - 7/22/2019 9:00 AM</v>
      </c>
      <c r="AL340" s="12" t="s">
        <v>974</v>
      </c>
    </row>
    <row r="341">
      <c r="A341" s="10">
        <f>IFERROR(__xludf.DUMMYFUNCTION("""COMPUTED_VALUE"""),43670.28175126157)</f>
        <v>43670.28175</v>
      </c>
      <c r="B341" s="11" t="str">
        <f>IFERROR(__xludf.DUMMYFUNCTION("""COMPUTED_VALUE"""),"Pamela Marcum")</f>
        <v>Pamela Marcum</v>
      </c>
      <c r="C341" t="str">
        <f>IFERROR(__xludf.DUMMYFUNCTION("""COMPUTED_VALUE"""),"Pamela.Marcum@FloridaDEP.gov")</f>
        <v>Pamela.Marcum@FloridaDEP.gov</v>
      </c>
      <c r="D341" t="str">
        <f>IFERROR(__xludf.DUMMYFUNCTION("""COMPUTED_VALUE"""),"Research/Nikki")</f>
        <v>Research/Nikki</v>
      </c>
      <c r="E341" t="str">
        <f>IFERROR(__xludf.DUMMYFUNCTION("""COMPUTED_VALUE"""),"Aunt Kate's")</f>
        <v>Aunt Kate's</v>
      </c>
      <c r="F341" s="13">
        <f>IFERROR(__xludf.DUMMYFUNCTION("""COMPUTED_VALUE"""),0.2916666666678793)</f>
        <v>0.2916666667</v>
      </c>
      <c r="G341" s="14">
        <f>IFERROR(__xludf.DUMMYFUNCTION("""COMPUTED_VALUE"""),43670.0)</f>
        <v>43670</v>
      </c>
      <c r="H341" t="str">
        <f>IFERROR(__xludf.DUMMYFUNCTION("""COMPUTED_VALUE"""),"Guana/Tolomato Rivers")</f>
        <v>Guana/Tolomato Rivers</v>
      </c>
      <c r="I341" s="15">
        <f>IFERROR(__xludf.DUMMYFUNCTION("""COMPUTED_VALUE"""),0.5833333333321207)</f>
        <v>0.5833333333</v>
      </c>
      <c r="J341" s="16">
        <f>IFERROR(__xludf.DUMMYFUNCTION("""COMPUTED_VALUE"""),43670.60416666667)</f>
        <v>43670.60417</v>
      </c>
      <c r="K341" t="str">
        <f>IFERROR(__xludf.DUMMYFUNCTION("""COMPUTED_VALUE"""),"17ft Skill FL0642GW DEP07239")</f>
        <v>17ft Skill FL0642GW DEP07239</v>
      </c>
      <c r="M341" t="str">
        <f>IFERROR(__xludf.DUMMYFUNCTION("""COMPUTED_VALUE"""),"Ford F250 2017 (Moby Dix) - DEP0021578")</f>
        <v>Ford F250 2017 (Moby Dix) - DEP0021578</v>
      </c>
      <c r="N341" t="str">
        <f>IFERROR(__xludf.DUMMYFUNCTION("""COMPUTED_VALUE"""),"Pam Marcum, (480) 332-5414")</f>
        <v>Pam Marcum, (480) 332-5414</v>
      </c>
      <c r="O341" t="str">
        <f>IFERROR(__xludf.DUMMYFUNCTION("""COMPUTED_VALUE"""),"David Kimbro, Adrienne Breef-Pilz, Nicole Peckham, Allison Noble")</f>
        <v>David Kimbro, Adrienne Breef-Pilz, Nicole Peckham, Allison Noble</v>
      </c>
      <c r="P341" t="str">
        <f>IFERROR(__xludf.DUMMYFUNCTION("""COMPUTED_VALUE"""),"Pam")</f>
        <v>Pam</v>
      </c>
      <c r="Q341" t="str">
        <f>IFERROR(__xludf.DUMMYFUNCTION("""COMPUTED_VALUE"""),"Good")</f>
        <v>Good</v>
      </c>
      <c r="R341" t="str">
        <f>IFERROR(__xludf.DUMMYFUNCTION("""COMPUTED_VALUE"""),"Good")</f>
        <v>Good</v>
      </c>
      <c r="S341" t="str">
        <f>IFERROR(__xludf.DUMMYFUNCTION("""COMPUTED_VALUE"""),"Good")</f>
        <v>Good</v>
      </c>
      <c r="T341" t="str">
        <f>IFERROR(__xludf.DUMMYFUNCTION("""COMPUTED_VALUE"""),"Good")</f>
        <v>Good</v>
      </c>
      <c r="U341" t="str">
        <f>IFERROR(__xludf.DUMMYFUNCTION("""COMPUTED_VALUE"""),"Good")</f>
        <v>Good</v>
      </c>
      <c r="V341" t="str">
        <f>IFERROR(__xludf.DUMMYFUNCTION("""COMPUTED_VALUE"""),"Good")</f>
        <v>Good</v>
      </c>
      <c r="W341" t="str">
        <f>IFERROR(__xludf.DUMMYFUNCTION("""COMPUTED_VALUE"""),"Good")</f>
        <v>Good</v>
      </c>
      <c r="X341" t="str">
        <f>IFERROR(__xludf.DUMMYFUNCTION("""COMPUTED_VALUE"""),"Good")</f>
        <v>Good</v>
      </c>
      <c r="Y341" t="str">
        <f>IFERROR(__xludf.DUMMYFUNCTION("""COMPUTED_VALUE"""),"Good")</f>
        <v>Good</v>
      </c>
      <c r="Z341" t="str">
        <f>IFERROR(__xludf.DUMMYFUNCTION("""COMPUTED_VALUE"""),"Good")</f>
        <v>Good</v>
      </c>
      <c r="AA341" t="str">
        <f>IFERROR(__xludf.DUMMYFUNCTION("""COMPUTED_VALUE"""),"Good")</f>
        <v>Good</v>
      </c>
      <c r="AB341" t="str">
        <f>IFERROR(__xludf.DUMMYFUNCTION("""COMPUTED_VALUE"""),"Good")</f>
        <v>Good</v>
      </c>
      <c r="AC341" t="str">
        <f>IFERROR(__xludf.DUMMYFUNCTION("""COMPUTED_VALUE"""),"Good")</f>
        <v>Good</v>
      </c>
      <c r="AE341" s="11"/>
      <c r="AF341" t="s">
        <v>218</v>
      </c>
      <c r="AG341" s="17" t="s">
        <v>18</v>
      </c>
      <c r="AH341" s="12">
        <v>1120.0</v>
      </c>
      <c r="AI341" s="12" t="s">
        <v>975</v>
      </c>
      <c r="AJ341" s="19" t="s">
        <v>976</v>
      </c>
      <c r="AK341" s="20" t="str">
        <f>HYPERLINK("https://docs.google.com/document/d/1DEEZagV5EBkLzROR_9oxeIWIQiNWeE6h9eGZvDKJGBc/edit?usp=drivesdk","Pamela Marcum - 7/24/2019 7:00 AM")</f>
        <v>Pamela Marcum - 7/24/2019 7:00 AM</v>
      </c>
      <c r="AL341" s="12" t="s">
        <v>977</v>
      </c>
    </row>
    <row r="342">
      <c r="A342" s="10">
        <f>IFERROR(__xludf.DUMMYFUNCTION("""COMPUTED_VALUE"""),43671.32020392361)</f>
        <v>43671.3202</v>
      </c>
      <c r="B342" s="11" t="str">
        <f>IFERROR(__xludf.DUMMYFUNCTION("""COMPUTED_VALUE"""),"Pamela Marcum")</f>
        <v>Pamela Marcum</v>
      </c>
      <c r="C342" t="str">
        <f>IFERROR(__xludf.DUMMYFUNCTION("""COMPUTED_VALUE"""),"Pamela.Marcum@FloridaDEP.gov")</f>
        <v>Pamela.Marcum@FloridaDEP.gov</v>
      </c>
      <c r="D342" t="str">
        <f>IFERROR(__xludf.DUMMYFUNCTION("""COMPUTED_VALUE"""),"Research/Nikki")</f>
        <v>Research/Nikki</v>
      </c>
      <c r="E342" t="str">
        <f>IFERROR(__xludf.DUMMYFUNCTION("""COMPUTED_VALUE"""),"Aunt Kate's")</f>
        <v>Aunt Kate's</v>
      </c>
      <c r="F342" s="13">
        <f>IFERROR(__xludf.DUMMYFUNCTION("""COMPUTED_VALUE"""),0.3333333333321207)</f>
        <v>0.3333333333</v>
      </c>
      <c r="G342" s="14">
        <f>IFERROR(__xludf.DUMMYFUNCTION("""COMPUTED_VALUE"""),43671.0)</f>
        <v>43671</v>
      </c>
      <c r="H342" t="str">
        <f>IFERROR(__xludf.DUMMYFUNCTION("""COMPUTED_VALUE"""),"Guana River")</f>
        <v>Guana River</v>
      </c>
      <c r="I342" s="15">
        <f>IFERROR(__xludf.DUMMYFUNCTION("""COMPUTED_VALUE"""),0.5416666666678793)</f>
        <v>0.5416666667</v>
      </c>
      <c r="J342" s="16">
        <f>IFERROR(__xludf.DUMMYFUNCTION("""COMPUTED_VALUE"""),43671.5625)</f>
        <v>43671.5625</v>
      </c>
      <c r="K342" t="str">
        <f>IFERROR(__xludf.DUMMYFUNCTION("""COMPUTED_VALUE"""),"17ft Skill FL0642GW DEP07239")</f>
        <v>17ft Skill FL0642GW DEP07239</v>
      </c>
      <c r="M342" t="str">
        <f>IFERROR(__xludf.DUMMYFUNCTION("""COMPUTED_VALUE"""),"Ford F250 2017 (Moby Dix) - DEP0021578")</f>
        <v>Ford F250 2017 (Moby Dix) - DEP0021578</v>
      </c>
      <c r="N342" t="str">
        <f>IFERROR(__xludf.DUMMYFUNCTION("""COMPUTED_VALUE"""),"Pam Marcum, (480) 332-5414")</f>
        <v>Pam Marcum, (480) 332-5414</v>
      </c>
      <c r="O342" t="str">
        <f>IFERROR(__xludf.DUMMYFUNCTION("""COMPUTED_VALUE"""),"David Kimbro, Nicole Peckham, Adrienne Breef-Pilz, Allison Noble")</f>
        <v>David Kimbro, Nicole Peckham, Adrienne Breef-Pilz, Allison Noble</v>
      </c>
      <c r="P342" t="str">
        <f>IFERROR(__xludf.DUMMYFUNCTION("""COMPUTED_VALUE"""),"Pam")</f>
        <v>Pam</v>
      </c>
      <c r="Q342" t="str">
        <f>IFERROR(__xludf.DUMMYFUNCTION("""COMPUTED_VALUE"""),"Good")</f>
        <v>Good</v>
      </c>
      <c r="R342" t="str">
        <f>IFERROR(__xludf.DUMMYFUNCTION("""COMPUTED_VALUE"""),"Good")</f>
        <v>Good</v>
      </c>
      <c r="S342" t="str">
        <f>IFERROR(__xludf.DUMMYFUNCTION("""COMPUTED_VALUE"""),"Good")</f>
        <v>Good</v>
      </c>
      <c r="T342" t="str">
        <f>IFERROR(__xludf.DUMMYFUNCTION("""COMPUTED_VALUE"""),"Good")</f>
        <v>Good</v>
      </c>
      <c r="U342" t="str">
        <f>IFERROR(__xludf.DUMMYFUNCTION("""COMPUTED_VALUE"""),"Good")</f>
        <v>Good</v>
      </c>
      <c r="V342" t="str">
        <f>IFERROR(__xludf.DUMMYFUNCTION("""COMPUTED_VALUE"""),"Good")</f>
        <v>Good</v>
      </c>
      <c r="W342" t="str">
        <f>IFERROR(__xludf.DUMMYFUNCTION("""COMPUTED_VALUE"""),"Good")</f>
        <v>Good</v>
      </c>
      <c r="X342" t="str">
        <f>IFERROR(__xludf.DUMMYFUNCTION("""COMPUTED_VALUE"""),"Good")</f>
        <v>Good</v>
      </c>
      <c r="Y342" t="str">
        <f>IFERROR(__xludf.DUMMYFUNCTION("""COMPUTED_VALUE"""),"Good")</f>
        <v>Good</v>
      </c>
      <c r="Z342" t="str">
        <f>IFERROR(__xludf.DUMMYFUNCTION("""COMPUTED_VALUE"""),"Good")</f>
        <v>Good</v>
      </c>
      <c r="AA342" t="str">
        <f>IFERROR(__xludf.DUMMYFUNCTION("""COMPUTED_VALUE"""),"Good")</f>
        <v>Good</v>
      </c>
      <c r="AB342" t="str">
        <f>IFERROR(__xludf.DUMMYFUNCTION("""COMPUTED_VALUE"""),"Good")</f>
        <v>Good</v>
      </c>
      <c r="AC342" t="str">
        <f>IFERROR(__xludf.DUMMYFUNCTION("""COMPUTED_VALUE"""),"Good")</f>
        <v>Good</v>
      </c>
      <c r="AE342" s="11"/>
      <c r="AF342" t="s">
        <v>218</v>
      </c>
      <c r="AG342" s="17" t="s">
        <v>448</v>
      </c>
      <c r="AH342" s="12">
        <v>1145.0</v>
      </c>
      <c r="AI342" s="12" t="s">
        <v>978</v>
      </c>
      <c r="AJ342" s="19" t="s">
        <v>979</v>
      </c>
      <c r="AK342" s="20" t="str">
        <f>HYPERLINK("https://docs.google.com/document/d/1iIShRcHBMX9s2p9ixcmfD63N4BNpzZOhUMopEgZXVXU/edit?usp=drivesdk","Pamela Marcum - 7/25/2019 8:00 AM")</f>
        <v>Pamela Marcum - 7/25/2019 8:00 AM</v>
      </c>
      <c r="AL342" s="12" t="s">
        <v>980</v>
      </c>
    </row>
    <row r="343">
      <c r="A343" s="10">
        <f>IFERROR(__xludf.DUMMYFUNCTION("""COMPUTED_VALUE"""),43672.43747729166)</f>
        <v>43672.43748</v>
      </c>
      <c r="B343" s="11" t="str">
        <f>IFERROR(__xludf.DUMMYFUNCTION("""COMPUTED_VALUE"""),"Gabriela Canas")</f>
        <v>Gabriela Canas</v>
      </c>
      <c r="C343" t="str">
        <f>IFERROR(__xludf.DUMMYFUNCTION("""COMPUTED_VALUE"""),"gabriela.canas@dwp.state.fl.us")</f>
        <v>gabriela.canas@dwp.state.fl.us</v>
      </c>
      <c r="D343" t="str">
        <f>IFERROR(__xludf.DUMMYFUNCTION("""COMPUTED_VALUE"""),"Research/Nikki")</f>
        <v>Research/Nikki</v>
      </c>
      <c r="E343" t="str">
        <f>IFERROR(__xludf.DUMMYFUNCTION("""COMPUTED_VALUE"""),"Douglas crane")</f>
        <v>Douglas crane</v>
      </c>
      <c r="F343" s="13">
        <f>IFERROR(__xludf.DUMMYFUNCTION("""COMPUTED_VALUE"""),0.4375)</f>
        <v>0.4375</v>
      </c>
      <c r="G343" s="14">
        <f>IFERROR(__xludf.DUMMYFUNCTION("""COMPUTED_VALUE"""),43672.0)</f>
        <v>43672</v>
      </c>
      <c r="H343" t="str">
        <f>IFERROR(__xludf.DUMMYFUNCTION("""COMPUTED_VALUE"""),"Icw")</f>
        <v>Icw</v>
      </c>
      <c r="I343" s="15">
        <f>IFERROR(__xludf.DUMMYFUNCTION("""COMPUTED_VALUE"""),0.5833333333321207)</f>
        <v>0.5833333333</v>
      </c>
      <c r="J343" s="16">
        <f>IFERROR(__xludf.DUMMYFUNCTION("""COMPUTED_VALUE"""),43672.125)</f>
        <v>43672.125</v>
      </c>
      <c r="K343" t="str">
        <f>IFERROR(__xludf.DUMMYFUNCTION("""COMPUTED_VALUE"""),"17ft Skill FL0642GW DEP07239")</f>
        <v>17ft Skill FL0642GW DEP07239</v>
      </c>
      <c r="M343" t="str">
        <f>IFERROR(__xludf.DUMMYFUNCTION("""COMPUTED_VALUE"""),"Ford F250 2017 (Moby Dix) - DEP0021578")</f>
        <v>Ford F250 2017 (Moby Dix) - DEP0021578</v>
      </c>
      <c r="N343" t="str">
        <f>IFERROR(__xludf.DUMMYFUNCTION("""COMPUTED_VALUE"""),"Pam Marcum, (480) 332-5414")</f>
        <v>Pam Marcum, (480) 332-5414</v>
      </c>
      <c r="O343" t="str">
        <f>IFERROR(__xludf.DUMMYFUNCTION("""COMPUTED_VALUE"""),"Gabriela Canas, (904) 891-9743, Alee knoell")</f>
        <v>Gabriela Canas, (904) 891-9743, Alee knoell</v>
      </c>
      <c r="P343" t="str">
        <f>IFERROR(__xludf.DUMMYFUNCTION("""COMPUTED_VALUE"""),"Pam marcum")</f>
        <v>Pam marcum</v>
      </c>
      <c r="Q343" t="str">
        <f>IFERROR(__xludf.DUMMYFUNCTION("""COMPUTED_VALUE"""),"Good")</f>
        <v>Good</v>
      </c>
      <c r="R343" t="str">
        <f>IFERROR(__xludf.DUMMYFUNCTION("""COMPUTED_VALUE"""),"Good")</f>
        <v>Good</v>
      </c>
      <c r="S343" t="str">
        <f>IFERROR(__xludf.DUMMYFUNCTION("""COMPUTED_VALUE"""),"Good")</f>
        <v>Good</v>
      </c>
      <c r="T343" t="str">
        <f>IFERROR(__xludf.DUMMYFUNCTION("""COMPUTED_VALUE"""),"Good")</f>
        <v>Good</v>
      </c>
      <c r="U343" t="str">
        <f>IFERROR(__xludf.DUMMYFUNCTION("""COMPUTED_VALUE"""),"Good")</f>
        <v>Good</v>
      </c>
      <c r="V343" t="str">
        <f>IFERROR(__xludf.DUMMYFUNCTION("""COMPUTED_VALUE"""),"Good")</f>
        <v>Good</v>
      </c>
      <c r="W343" t="str">
        <f>IFERROR(__xludf.DUMMYFUNCTION("""COMPUTED_VALUE"""),"Good")</f>
        <v>Good</v>
      </c>
      <c r="X343" t="str">
        <f>IFERROR(__xludf.DUMMYFUNCTION("""COMPUTED_VALUE"""),"Good")</f>
        <v>Good</v>
      </c>
      <c r="Y343" t="str">
        <f>IFERROR(__xludf.DUMMYFUNCTION("""COMPUTED_VALUE"""),"Good")</f>
        <v>Good</v>
      </c>
      <c r="Z343" t="str">
        <f>IFERROR(__xludf.DUMMYFUNCTION("""COMPUTED_VALUE"""),"Good")</f>
        <v>Good</v>
      </c>
      <c r="AA343" t="str">
        <f>IFERROR(__xludf.DUMMYFUNCTION("""COMPUTED_VALUE"""),"Good")</f>
        <v>Good</v>
      </c>
      <c r="AB343" t="str">
        <f>IFERROR(__xludf.DUMMYFUNCTION("""COMPUTED_VALUE"""),"Good")</f>
        <v>Good</v>
      </c>
      <c r="AC343" t="str">
        <f>IFERROR(__xludf.DUMMYFUNCTION("""COMPUTED_VALUE"""),"Good")</f>
        <v>Good</v>
      </c>
      <c r="AD343" t="str">
        <f>IFERROR(__xludf.DUMMYFUNCTION("""COMPUTED_VALUE"""),"Partly cloudy")</f>
        <v>Partly cloudy</v>
      </c>
      <c r="AE343" s="11" t="str">
        <f>IFERROR(__xludf.DUMMYFUNCTION("""COMPUTED_VALUE"""),"11:30low")</f>
        <v>11:30low</v>
      </c>
      <c r="AF343" t="s">
        <v>218</v>
      </c>
      <c r="AG343" s="17" t="s">
        <v>56</v>
      </c>
      <c r="AH343" s="12" t="s">
        <v>981</v>
      </c>
      <c r="AI343" s="12" t="s">
        <v>982</v>
      </c>
      <c r="AJ343" s="19" t="s">
        <v>983</v>
      </c>
      <c r="AK343" s="20" t="str">
        <f>HYPERLINK("https://docs.google.com/document/d/19iCCJZ_O23GPhy55Pb4Tax0fp71UZC6HAdOjd8p_lds/edit?usp=drivesdk","Gabriela Canas - 7/26/2019 10:30 AM")</f>
        <v>Gabriela Canas - 7/26/2019 10:30 AM</v>
      </c>
      <c r="AL343" s="12" t="s">
        <v>984</v>
      </c>
    </row>
    <row r="344">
      <c r="A344" s="10">
        <f>IFERROR(__xludf.DUMMYFUNCTION("""COMPUTED_VALUE"""),43675.724482592595)</f>
        <v>43675.72448</v>
      </c>
      <c r="B344" s="11" t="str">
        <f>IFERROR(__xludf.DUMMYFUNCTION("""COMPUTED_VALUE"""),"Silas Tanner")</f>
        <v>Silas Tanner</v>
      </c>
      <c r="C344" t="str">
        <f>IFERROR(__xludf.DUMMYFUNCTION("""COMPUTED_VALUE"""),"silas.tanner@floridadep.gov")</f>
        <v>silas.tanner@floridadep.gov</v>
      </c>
      <c r="D344" t="str">
        <f>IFERROR(__xludf.DUMMYFUNCTION("""COMPUTED_VALUE"""),"Research/Nikki")</f>
        <v>Research/Nikki</v>
      </c>
      <c r="E344" t="str">
        <f>IFERROR(__xludf.DUMMYFUNCTION("""COMPUTED_VALUE"""),"Vilano landing")</f>
        <v>Vilano landing</v>
      </c>
      <c r="F344" s="13">
        <f>IFERROR(__xludf.DUMMYFUNCTION("""COMPUTED_VALUE"""),0.3229166666678793)</f>
        <v>0.3229166667</v>
      </c>
      <c r="G344" s="14">
        <f>IFERROR(__xludf.DUMMYFUNCTION("""COMPUTED_VALUE"""),43676.0)</f>
        <v>43676</v>
      </c>
      <c r="H344" t="str">
        <f>IFERROR(__xludf.DUMMYFUNCTION("""COMPUTED_VALUE"""),"ICW SWMP sites &amp; spat oyster trees")</f>
        <v>ICW SWMP sites &amp; spat oyster trees</v>
      </c>
      <c r="I344" s="15">
        <f>IFERROR(__xludf.DUMMYFUNCTION("""COMPUTED_VALUE"""),0.6979166666678793)</f>
        <v>0.6979166667</v>
      </c>
      <c r="J344" s="16">
        <f>IFERROR(__xludf.DUMMYFUNCTION("""COMPUTED_VALUE"""),43676.70833333333)</f>
        <v>43676.70833</v>
      </c>
      <c r="K344" t="str">
        <f>IFERROR(__xludf.DUMMYFUNCTION("""COMPUTED_VALUE"""),"23ft Skiff (Bertha) FL7972LJ DEP07613")</f>
        <v>23ft Skiff (Bertha) FL7972LJ DEP07613</v>
      </c>
      <c r="M344" t="str">
        <f>IFERROR(__xludf.DUMMYFUNCTION("""COMPUTED_VALUE"""),"Ford F250 2017 (Moby Dix) - DEP0021578")</f>
        <v>Ford F250 2017 (Moby Dix) - DEP0021578</v>
      </c>
      <c r="N344" t="str">
        <f>IFERROR(__xludf.DUMMYFUNCTION("""COMPUTED_VALUE"""),"Silas Tanner, (904) 483-8423")</f>
        <v>Silas Tanner, (904) 483-8423</v>
      </c>
      <c r="O344" t="str">
        <f>IFERROR(__xludf.DUMMYFUNCTION("""COMPUTED_VALUE"""),"Alee Knowles")</f>
        <v>Alee Knowles</v>
      </c>
      <c r="P344" t="str">
        <f>IFERROR(__xludf.DUMMYFUNCTION("""COMPUTED_VALUE"""),"S. Tanner")</f>
        <v>S. Tanner</v>
      </c>
      <c r="Q344" t="str">
        <f>IFERROR(__xludf.DUMMYFUNCTION("""COMPUTED_VALUE"""),"Good")</f>
        <v>Good</v>
      </c>
      <c r="R344" t="str">
        <f>IFERROR(__xludf.DUMMYFUNCTION("""COMPUTED_VALUE"""),"Good")</f>
        <v>Good</v>
      </c>
      <c r="S344" t="str">
        <f>IFERROR(__xludf.DUMMYFUNCTION("""COMPUTED_VALUE"""),"Good")</f>
        <v>Good</v>
      </c>
      <c r="T344" t="str">
        <f>IFERROR(__xludf.DUMMYFUNCTION("""COMPUTED_VALUE"""),"Good")</f>
        <v>Good</v>
      </c>
      <c r="U344" t="str">
        <f>IFERROR(__xludf.DUMMYFUNCTION("""COMPUTED_VALUE"""),"Good")</f>
        <v>Good</v>
      </c>
      <c r="V344" t="str">
        <f>IFERROR(__xludf.DUMMYFUNCTION("""COMPUTED_VALUE"""),"Good")</f>
        <v>Good</v>
      </c>
      <c r="W344" t="str">
        <f>IFERROR(__xludf.DUMMYFUNCTION("""COMPUTED_VALUE"""),"Good")</f>
        <v>Good</v>
      </c>
      <c r="X344" t="str">
        <f>IFERROR(__xludf.DUMMYFUNCTION("""COMPUTED_VALUE"""),"Good")</f>
        <v>Good</v>
      </c>
      <c r="Y344" t="str">
        <f>IFERROR(__xludf.DUMMYFUNCTION("""COMPUTED_VALUE"""),"Good")</f>
        <v>Good</v>
      </c>
      <c r="Z344" t="str">
        <f>IFERROR(__xludf.DUMMYFUNCTION("""COMPUTED_VALUE"""),"Good")</f>
        <v>Good</v>
      </c>
      <c r="AA344" t="str">
        <f>IFERROR(__xludf.DUMMYFUNCTION("""COMPUTED_VALUE"""),"Good")</f>
        <v>Good</v>
      </c>
      <c r="AB344" t="str">
        <f>IFERROR(__xludf.DUMMYFUNCTION("""COMPUTED_VALUE"""),"Good")</f>
        <v>Good</v>
      </c>
      <c r="AC344" t="str">
        <f>IFERROR(__xludf.DUMMYFUNCTION("""COMPUTED_VALUE"""),"Good")</f>
        <v>Good</v>
      </c>
      <c r="AE344" s="11"/>
      <c r="AF344" t="s">
        <v>218</v>
      </c>
      <c r="AG344" s="17" t="s">
        <v>18</v>
      </c>
      <c r="AH344" s="12">
        <v>1530.0</v>
      </c>
      <c r="AI344" s="12" t="s">
        <v>985</v>
      </c>
      <c r="AJ344" s="19" t="s">
        <v>986</v>
      </c>
      <c r="AK344" s="20" t="str">
        <f>HYPERLINK("https://docs.google.com/document/d/1i6f7kHhOK6gs1CovzkHGRW2qcF_O4PSMw6GEfKJFoiI/edit?usp=drivesdk","Silas Tanner - 7/30/2019 7:45 AM")</f>
        <v>Silas Tanner - 7/30/2019 7:45 AM</v>
      </c>
      <c r="AL344" s="12" t="s">
        <v>987</v>
      </c>
    </row>
    <row r="345">
      <c r="A345" s="10">
        <f>IFERROR(__xludf.DUMMYFUNCTION("""COMPUTED_VALUE"""),43676.46167386574)</f>
        <v>43676.46167</v>
      </c>
      <c r="B345" s="11" t="str">
        <f>IFERROR(__xludf.DUMMYFUNCTION("""COMPUTED_VALUE"""),"Pamela Marcum")</f>
        <v>Pamela Marcum</v>
      </c>
      <c r="C345" t="str">
        <f>IFERROR(__xludf.DUMMYFUNCTION("""COMPUTED_VALUE"""),"pamela.marcum@floridadep.gov")</f>
        <v>pamela.marcum@floridadep.gov</v>
      </c>
      <c r="D345" t="str">
        <f>IFERROR(__xludf.DUMMYFUNCTION("""COMPUTED_VALUE"""),"Administration")</f>
        <v>Administration</v>
      </c>
      <c r="E345" t="str">
        <f>IFERROR(__xludf.DUMMYFUNCTION("""COMPUTED_VALUE"""),"Guana Dam")</f>
        <v>Guana Dam</v>
      </c>
      <c r="F345" s="13">
        <f>IFERROR(__xludf.DUMMYFUNCTION("""COMPUTED_VALUE"""),0.4583333333321207)</f>
        <v>0.4583333333</v>
      </c>
      <c r="G345" s="14">
        <f>IFERROR(__xludf.DUMMYFUNCTION("""COMPUTED_VALUE"""),43676.0)</f>
        <v>43676</v>
      </c>
      <c r="H345" t="str">
        <f>IFERROR(__xludf.DUMMYFUNCTION("""COMPUTED_VALUE"""),"Guana tolomato rivers")</f>
        <v>Guana tolomato rivers</v>
      </c>
      <c r="I345" s="15">
        <f>IFERROR(__xludf.DUMMYFUNCTION("""COMPUTED_VALUE"""),0.5833333333321207)</f>
        <v>0.5833333333</v>
      </c>
      <c r="J345" s="16">
        <f>IFERROR(__xludf.DUMMYFUNCTION("""COMPUTED_VALUE"""),43676.58333333333)</f>
        <v>43676.58333</v>
      </c>
      <c r="K345" t="str">
        <f>IFERROR(__xludf.DUMMYFUNCTION("""COMPUTED_VALUE"""),"Jon Boat FL0484NP DEP06819")</f>
        <v>Jon Boat FL0484NP DEP06819</v>
      </c>
      <c r="M345" t="str">
        <f>IFERROR(__xludf.DUMMYFUNCTION("""COMPUTED_VALUE"""),"Ford F150 2008 - DEP18041 (SWMP Thing)")</f>
        <v>Ford F150 2008 - DEP18041 (SWMP Thing)</v>
      </c>
      <c r="N345" t="str">
        <f>IFERROR(__xludf.DUMMYFUNCTION("""COMPUTED_VALUE"""),"Nikki Dix, (352) 219-4079, Pam Marcum, (480) 332-5414")</f>
        <v>Nikki Dix, (352) 219-4079, Pam Marcum, (480) 332-5414</v>
      </c>
      <c r="P345" t="str">
        <f>IFERROR(__xludf.DUMMYFUNCTION("""COMPUTED_VALUE"""),"Pam")</f>
        <v>Pam</v>
      </c>
      <c r="Q345" t="str">
        <f>IFERROR(__xludf.DUMMYFUNCTION("""COMPUTED_VALUE"""),"Good")</f>
        <v>Good</v>
      </c>
      <c r="R345" t="str">
        <f>IFERROR(__xludf.DUMMYFUNCTION("""COMPUTED_VALUE"""),"Good")</f>
        <v>Good</v>
      </c>
      <c r="S345" t="str">
        <f>IFERROR(__xludf.DUMMYFUNCTION("""COMPUTED_VALUE"""),"Good")</f>
        <v>Good</v>
      </c>
      <c r="T345" t="str">
        <f>IFERROR(__xludf.DUMMYFUNCTION("""COMPUTED_VALUE"""),"Good")</f>
        <v>Good</v>
      </c>
      <c r="U345" t="str">
        <f>IFERROR(__xludf.DUMMYFUNCTION("""COMPUTED_VALUE"""),"Good")</f>
        <v>Good</v>
      </c>
      <c r="V345" t="str">
        <f>IFERROR(__xludf.DUMMYFUNCTION("""COMPUTED_VALUE"""),"Good")</f>
        <v>Good</v>
      </c>
      <c r="W345" t="str">
        <f>IFERROR(__xludf.DUMMYFUNCTION("""COMPUTED_VALUE"""),"Good")</f>
        <v>Good</v>
      </c>
      <c r="X345" t="str">
        <f>IFERROR(__xludf.DUMMYFUNCTION("""COMPUTED_VALUE"""),"Good")</f>
        <v>Good</v>
      </c>
      <c r="Y345" t="str">
        <f>IFERROR(__xludf.DUMMYFUNCTION("""COMPUTED_VALUE"""),"Good")</f>
        <v>Good</v>
      </c>
      <c r="Z345" t="str">
        <f>IFERROR(__xludf.DUMMYFUNCTION("""COMPUTED_VALUE"""),"Good")</f>
        <v>Good</v>
      </c>
      <c r="AA345" t="str">
        <f>IFERROR(__xludf.DUMMYFUNCTION("""COMPUTED_VALUE"""),"Good")</f>
        <v>Good</v>
      </c>
      <c r="AB345" t="str">
        <f>IFERROR(__xludf.DUMMYFUNCTION("""COMPUTED_VALUE"""),"Good")</f>
        <v>Good</v>
      </c>
      <c r="AC345" t="str">
        <f>IFERROR(__xludf.DUMMYFUNCTION("""COMPUTED_VALUE"""),"Good")</f>
        <v>Good</v>
      </c>
      <c r="AE345" s="11"/>
      <c r="AF345" t="s">
        <v>668</v>
      </c>
      <c r="AG345" s="17" t="s">
        <v>18</v>
      </c>
      <c r="AH345" s="12">
        <v>1300.0</v>
      </c>
      <c r="AI345" s="12" t="s">
        <v>988</v>
      </c>
      <c r="AJ345" s="19" t="s">
        <v>989</v>
      </c>
      <c r="AK345" s="20" t="str">
        <f>HYPERLINK("https://docs.google.com/document/d/1Id6Jld1KzxQlELFCsAZGsrQF5n3rtGtVgl9NJOHfP_4/edit?usp=drivesdk","Pamela Marcum - 7/30/2019 11:00 AM")</f>
        <v>Pamela Marcum - 7/30/2019 11:00 AM</v>
      </c>
      <c r="AL345" s="12" t="s">
        <v>990</v>
      </c>
    </row>
    <row r="346">
      <c r="A346" s="10">
        <f>IFERROR(__xludf.DUMMYFUNCTION("""COMPUTED_VALUE"""),43677.35346140046)</f>
        <v>43677.35346</v>
      </c>
      <c r="B346" s="11" t="str">
        <f>IFERROR(__xludf.DUMMYFUNCTION("""COMPUTED_VALUE"""),"James Tomazinis")</f>
        <v>James Tomazinis</v>
      </c>
      <c r="C346" t="str">
        <f>IFERROR(__xludf.DUMMYFUNCTION("""COMPUTED_VALUE"""),"james.tomazinis@floridadep.gov")</f>
        <v>james.tomazinis@floridadep.gov</v>
      </c>
      <c r="D346" t="str">
        <f>IFERROR(__xludf.DUMMYFUNCTION("""COMPUTED_VALUE"""),"Stewardship (Aquatic)")</f>
        <v>Stewardship (Aquatic)</v>
      </c>
      <c r="E346" t="str">
        <f>IFERROR(__xludf.DUMMYFUNCTION("""COMPUTED_VALUE"""),"Vilano")</f>
        <v>Vilano</v>
      </c>
      <c r="F346" s="13">
        <f>IFERROR(__xludf.DUMMYFUNCTION("""COMPUTED_VALUE"""),0.3854166666678793)</f>
        <v>0.3854166667</v>
      </c>
      <c r="G346" s="14">
        <f>IFERROR(__xludf.DUMMYFUNCTION("""COMPUTED_VALUE"""),43677.0)</f>
        <v>43677</v>
      </c>
      <c r="H346" t="str">
        <f>IFERROR(__xludf.DUMMYFUNCTION("""COMPUTED_VALUE"""),"Matanzas nekton sites")</f>
        <v>Matanzas nekton sites</v>
      </c>
      <c r="I346" s="15">
        <f>IFERROR(__xludf.DUMMYFUNCTION("""COMPUTED_VALUE"""),0.7083333333321207)</f>
        <v>0.7083333333</v>
      </c>
      <c r="J346" s="16"/>
      <c r="K346" t="str">
        <f>IFERROR(__xludf.DUMMYFUNCTION("""COMPUTED_VALUE"""),"23ft Skiff (Bertha) FL7972LJ DEP07613")</f>
        <v>23ft Skiff (Bertha) FL7972LJ DEP07613</v>
      </c>
      <c r="M346" t="str">
        <f>IFERROR(__xludf.DUMMYFUNCTION("""COMPUTED_VALUE"""),"Ford F250 2017 (Moby Dix) - DEP0021578")</f>
        <v>Ford F250 2017 (Moby Dix) - DEP0021578</v>
      </c>
      <c r="N346" t="str">
        <f>IFERROR(__xludf.DUMMYFUNCTION("""COMPUTED_VALUE"""),"Jimmy Tomazinis, (904) 547-0094")</f>
        <v>Jimmy Tomazinis, (904) 547-0094</v>
      </c>
      <c r="O346" t="str">
        <f>IFERROR(__xludf.DUMMYFUNCTION("""COMPUTED_VALUE"""),"Amy Brownfield, Alicia Bishop, Suzi Porterfield, Cameron Rumsey")</f>
        <v>Amy Brownfield, Alicia Bishop, Suzi Porterfield, Cameron Rumsey</v>
      </c>
      <c r="P346" t="str">
        <f>IFERROR(__xludf.DUMMYFUNCTION("""COMPUTED_VALUE"""),"Jimmy")</f>
        <v>Jimmy</v>
      </c>
      <c r="Q346" t="str">
        <f>IFERROR(__xludf.DUMMYFUNCTION("""COMPUTED_VALUE"""),"Good")</f>
        <v>Good</v>
      </c>
      <c r="R346" t="str">
        <f>IFERROR(__xludf.DUMMYFUNCTION("""COMPUTED_VALUE"""),"Good")</f>
        <v>Good</v>
      </c>
      <c r="S346" t="str">
        <f>IFERROR(__xludf.DUMMYFUNCTION("""COMPUTED_VALUE"""),"Good")</f>
        <v>Good</v>
      </c>
      <c r="T346" t="str">
        <f>IFERROR(__xludf.DUMMYFUNCTION("""COMPUTED_VALUE"""),"Good")</f>
        <v>Good</v>
      </c>
      <c r="U346" t="str">
        <f>IFERROR(__xludf.DUMMYFUNCTION("""COMPUTED_VALUE"""),"Good")</f>
        <v>Good</v>
      </c>
      <c r="V346" t="str">
        <f>IFERROR(__xludf.DUMMYFUNCTION("""COMPUTED_VALUE"""),"Good")</f>
        <v>Good</v>
      </c>
      <c r="W346" t="str">
        <f>IFERROR(__xludf.DUMMYFUNCTION("""COMPUTED_VALUE"""),"Good")</f>
        <v>Good</v>
      </c>
      <c r="X346" t="str">
        <f>IFERROR(__xludf.DUMMYFUNCTION("""COMPUTED_VALUE"""),"Good")</f>
        <v>Good</v>
      </c>
      <c r="Y346" t="str">
        <f>IFERROR(__xludf.DUMMYFUNCTION("""COMPUTED_VALUE"""),"Good")</f>
        <v>Good</v>
      </c>
      <c r="Z346" t="str">
        <f>IFERROR(__xludf.DUMMYFUNCTION("""COMPUTED_VALUE"""),"Good")</f>
        <v>Good</v>
      </c>
      <c r="AA346" t="str">
        <f>IFERROR(__xludf.DUMMYFUNCTION("""COMPUTED_VALUE"""),"Good")</f>
        <v>Good</v>
      </c>
      <c r="AB346" t="str">
        <f>IFERROR(__xludf.DUMMYFUNCTION("""COMPUTED_VALUE"""),"Good")</f>
        <v>Good</v>
      </c>
      <c r="AC346" t="str">
        <f>IFERROR(__xludf.DUMMYFUNCTION("""COMPUTED_VALUE"""),"Good")</f>
        <v>Good</v>
      </c>
      <c r="AE346" s="11"/>
      <c r="AF346" t="s">
        <v>32</v>
      </c>
      <c r="AG346" s="17" t="s">
        <v>22</v>
      </c>
      <c r="AH346" s="12">
        <v>1800.0</v>
      </c>
      <c r="AI346" s="12" t="s">
        <v>991</v>
      </c>
      <c r="AJ346" s="19" t="s">
        <v>992</v>
      </c>
      <c r="AK346" s="20" t="str">
        <f>HYPERLINK("https://docs.google.com/document/d/1dcxw6xlXtPDlo4G3zVliHM7eYEMWU9U5ZU03DGzm4Y4/edit?usp=drivesdk","James Tomazinis - 7/31/2019 9:15 AM")</f>
        <v>James Tomazinis - 7/31/2019 9:15 AM</v>
      </c>
      <c r="AL346" s="12" t="s">
        <v>993</v>
      </c>
    </row>
    <row r="347">
      <c r="A347" s="10">
        <f>IFERROR(__xludf.DUMMYFUNCTION("""COMPUTED_VALUE"""),43678.59821619213)</f>
        <v>43678.59822</v>
      </c>
      <c r="B347" s="11" t="str">
        <f>IFERROR(__xludf.DUMMYFUNCTION("""COMPUTED_VALUE"""),"Pam Marcum")</f>
        <v>Pam Marcum</v>
      </c>
      <c r="C347" t="str">
        <f>IFERROR(__xludf.DUMMYFUNCTION("""COMPUTED_VALUE"""),"Pamela.Marcum@floridadep.gov")</f>
        <v>Pamela.Marcum@floridadep.gov</v>
      </c>
      <c r="D347" t="str">
        <f>IFERROR(__xludf.DUMMYFUNCTION("""COMPUTED_VALUE"""),"Research/Nikki")</f>
        <v>Research/Nikki</v>
      </c>
      <c r="E347" t="str">
        <f>IFERROR(__xludf.DUMMYFUNCTION("""COMPUTED_VALUE"""),"Aunt Kate's")</f>
        <v>Aunt Kate's</v>
      </c>
      <c r="F347" s="13">
        <f>IFERROR(__xludf.DUMMYFUNCTION("""COMPUTED_VALUE"""),0.625)</f>
        <v>0.625</v>
      </c>
      <c r="G347" s="14">
        <f>IFERROR(__xludf.DUMMYFUNCTION("""COMPUTED_VALUE"""),43678.0)</f>
        <v>43678</v>
      </c>
      <c r="H347" t="str">
        <f>IFERROR(__xludf.DUMMYFUNCTION("""COMPUTED_VALUE"""),"Guana and Tolomato Rivers")</f>
        <v>Guana and Tolomato Rivers</v>
      </c>
      <c r="I347" s="15">
        <f>IFERROR(__xludf.DUMMYFUNCTION("""COMPUTED_VALUE"""),0.7916666666678793)</f>
        <v>0.7916666667</v>
      </c>
      <c r="J347" s="16">
        <f>IFERROR(__xludf.DUMMYFUNCTION("""COMPUTED_VALUE"""),43678.8125)</f>
        <v>43678.8125</v>
      </c>
      <c r="K347" t="str">
        <f>IFERROR(__xludf.DUMMYFUNCTION("""COMPUTED_VALUE"""),"23ft Skiff (Bertha) FL7972LJ DEP07613")</f>
        <v>23ft Skiff (Bertha) FL7972LJ DEP07613</v>
      </c>
      <c r="M347" t="str">
        <f>IFERROR(__xludf.DUMMYFUNCTION("""COMPUTED_VALUE"""),"Ford F250 2017 (Moby Dix) - DEP0021578")</f>
        <v>Ford F250 2017 (Moby Dix) - DEP0021578</v>
      </c>
      <c r="N347" t="str">
        <f>IFERROR(__xludf.DUMMYFUNCTION("""COMPUTED_VALUE"""),"Pam Marcum, (480) 332-5414")</f>
        <v>Pam Marcum, (480) 332-5414</v>
      </c>
      <c r="O347" t="str">
        <f>IFERROR(__xludf.DUMMYFUNCTION("""COMPUTED_VALUE"""),"Adrienne Breef-Pilz, Nicole Peckham, Allison Noble")</f>
        <v>Adrienne Breef-Pilz, Nicole Peckham, Allison Noble</v>
      </c>
      <c r="P347" t="str">
        <f>IFERROR(__xludf.DUMMYFUNCTION("""COMPUTED_VALUE"""),"Pam")</f>
        <v>Pam</v>
      </c>
      <c r="Q347" t="str">
        <f>IFERROR(__xludf.DUMMYFUNCTION("""COMPUTED_VALUE"""),"Good")</f>
        <v>Good</v>
      </c>
      <c r="R347" t="str">
        <f>IFERROR(__xludf.DUMMYFUNCTION("""COMPUTED_VALUE"""),"Good")</f>
        <v>Good</v>
      </c>
      <c r="S347" t="str">
        <f>IFERROR(__xludf.DUMMYFUNCTION("""COMPUTED_VALUE"""),"Good")</f>
        <v>Good</v>
      </c>
      <c r="T347" t="str">
        <f>IFERROR(__xludf.DUMMYFUNCTION("""COMPUTED_VALUE"""),"Good")</f>
        <v>Good</v>
      </c>
      <c r="U347" t="str">
        <f>IFERROR(__xludf.DUMMYFUNCTION("""COMPUTED_VALUE"""),"Good")</f>
        <v>Good</v>
      </c>
      <c r="V347" t="str">
        <f>IFERROR(__xludf.DUMMYFUNCTION("""COMPUTED_VALUE"""),"Good")</f>
        <v>Good</v>
      </c>
      <c r="W347" t="str">
        <f>IFERROR(__xludf.DUMMYFUNCTION("""COMPUTED_VALUE"""),"Good")</f>
        <v>Good</v>
      </c>
      <c r="X347" t="str">
        <f>IFERROR(__xludf.DUMMYFUNCTION("""COMPUTED_VALUE"""),"Good")</f>
        <v>Good</v>
      </c>
      <c r="Y347" t="str">
        <f>IFERROR(__xludf.DUMMYFUNCTION("""COMPUTED_VALUE"""),"Good")</f>
        <v>Good</v>
      </c>
      <c r="Z347" t="str">
        <f>IFERROR(__xludf.DUMMYFUNCTION("""COMPUTED_VALUE"""),"Good")</f>
        <v>Good</v>
      </c>
      <c r="AA347" t="str">
        <f>IFERROR(__xludf.DUMMYFUNCTION("""COMPUTED_VALUE"""),"Good")</f>
        <v>Good</v>
      </c>
      <c r="AB347" t="str">
        <f>IFERROR(__xludf.DUMMYFUNCTION("""COMPUTED_VALUE"""),"Good")</f>
        <v>Good</v>
      </c>
      <c r="AC347" t="str">
        <f>IFERROR(__xludf.DUMMYFUNCTION("""COMPUTED_VALUE"""),"Good")</f>
        <v>Good</v>
      </c>
      <c r="AE347" s="11"/>
      <c r="AF347" t="s">
        <v>218</v>
      </c>
      <c r="AG347" s="17" t="s">
        <v>43</v>
      </c>
      <c r="AH347" s="12">
        <v>1820.0</v>
      </c>
      <c r="AI347" s="12" t="s">
        <v>994</v>
      </c>
      <c r="AJ347" s="19" t="s">
        <v>995</v>
      </c>
      <c r="AK347" s="20" t="str">
        <f>HYPERLINK("https://docs.google.com/document/d/1jxJbOyJ-efuz4tHXDy8L3GTN2d42synPAf0a9KwhPj4/edit?usp=drivesdk","Pam Marcum - 8/1/2019 3:00 PM")</f>
        <v>Pam Marcum - 8/1/2019 3:00 PM</v>
      </c>
      <c r="AL347" s="12" t="s">
        <v>996</v>
      </c>
    </row>
    <row r="348">
      <c r="A348" s="10">
        <f>IFERROR(__xludf.DUMMYFUNCTION("""COMPUTED_VALUE"""),43682.594893298614)</f>
        <v>43682.59489</v>
      </c>
      <c r="B348" s="11" t="str">
        <f>IFERROR(__xludf.DUMMYFUNCTION("""COMPUTED_VALUE"""),"Jimmy")</f>
        <v>Jimmy</v>
      </c>
      <c r="C348" t="str">
        <f>IFERROR(__xludf.DUMMYFUNCTION("""COMPUTED_VALUE"""),"james.tomazinis@floridadep.gov")</f>
        <v>james.tomazinis@floridadep.gov</v>
      </c>
      <c r="D348" t="str">
        <f>IFERROR(__xludf.DUMMYFUNCTION("""COMPUTED_VALUE"""),"Stewardship (Aquatic)")</f>
        <v>Stewardship (Aquatic)</v>
      </c>
      <c r="E348" t="str">
        <f>IFERROR(__xludf.DUMMYFUNCTION("""COMPUTED_VALUE"""),"Vilano")</f>
        <v>Vilano</v>
      </c>
      <c r="F348" s="13">
        <f>IFERROR(__xludf.DUMMYFUNCTION("""COMPUTED_VALUE"""),0.375)</f>
        <v>0.375</v>
      </c>
      <c r="G348" s="14">
        <f>IFERROR(__xludf.DUMMYFUNCTION("""COMPUTED_VALUE"""),43683.0)</f>
        <v>43683</v>
      </c>
      <c r="H348" t="str">
        <f>IFERROR(__xludf.DUMMYFUNCTION("""COMPUTED_VALUE"""),"Tolomato Nekton sites")</f>
        <v>Tolomato Nekton sites</v>
      </c>
      <c r="I348" s="15">
        <f>IFERROR(__xludf.DUMMYFUNCTION("""COMPUTED_VALUE"""),0.6666666666678793)</f>
        <v>0.6666666667</v>
      </c>
      <c r="J348" s="16"/>
      <c r="K348" t="str">
        <f>IFERROR(__xludf.DUMMYFUNCTION("""COMPUTED_VALUE"""),"23ft Skiff (Bertha) FL7972LJ DEP07613")</f>
        <v>23ft Skiff (Bertha) FL7972LJ DEP07613</v>
      </c>
      <c r="M348" t="str">
        <f>IFERROR(__xludf.DUMMYFUNCTION("""COMPUTED_VALUE"""),"Ford F150 2015 (White) - DEP21448")</f>
        <v>Ford F150 2015 (White) - DEP21448</v>
      </c>
      <c r="N348" t="str">
        <f>IFERROR(__xludf.DUMMYFUNCTION("""COMPUTED_VALUE"""),"Jimmy Tomazinis, (904) 547-0094")</f>
        <v>Jimmy Tomazinis, (904) 547-0094</v>
      </c>
      <c r="O348" t="str">
        <f>IFERROR(__xludf.DUMMYFUNCTION("""COMPUTED_VALUE"""),"Suzi, Matthew, Will, Andy, Molly, Cameron")</f>
        <v>Suzi, Matthew, Will, Andy, Molly, Cameron</v>
      </c>
      <c r="P348" t="str">
        <f>IFERROR(__xludf.DUMMYFUNCTION("""COMPUTED_VALUE"""),"Jimmy")</f>
        <v>Jimmy</v>
      </c>
      <c r="Q348" t="str">
        <f>IFERROR(__xludf.DUMMYFUNCTION("""COMPUTED_VALUE"""),"Good")</f>
        <v>Good</v>
      </c>
      <c r="R348" t="str">
        <f>IFERROR(__xludf.DUMMYFUNCTION("""COMPUTED_VALUE"""),"Good")</f>
        <v>Good</v>
      </c>
      <c r="S348" t="str">
        <f>IFERROR(__xludf.DUMMYFUNCTION("""COMPUTED_VALUE"""),"Good")</f>
        <v>Good</v>
      </c>
      <c r="T348" t="str">
        <f>IFERROR(__xludf.DUMMYFUNCTION("""COMPUTED_VALUE"""),"Good")</f>
        <v>Good</v>
      </c>
      <c r="U348" t="str">
        <f>IFERROR(__xludf.DUMMYFUNCTION("""COMPUTED_VALUE"""),"Good")</f>
        <v>Good</v>
      </c>
      <c r="V348" t="str">
        <f>IFERROR(__xludf.DUMMYFUNCTION("""COMPUTED_VALUE"""),"Good")</f>
        <v>Good</v>
      </c>
      <c r="W348" t="str">
        <f>IFERROR(__xludf.DUMMYFUNCTION("""COMPUTED_VALUE"""),"Good")</f>
        <v>Good</v>
      </c>
      <c r="X348" t="str">
        <f>IFERROR(__xludf.DUMMYFUNCTION("""COMPUTED_VALUE"""),"Good")</f>
        <v>Good</v>
      </c>
      <c r="Y348" t="str">
        <f>IFERROR(__xludf.DUMMYFUNCTION("""COMPUTED_VALUE"""),"Good")</f>
        <v>Good</v>
      </c>
      <c r="Z348" t="str">
        <f>IFERROR(__xludf.DUMMYFUNCTION("""COMPUTED_VALUE"""),"Good")</f>
        <v>Good</v>
      </c>
      <c r="AA348" t="str">
        <f>IFERROR(__xludf.DUMMYFUNCTION("""COMPUTED_VALUE"""),"Good")</f>
        <v>Good</v>
      </c>
      <c r="AB348" t="str">
        <f>IFERROR(__xludf.DUMMYFUNCTION("""COMPUTED_VALUE"""),"Good")</f>
        <v>Good</v>
      </c>
      <c r="AC348" t="str">
        <f>IFERROR(__xludf.DUMMYFUNCTION("""COMPUTED_VALUE"""),"Good")</f>
        <v>Good</v>
      </c>
      <c r="AE348" s="11"/>
      <c r="AF348" t="s">
        <v>32</v>
      </c>
      <c r="AG348" s="18"/>
      <c r="AI348" s="12" t="s">
        <v>997</v>
      </c>
      <c r="AJ348" s="19" t="s">
        <v>998</v>
      </c>
      <c r="AK348" s="20" t="str">
        <f>HYPERLINK("https://docs.google.com/document/d/1E9aNIH6mCOOIwAQV51kZmcxa6B48JuJxjrm7UDpXd2w/edit?usp=drivesdk","Jimmy - 8/6/2019 9:00 AM")</f>
        <v>Jimmy - 8/6/2019 9:00 AM</v>
      </c>
      <c r="AL348" s="12" t="s">
        <v>999</v>
      </c>
    </row>
    <row r="349">
      <c r="A349" s="10">
        <f>IFERROR(__xludf.DUMMYFUNCTION("""COMPUTED_VALUE"""),43683.28529314815)</f>
        <v>43683.28529</v>
      </c>
      <c r="B349" s="11" t="str">
        <f>IFERROR(__xludf.DUMMYFUNCTION("""COMPUTED_VALUE"""),"Pam Marcum")</f>
        <v>Pam Marcum</v>
      </c>
      <c r="C349" t="str">
        <f>IFERROR(__xludf.DUMMYFUNCTION("""COMPUTED_VALUE"""),"Pamela.Marcum@floridadep.gov")</f>
        <v>Pamela.Marcum@floridadep.gov</v>
      </c>
      <c r="D349" t="str">
        <f>IFERROR(__xludf.DUMMYFUNCTION("""COMPUTED_VALUE"""),"Research/Nikki")</f>
        <v>Research/Nikki</v>
      </c>
      <c r="E349" t="str">
        <f>IFERROR(__xludf.DUMMYFUNCTION("""COMPUTED_VALUE"""),"Shore Dr")</f>
        <v>Shore Dr</v>
      </c>
      <c r="F349" s="13">
        <f>IFERROR(__xludf.DUMMYFUNCTION("""COMPUTED_VALUE"""),0.2916666666678793)</f>
        <v>0.2916666667</v>
      </c>
      <c r="G349" s="14">
        <f>IFERROR(__xludf.DUMMYFUNCTION("""COMPUTED_VALUE"""),43683.0)</f>
        <v>43683</v>
      </c>
      <c r="H349" t="str">
        <f>IFERROR(__xludf.DUMMYFUNCTION("""COMPUTED_VALUE"""),"Gabby/marsh creek")</f>
        <v>Gabby/marsh creek</v>
      </c>
      <c r="I349" s="15">
        <f>IFERROR(__xludf.DUMMYFUNCTION("""COMPUTED_VALUE"""),0.5833333333321207)</f>
        <v>0.5833333333</v>
      </c>
      <c r="J349" s="16">
        <f>IFERROR(__xludf.DUMMYFUNCTION("""COMPUTED_VALUE"""),43683.625)</f>
        <v>43683.625</v>
      </c>
      <c r="K349" t="str">
        <f>IFERROR(__xludf.DUMMYFUNCTION("""COMPUTED_VALUE"""),"17ft Skill FL0642GW DEP07239")</f>
        <v>17ft Skill FL0642GW DEP07239</v>
      </c>
      <c r="M349" t="str">
        <f>IFERROR(__xludf.DUMMYFUNCTION("""COMPUTED_VALUE"""),"Ford F250 2017 (Moby Dix) - DEP0021578")</f>
        <v>Ford F250 2017 (Moby Dix) - DEP0021578</v>
      </c>
      <c r="N349" t="str">
        <f>IFERROR(__xludf.DUMMYFUNCTION("""COMPUTED_VALUE"""),"Pam Marcum, (480) 332-5414")</f>
        <v>Pam Marcum, (480) 332-5414</v>
      </c>
      <c r="O349" t="str">
        <f>IFERROR(__xludf.DUMMYFUNCTION("""COMPUTED_VALUE"""),"Alee Knoell, Gabby Canas, Therese Adgie, Emily Geoghegan")</f>
        <v>Alee Knoell, Gabby Canas, Therese Adgie, Emily Geoghegan</v>
      </c>
      <c r="P349" t="str">
        <f>IFERROR(__xludf.DUMMYFUNCTION("""COMPUTED_VALUE"""),"Pam")</f>
        <v>Pam</v>
      </c>
      <c r="Q349" t="str">
        <f>IFERROR(__xludf.DUMMYFUNCTION("""COMPUTED_VALUE"""),"Good")</f>
        <v>Good</v>
      </c>
      <c r="R349" t="str">
        <f>IFERROR(__xludf.DUMMYFUNCTION("""COMPUTED_VALUE"""),"Good")</f>
        <v>Good</v>
      </c>
      <c r="S349" t="str">
        <f>IFERROR(__xludf.DUMMYFUNCTION("""COMPUTED_VALUE"""),"Good")</f>
        <v>Good</v>
      </c>
      <c r="T349" t="str">
        <f>IFERROR(__xludf.DUMMYFUNCTION("""COMPUTED_VALUE"""),"Good")</f>
        <v>Good</v>
      </c>
      <c r="U349" t="str">
        <f>IFERROR(__xludf.DUMMYFUNCTION("""COMPUTED_VALUE"""),"Good")</f>
        <v>Good</v>
      </c>
      <c r="V349" t="str">
        <f>IFERROR(__xludf.DUMMYFUNCTION("""COMPUTED_VALUE"""),"Good")</f>
        <v>Good</v>
      </c>
      <c r="W349" t="str">
        <f>IFERROR(__xludf.DUMMYFUNCTION("""COMPUTED_VALUE"""),"Good")</f>
        <v>Good</v>
      </c>
      <c r="X349" t="str">
        <f>IFERROR(__xludf.DUMMYFUNCTION("""COMPUTED_VALUE"""),"Good")</f>
        <v>Good</v>
      </c>
      <c r="Y349" t="str">
        <f>IFERROR(__xludf.DUMMYFUNCTION("""COMPUTED_VALUE"""),"Good")</f>
        <v>Good</v>
      </c>
      <c r="Z349" t="str">
        <f>IFERROR(__xludf.DUMMYFUNCTION("""COMPUTED_VALUE"""),"Good")</f>
        <v>Good</v>
      </c>
      <c r="AA349" t="str">
        <f>IFERROR(__xludf.DUMMYFUNCTION("""COMPUTED_VALUE"""),"Good")</f>
        <v>Good</v>
      </c>
      <c r="AB349" t="str">
        <f>IFERROR(__xludf.DUMMYFUNCTION("""COMPUTED_VALUE"""),"Good")</f>
        <v>Good</v>
      </c>
      <c r="AC349" t="str">
        <f>IFERROR(__xludf.DUMMYFUNCTION("""COMPUTED_VALUE"""),"Good")</f>
        <v>Good</v>
      </c>
      <c r="AE349" s="11"/>
      <c r="AF349" t="s">
        <v>218</v>
      </c>
      <c r="AG349" s="17" t="s">
        <v>128</v>
      </c>
      <c r="AH349" s="12">
        <v>1358.0</v>
      </c>
      <c r="AI349" s="12" t="s">
        <v>1000</v>
      </c>
      <c r="AJ349" s="19" t="s">
        <v>1001</v>
      </c>
      <c r="AK349" s="20" t="str">
        <f>HYPERLINK("https://docs.google.com/document/d/1UHxq4c6sGkIXHA_Cj_Kx_dd2yABgFStnfCZ4va8AwCQ/edit?usp=drivesdk","Pam Marcum - 8/6/2019 7:00 AM")</f>
        <v>Pam Marcum - 8/6/2019 7:00 AM</v>
      </c>
      <c r="AL349" s="12" t="s">
        <v>1002</v>
      </c>
    </row>
    <row r="350">
      <c r="A350" s="10">
        <f>IFERROR(__xludf.DUMMYFUNCTION("""COMPUTED_VALUE"""),43683.70210596065)</f>
        <v>43683.70211</v>
      </c>
      <c r="B350" s="11" t="str">
        <f>IFERROR(__xludf.DUMMYFUNCTION("""COMPUTED_VALUE"""),"Jimmy")</f>
        <v>Jimmy</v>
      </c>
      <c r="C350" t="str">
        <f>IFERROR(__xludf.DUMMYFUNCTION("""COMPUTED_VALUE"""),"james.tomazinis@floridadep.gov")</f>
        <v>james.tomazinis@floridadep.gov</v>
      </c>
      <c r="D350" t="str">
        <f>IFERROR(__xludf.DUMMYFUNCTION("""COMPUTED_VALUE"""),"Stewardship (Aquatic)")</f>
        <v>Stewardship (Aquatic)</v>
      </c>
      <c r="E350" t="str">
        <f>IFERROR(__xludf.DUMMYFUNCTION("""COMPUTED_VALUE"""),"Vilano")</f>
        <v>Vilano</v>
      </c>
      <c r="F350" s="13">
        <f>IFERROR(__xludf.DUMMYFUNCTION("""COMPUTED_VALUE"""),0.3854166666678793)</f>
        <v>0.3854166667</v>
      </c>
      <c r="G350" s="14">
        <f>IFERROR(__xludf.DUMMYFUNCTION("""COMPUTED_VALUE"""),43684.0)</f>
        <v>43684</v>
      </c>
      <c r="H350" t="str">
        <f>IFERROR(__xludf.DUMMYFUNCTION("""COMPUTED_VALUE"""),"Tolomato and Matanzas Nekton Sites")</f>
        <v>Tolomato and Matanzas Nekton Sites</v>
      </c>
      <c r="I350" s="15">
        <f>IFERROR(__xludf.DUMMYFUNCTION("""COMPUTED_VALUE"""),0.6666666666678793)</f>
        <v>0.6666666667</v>
      </c>
      <c r="J350" s="16"/>
      <c r="K350" t="str">
        <f>IFERROR(__xludf.DUMMYFUNCTION("""COMPUTED_VALUE"""),"23ft Skiff (Bertha) FL7972LJ DEP07613")</f>
        <v>23ft Skiff (Bertha) FL7972LJ DEP07613</v>
      </c>
      <c r="M350" t="str">
        <f>IFERROR(__xludf.DUMMYFUNCTION("""COMPUTED_VALUE"""),"Ford F150 2015 (White) - DEP21448")</f>
        <v>Ford F150 2015 (White) - DEP21448</v>
      </c>
      <c r="N350" t="str">
        <f>IFERROR(__xludf.DUMMYFUNCTION("""COMPUTED_VALUE"""),"Jimmy Tomazinis, (904) 547-0094")</f>
        <v>Jimmy Tomazinis, (904) 547-0094</v>
      </c>
      <c r="O350" t="str">
        <f>IFERROR(__xludf.DUMMYFUNCTION("""COMPUTED_VALUE"""),"Scott Eastman, (904) 501-9267, Suzi, Cameron, Zach, Jeff, Jim")</f>
        <v>Scott Eastman, (904) 501-9267, Suzi, Cameron, Zach, Jeff, Jim</v>
      </c>
      <c r="P350" t="str">
        <f>IFERROR(__xludf.DUMMYFUNCTION("""COMPUTED_VALUE"""),"Jimmy")</f>
        <v>Jimmy</v>
      </c>
      <c r="Q350" t="str">
        <f>IFERROR(__xludf.DUMMYFUNCTION("""COMPUTED_VALUE"""),"Good")</f>
        <v>Good</v>
      </c>
      <c r="R350" t="str">
        <f>IFERROR(__xludf.DUMMYFUNCTION("""COMPUTED_VALUE"""),"Good")</f>
        <v>Good</v>
      </c>
      <c r="S350" t="str">
        <f>IFERROR(__xludf.DUMMYFUNCTION("""COMPUTED_VALUE"""),"Good")</f>
        <v>Good</v>
      </c>
      <c r="T350" t="str">
        <f>IFERROR(__xludf.DUMMYFUNCTION("""COMPUTED_VALUE"""),"Good")</f>
        <v>Good</v>
      </c>
      <c r="U350" t="str">
        <f>IFERROR(__xludf.DUMMYFUNCTION("""COMPUTED_VALUE"""),"Good")</f>
        <v>Good</v>
      </c>
      <c r="V350" t="str">
        <f>IFERROR(__xludf.DUMMYFUNCTION("""COMPUTED_VALUE"""),"Good")</f>
        <v>Good</v>
      </c>
      <c r="W350" t="str">
        <f>IFERROR(__xludf.DUMMYFUNCTION("""COMPUTED_VALUE"""),"Good")</f>
        <v>Good</v>
      </c>
      <c r="X350" t="str">
        <f>IFERROR(__xludf.DUMMYFUNCTION("""COMPUTED_VALUE"""),"Good")</f>
        <v>Good</v>
      </c>
      <c r="Y350" t="str">
        <f>IFERROR(__xludf.DUMMYFUNCTION("""COMPUTED_VALUE"""),"Good")</f>
        <v>Good</v>
      </c>
      <c r="Z350" t="str">
        <f>IFERROR(__xludf.DUMMYFUNCTION("""COMPUTED_VALUE"""),"Good")</f>
        <v>Good</v>
      </c>
      <c r="AA350" t="str">
        <f>IFERROR(__xludf.DUMMYFUNCTION("""COMPUTED_VALUE"""),"Good")</f>
        <v>Good</v>
      </c>
      <c r="AB350" t="str">
        <f>IFERROR(__xludf.DUMMYFUNCTION("""COMPUTED_VALUE"""),"Good")</f>
        <v>Good</v>
      </c>
      <c r="AC350" t="str">
        <f>IFERROR(__xludf.DUMMYFUNCTION("""COMPUTED_VALUE"""),"Good")</f>
        <v>Good</v>
      </c>
      <c r="AE350" s="11"/>
      <c r="AF350" t="s">
        <v>32</v>
      </c>
      <c r="AG350" s="17" t="s">
        <v>18</v>
      </c>
      <c r="AH350" s="12">
        <v>1430.0</v>
      </c>
      <c r="AI350" s="12" t="s">
        <v>1003</v>
      </c>
      <c r="AJ350" s="19" t="s">
        <v>1004</v>
      </c>
      <c r="AK350" s="20" t="str">
        <f>HYPERLINK("https://docs.google.com/document/d/1nsjrzaiK-XGxSSZHB42jsZNNYxbyV3RJtQXB9v-oEB4/edit?usp=drivesdk","Jimmy - 8/7/2019 9:15 AM")</f>
        <v>Jimmy - 8/7/2019 9:15 AM</v>
      </c>
      <c r="AL350" s="12" t="s">
        <v>1005</v>
      </c>
    </row>
    <row r="351">
      <c r="A351" s="10">
        <f>IFERROR(__xludf.DUMMYFUNCTION("""COMPUTED_VALUE"""),43684.68938728009)</f>
        <v>43684.68939</v>
      </c>
      <c r="B351" s="11" t="str">
        <f>IFERROR(__xludf.DUMMYFUNCTION("""COMPUTED_VALUE"""),"Jimmy")</f>
        <v>Jimmy</v>
      </c>
      <c r="C351" t="str">
        <f>IFERROR(__xludf.DUMMYFUNCTION("""COMPUTED_VALUE"""),"james.tomazinis@floridadep.gov")</f>
        <v>james.tomazinis@floridadep.gov</v>
      </c>
      <c r="D351" t="str">
        <f>IFERROR(__xludf.DUMMYFUNCTION("""COMPUTED_VALUE"""),"Stewardship (Aquatic)")</f>
        <v>Stewardship (Aquatic)</v>
      </c>
      <c r="E351" t="str">
        <f>IFERROR(__xludf.DUMMYFUNCTION("""COMPUTED_VALUE"""),"Bings")</f>
        <v>Bings</v>
      </c>
      <c r="F351" s="13">
        <f>IFERROR(__xludf.DUMMYFUNCTION("""COMPUTED_VALUE"""),0.4166666666678793)</f>
        <v>0.4166666667</v>
      </c>
      <c r="G351" s="14">
        <f>IFERROR(__xludf.DUMMYFUNCTION("""COMPUTED_VALUE"""),43685.0)</f>
        <v>43685</v>
      </c>
      <c r="H351" t="str">
        <f>IFERROR(__xludf.DUMMYFUNCTION("""COMPUTED_VALUE"""),"Matanzas Nekton sites")</f>
        <v>Matanzas Nekton sites</v>
      </c>
      <c r="I351" s="15">
        <f>IFERROR(__xludf.DUMMYFUNCTION("""COMPUTED_VALUE"""),0.6666666666678793)</f>
        <v>0.6666666667</v>
      </c>
      <c r="J351" s="16"/>
      <c r="K351" t="str">
        <f>IFERROR(__xludf.DUMMYFUNCTION("""COMPUTED_VALUE"""),"23ft Skiff (Bertha) FL7972LJ DEP07613")</f>
        <v>23ft Skiff (Bertha) FL7972LJ DEP07613</v>
      </c>
      <c r="M351" t="str">
        <f>IFERROR(__xludf.DUMMYFUNCTION("""COMPUTED_VALUE"""),"Ford F150 2015 (White) - DEP21448")</f>
        <v>Ford F150 2015 (White) - DEP21448</v>
      </c>
      <c r="N351" t="str">
        <f>IFERROR(__xludf.DUMMYFUNCTION("""COMPUTED_VALUE"""),"Jimmy Tomazinis, (904) 547-0094")</f>
        <v>Jimmy Tomazinis, (904) 547-0094</v>
      </c>
      <c r="O351" t="str">
        <f>IFERROR(__xludf.DUMMYFUNCTION("""COMPUTED_VALUE"""),"Scott Eastman, (904) 501-9267, Suzi, Andy, Jeff, Cameron, ")</f>
        <v>Scott Eastman, (904) 501-9267, Suzi, Andy, Jeff, Cameron, </v>
      </c>
      <c r="P351" t="str">
        <f>IFERROR(__xludf.DUMMYFUNCTION("""COMPUTED_VALUE"""),"Jimmy")</f>
        <v>Jimmy</v>
      </c>
      <c r="Q351" t="str">
        <f>IFERROR(__xludf.DUMMYFUNCTION("""COMPUTED_VALUE"""),"Good")</f>
        <v>Good</v>
      </c>
      <c r="R351" t="str">
        <f>IFERROR(__xludf.DUMMYFUNCTION("""COMPUTED_VALUE"""),"Good")</f>
        <v>Good</v>
      </c>
      <c r="S351" t="str">
        <f>IFERROR(__xludf.DUMMYFUNCTION("""COMPUTED_VALUE"""),"Good")</f>
        <v>Good</v>
      </c>
      <c r="T351" t="str">
        <f>IFERROR(__xludf.DUMMYFUNCTION("""COMPUTED_VALUE"""),"Good")</f>
        <v>Good</v>
      </c>
      <c r="U351" t="str">
        <f>IFERROR(__xludf.DUMMYFUNCTION("""COMPUTED_VALUE"""),"Good")</f>
        <v>Good</v>
      </c>
      <c r="V351" t="str">
        <f>IFERROR(__xludf.DUMMYFUNCTION("""COMPUTED_VALUE"""),"Good")</f>
        <v>Good</v>
      </c>
      <c r="W351" t="str">
        <f>IFERROR(__xludf.DUMMYFUNCTION("""COMPUTED_VALUE"""),"Good")</f>
        <v>Good</v>
      </c>
      <c r="X351" t="str">
        <f>IFERROR(__xludf.DUMMYFUNCTION("""COMPUTED_VALUE"""),"Good")</f>
        <v>Good</v>
      </c>
      <c r="Y351" t="str">
        <f>IFERROR(__xludf.DUMMYFUNCTION("""COMPUTED_VALUE"""),"Good")</f>
        <v>Good</v>
      </c>
      <c r="Z351" t="str">
        <f>IFERROR(__xludf.DUMMYFUNCTION("""COMPUTED_VALUE"""),"Good")</f>
        <v>Good</v>
      </c>
      <c r="AA351" t="str">
        <f>IFERROR(__xludf.DUMMYFUNCTION("""COMPUTED_VALUE"""),"Good")</f>
        <v>Good</v>
      </c>
      <c r="AB351" t="str">
        <f>IFERROR(__xludf.DUMMYFUNCTION("""COMPUTED_VALUE"""),"Good")</f>
        <v>Good</v>
      </c>
      <c r="AC351" t="str">
        <f>IFERROR(__xludf.DUMMYFUNCTION("""COMPUTED_VALUE"""),"Good")</f>
        <v>Good</v>
      </c>
      <c r="AE351" s="11"/>
      <c r="AF351" t="s">
        <v>32</v>
      </c>
      <c r="AG351" s="18"/>
      <c r="AI351" s="12" t="s">
        <v>1006</v>
      </c>
      <c r="AJ351" s="19" t="s">
        <v>1007</v>
      </c>
      <c r="AK351" s="20" t="str">
        <f>HYPERLINK("https://docs.google.com/document/d/1tLgUiv4bcn2V_cgRKNu_zZ5FGT2YBAuPzKuqiAXm0co/edit?usp=drivesdk","Jimmy - 8/8/2019 10:00 AM")</f>
        <v>Jimmy - 8/8/2019 10:00 AM</v>
      </c>
      <c r="AL351" s="12" t="s">
        <v>1008</v>
      </c>
    </row>
    <row r="352">
      <c r="A352" s="10">
        <f>IFERROR(__xludf.DUMMYFUNCTION("""COMPUTED_VALUE"""),43685.291886273146)</f>
        <v>43685.29189</v>
      </c>
      <c r="B352" s="11" t="str">
        <f>IFERROR(__xludf.DUMMYFUNCTION("""COMPUTED_VALUE"""),"Pamela Marcum")</f>
        <v>Pamela Marcum</v>
      </c>
      <c r="C352" t="str">
        <f>IFERROR(__xludf.DUMMYFUNCTION("""COMPUTED_VALUE"""),"pamela.marcum@floridadep.gov")</f>
        <v>pamela.marcum@floridadep.gov</v>
      </c>
      <c r="D352" t="str">
        <f>IFERROR(__xludf.DUMMYFUNCTION("""COMPUTED_VALUE"""),"Research/Nikki")</f>
        <v>Research/Nikki</v>
      </c>
      <c r="E352" t="str">
        <f>IFERROR(__xludf.DUMMYFUNCTION("""COMPUTED_VALUE"""),"210/Palm valley")</f>
        <v>210/Palm valley</v>
      </c>
      <c r="F352" s="13">
        <f>IFERROR(__xludf.DUMMYFUNCTION("""COMPUTED_VALUE"""),0.2916666666678793)</f>
        <v>0.2916666667</v>
      </c>
      <c r="G352" s="14">
        <f>IFERROR(__xludf.DUMMYFUNCTION("""COMPUTED_VALUE"""),43685.0)</f>
        <v>43685</v>
      </c>
      <c r="H352" t="str">
        <f>IFERROR(__xludf.DUMMYFUNCTION("""COMPUTED_VALUE"""),"Pine island marsh site")</f>
        <v>Pine island marsh site</v>
      </c>
      <c r="I352" s="15">
        <f>IFERROR(__xludf.DUMMYFUNCTION("""COMPUTED_VALUE"""),0.5833333333321207)</f>
        <v>0.5833333333</v>
      </c>
      <c r="J352" s="16">
        <f>IFERROR(__xludf.DUMMYFUNCTION("""COMPUTED_VALUE"""),43685.60416666667)</f>
        <v>43685.60417</v>
      </c>
      <c r="K352" t="str">
        <f>IFERROR(__xludf.DUMMYFUNCTION("""COMPUTED_VALUE"""),"17ft Skill FL0642GW DEP07239")</f>
        <v>17ft Skill FL0642GW DEP07239</v>
      </c>
      <c r="M352" t="str">
        <f>IFERROR(__xludf.DUMMYFUNCTION("""COMPUTED_VALUE"""),"Ford F250 2017 (Moby Dix) - DEP0021578")</f>
        <v>Ford F250 2017 (Moby Dix) - DEP0021578</v>
      </c>
      <c r="N352" t="str">
        <f>IFERROR(__xludf.DUMMYFUNCTION("""COMPUTED_VALUE"""),"Pam Marcum, (480) 332-5414")</f>
        <v>Pam Marcum, (480) 332-5414</v>
      </c>
      <c r="P352" t="str">
        <f>IFERROR(__xludf.DUMMYFUNCTION("""COMPUTED_VALUE"""),"Pam")</f>
        <v>Pam</v>
      </c>
      <c r="Q352" t="str">
        <f>IFERROR(__xludf.DUMMYFUNCTION("""COMPUTED_VALUE"""),"Good")</f>
        <v>Good</v>
      </c>
      <c r="R352" t="str">
        <f>IFERROR(__xludf.DUMMYFUNCTION("""COMPUTED_VALUE"""),"Good")</f>
        <v>Good</v>
      </c>
      <c r="S352" t="str">
        <f>IFERROR(__xludf.DUMMYFUNCTION("""COMPUTED_VALUE"""),"Good")</f>
        <v>Good</v>
      </c>
      <c r="T352" t="str">
        <f>IFERROR(__xludf.DUMMYFUNCTION("""COMPUTED_VALUE"""),"Good")</f>
        <v>Good</v>
      </c>
      <c r="U352" t="str">
        <f>IFERROR(__xludf.DUMMYFUNCTION("""COMPUTED_VALUE"""),"Good")</f>
        <v>Good</v>
      </c>
      <c r="V352" t="str">
        <f>IFERROR(__xludf.DUMMYFUNCTION("""COMPUTED_VALUE"""),"Good")</f>
        <v>Good</v>
      </c>
      <c r="W352" t="str">
        <f>IFERROR(__xludf.DUMMYFUNCTION("""COMPUTED_VALUE"""),"Good")</f>
        <v>Good</v>
      </c>
      <c r="X352" t="str">
        <f>IFERROR(__xludf.DUMMYFUNCTION("""COMPUTED_VALUE"""),"Good")</f>
        <v>Good</v>
      </c>
      <c r="Y352" t="str">
        <f>IFERROR(__xludf.DUMMYFUNCTION("""COMPUTED_VALUE"""),"Good")</f>
        <v>Good</v>
      </c>
      <c r="Z352" t="str">
        <f>IFERROR(__xludf.DUMMYFUNCTION("""COMPUTED_VALUE"""),"Good")</f>
        <v>Good</v>
      </c>
      <c r="AA352" t="str">
        <f>IFERROR(__xludf.DUMMYFUNCTION("""COMPUTED_VALUE"""),"Good")</f>
        <v>Good</v>
      </c>
      <c r="AB352" t="str">
        <f>IFERROR(__xludf.DUMMYFUNCTION("""COMPUTED_VALUE"""),"Good")</f>
        <v>Good</v>
      </c>
      <c r="AC352" t="str">
        <f>IFERROR(__xludf.DUMMYFUNCTION("""COMPUTED_VALUE"""),"Good")</f>
        <v>Good</v>
      </c>
      <c r="AE352" s="11"/>
      <c r="AF352" t="s">
        <v>218</v>
      </c>
      <c r="AG352" s="17" t="s">
        <v>18</v>
      </c>
      <c r="AH352" s="12">
        <v>1415.0</v>
      </c>
      <c r="AI352" s="12" t="s">
        <v>1009</v>
      </c>
      <c r="AJ352" s="19" t="s">
        <v>1010</v>
      </c>
      <c r="AK352" s="20" t="str">
        <f>HYPERLINK("https://docs.google.com/document/d/1l4E_ZfLzH_eFlbh_M4aNR8syJtRhBDp7zPqitvKaIG0/edit?usp=drivesdk","Pamela Marcum - 8/8/2019 7:00 AM")</f>
        <v>Pamela Marcum - 8/8/2019 7:00 AM</v>
      </c>
      <c r="AL352" s="12" t="s">
        <v>1011</v>
      </c>
    </row>
    <row r="353">
      <c r="A353" s="10">
        <f>IFERROR(__xludf.DUMMYFUNCTION("""COMPUTED_VALUE"""),43686.46241310185)</f>
        <v>43686.46241</v>
      </c>
      <c r="B353" s="11" t="str">
        <f>IFERROR(__xludf.DUMMYFUNCTION("""COMPUTED_VALUE"""),"Pam Marcum")</f>
        <v>Pam Marcum</v>
      </c>
      <c r="C353" t="str">
        <f>IFERROR(__xludf.DUMMYFUNCTION("""COMPUTED_VALUE"""),"Pamela.Marcum@FloridaDEP.gov")</f>
        <v>Pamela.Marcum@FloridaDEP.gov</v>
      </c>
      <c r="D353" t="str">
        <f>IFERROR(__xludf.DUMMYFUNCTION("""COMPUTED_VALUE"""),"Research/Nikki")</f>
        <v>Research/Nikki</v>
      </c>
      <c r="E353" t="str">
        <f>IFERROR(__xludf.DUMMYFUNCTION("""COMPUTED_VALUE"""),"Palm Valley/201 Bridge")</f>
        <v>Palm Valley/201 Bridge</v>
      </c>
      <c r="F353" s="13">
        <f>IFERROR(__xludf.DUMMYFUNCTION("""COMPUTED_VALUE"""),0.4791666666678793)</f>
        <v>0.4791666667</v>
      </c>
      <c r="G353" s="14">
        <f>IFERROR(__xludf.DUMMYFUNCTION("""COMPUTED_VALUE"""),43686.0)</f>
        <v>43686</v>
      </c>
      <c r="H353" t="str">
        <f>IFERROR(__xludf.DUMMYFUNCTION("""COMPUTED_VALUE"""),"Pine Island Marsh Site")</f>
        <v>Pine Island Marsh Site</v>
      </c>
      <c r="I353" s="15">
        <f>IFERROR(__xludf.DUMMYFUNCTION("""COMPUTED_VALUE"""),0.7083333333321207)</f>
        <v>0.7083333333</v>
      </c>
      <c r="J353" s="16">
        <f>IFERROR(__xludf.DUMMYFUNCTION("""COMPUTED_VALUE"""),43686.72916666667)</f>
        <v>43686.72917</v>
      </c>
      <c r="K353" t="str">
        <f>IFERROR(__xludf.DUMMYFUNCTION("""COMPUTED_VALUE"""),"17ft Skill FL0642GW DEP07239")</f>
        <v>17ft Skill FL0642GW DEP07239</v>
      </c>
      <c r="M353" t="str">
        <f>IFERROR(__xludf.DUMMYFUNCTION("""COMPUTED_VALUE"""),"Ford F250 2017 (Moby Dix) - DEP0021578")</f>
        <v>Ford F250 2017 (Moby Dix) - DEP0021578</v>
      </c>
      <c r="N353" t="str">
        <f>IFERROR(__xludf.DUMMYFUNCTION("""COMPUTED_VALUE"""),"Pam Marcum, (480) 332-5414, Shannon Dunnigan, (803) 727-5734")</f>
        <v>Pam Marcum, (480) 332-5414, Shannon Dunnigan, (803) 727-5734</v>
      </c>
      <c r="P353" t="str">
        <f>IFERROR(__xludf.DUMMYFUNCTION("""COMPUTED_VALUE"""),"Pam")</f>
        <v>Pam</v>
      </c>
      <c r="Q353" t="str">
        <f>IFERROR(__xludf.DUMMYFUNCTION("""COMPUTED_VALUE"""),"Good")</f>
        <v>Good</v>
      </c>
      <c r="R353" t="str">
        <f>IFERROR(__xludf.DUMMYFUNCTION("""COMPUTED_VALUE"""),"Good")</f>
        <v>Good</v>
      </c>
      <c r="S353" t="str">
        <f>IFERROR(__xludf.DUMMYFUNCTION("""COMPUTED_VALUE"""),"Good")</f>
        <v>Good</v>
      </c>
      <c r="T353" t="str">
        <f>IFERROR(__xludf.DUMMYFUNCTION("""COMPUTED_VALUE"""),"Good")</f>
        <v>Good</v>
      </c>
      <c r="U353" t="str">
        <f>IFERROR(__xludf.DUMMYFUNCTION("""COMPUTED_VALUE"""),"Good")</f>
        <v>Good</v>
      </c>
      <c r="V353" t="str">
        <f>IFERROR(__xludf.DUMMYFUNCTION("""COMPUTED_VALUE"""),"Good")</f>
        <v>Good</v>
      </c>
      <c r="W353" t="str">
        <f>IFERROR(__xludf.DUMMYFUNCTION("""COMPUTED_VALUE"""),"Good")</f>
        <v>Good</v>
      </c>
      <c r="X353" t="str">
        <f>IFERROR(__xludf.DUMMYFUNCTION("""COMPUTED_VALUE"""),"Good")</f>
        <v>Good</v>
      </c>
      <c r="Y353" t="str">
        <f>IFERROR(__xludf.DUMMYFUNCTION("""COMPUTED_VALUE"""),"Good")</f>
        <v>Good</v>
      </c>
      <c r="Z353" t="str">
        <f>IFERROR(__xludf.DUMMYFUNCTION("""COMPUTED_VALUE"""),"Good")</f>
        <v>Good</v>
      </c>
      <c r="AA353" t="str">
        <f>IFERROR(__xludf.DUMMYFUNCTION("""COMPUTED_VALUE"""),"Good")</f>
        <v>Good</v>
      </c>
      <c r="AB353" t="str">
        <f>IFERROR(__xludf.DUMMYFUNCTION("""COMPUTED_VALUE"""),"Good")</f>
        <v>Good</v>
      </c>
      <c r="AC353" t="str">
        <f>IFERROR(__xludf.DUMMYFUNCTION("""COMPUTED_VALUE"""),"Good")</f>
        <v>Good</v>
      </c>
      <c r="AE353" s="11"/>
      <c r="AF353" t="s">
        <v>218</v>
      </c>
      <c r="AG353" s="17" t="s">
        <v>43</v>
      </c>
      <c r="AH353" s="12">
        <v>1620.0</v>
      </c>
      <c r="AI353" s="12" t="s">
        <v>1012</v>
      </c>
      <c r="AJ353" s="19" t="s">
        <v>1013</v>
      </c>
      <c r="AK353" s="20" t="str">
        <f>HYPERLINK("https://docs.google.com/document/d/1YMJWkZrunPkqcijQlnoJEDDw7X8P59lFxv9qbVzbaSY/edit?usp=drivesdk","Pam Marcum - 8/9/2019 11:30 AM")</f>
        <v>Pam Marcum - 8/9/2019 11:30 AM</v>
      </c>
      <c r="AL353" s="12" t="s">
        <v>1014</v>
      </c>
    </row>
    <row r="354">
      <c r="A354" s="10">
        <f>IFERROR(__xludf.DUMMYFUNCTION("""COMPUTED_VALUE"""),43689.32989282408)</f>
        <v>43689.32989</v>
      </c>
      <c r="B354" s="11" t="str">
        <f>IFERROR(__xludf.DUMMYFUNCTION("""COMPUTED_VALUE"""),"Jimmy")</f>
        <v>Jimmy</v>
      </c>
      <c r="C354" t="str">
        <f>IFERROR(__xludf.DUMMYFUNCTION("""COMPUTED_VALUE"""),"james.tomazinis@floridadep.gov")</f>
        <v>james.tomazinis@floridadep.gov</v>
      </c>
      <c r="D354" t="str">
        <f>IFERROR(__xludf.DUMMYFUNCTION("""COMPUTED_VALUE"""),"Stewardship (Aquatic)")</f>
        <v>Stewardship (Aquatic)</v>
      </c>
      <c r="E354" t="str">
        <f>IFERROR(__xludf.DUMMYFUNCTION("""COMPUTED_VALUE"""),"Guana Dam")</f>
        <v>Guana Dam</v>
      </c>
      <c r="F354" s="13">
        <f>IFERROR(__xludf.DUMMYFUNCTION("""COMPUTED_VALUE"""),0.3541666666678793)</f>
        <v>0.3541666667</v>
      </c>
      <c r="G354" s="14">
        <f>IFERROR(__xludf.DUMMYFUNCTION("""COMPUTED_VALUE"""),43689.0)</f>
        <v>43689</v>
      </c>
      <c r="H354" t="str">
        <f>IFERROR(__xludf.DUMMYFUNCTION("""COMPUTED_VALUE"""),"Guana River WQ sites")</f>
        <v>Guana River WQ sites</v>
      </c>
      <c r="I354" s="15">
        <f>IFERROR(__xludf.DUMMYFUNCTION("""COMPUTED_VALUE"""),0.9583333333321207)</f>
        <v>0.9583333333</v>
      </c>
      <c r="J354" s="16"/>
      <c r="K354" t="str">
        <f>IFERROR(__xludf.DUMMYFUNCTION("""COMPUTED_VALUE"""),"Jon Boat FL0484NP DEP06819")</f>
        <v>Jon Boat FL0484NP DEP06819</v>
      </c>
      <c r="M354" t="str">
        <f>IFERROR(__xludf.DUMMYFUNCTION("""COMPUTED_VALUE"""),"Ford F150 2015 (White) - DEP21448")</f>
        <v>Ford F150 2015 (White) - DEP21448</v>
      </c>
      <c r="N354" t="str">
        <f>IFERROR(__xludf.DUMMYFUNCTION("""COMPUTED_VALUE"""),"Jimmy Tomazinis, (904) 547-0094")</f>
        <v>Jimmy Tomazinis, (904) 547-0094</v>
      </c>
      <c r="O354" t="str">
        <f>IFERROR(__xludf.DUMMYFUNCTION("""COMPUTED_VALUE"""),"Jessica Lee")</f>
        <v>Jessica Lee</v>
      </c>
      <c r="P354" t="str">
        <f>IFERROR(__xludf.DUMMYFUNCTION("""COMPUTED_VALUE"""),"Jimmy")</f>
        <v>Jimmy</v>
      </c>
      <c r="Q354" t="str">
        <f>IFERROR(__xludf.DUMMYFUNCTION("""COMPUTED_VALUE"""),"Good")</f>
        <v>Good</v>
      </c>
      <c r="R354" t="str">
        <f>IFERROR(__xludf.DUMMYFUNCTION("""COMPUTED_VALUE"""),"Good")</f>
        <v>Good</v>
      </c>
      <c r="S354" t="str">
        <f>IFERROR(__xludf.DUMMYFUNCTION("""COMPUTED_VALUE"""),"Good")</f>
        <v>Good</v>
      </c>
      <c r="T354" t="str">
        <f>IFERROR(__xludf.DUMMYFUNCTION("""COMPUTED_VALUE"""),"Good")</f>
        <v>Good</v>
      </c>
      <c r="U354" t="str">
        <f>IFERROR(__xludf.DUMMYFUNCTION("""COMPUTED_VALUE"""),"Good")</f>
        <v>Good</v>
      </c>
      <c r="V354" t="str">
        <f>IFERROR(__xludf.DUMMYFUNCTION("""COMPUTED_VALUE"""),"Good")</f>
        <v>Good</v>
      </c>
      <c r="W354" t="str">
        <f>IFERROR(__xludf.DUMMYFUNCTION("""COMPUTED_VALUE"""),"Good")</f>
        <v>Good</v>
      </c>
      <c r="X354" t="str">
        <f>IFERROR(__xludf.DUMMYFUNCTION("""COMPUTED_VALUE"""),"Good")</f>
        <v>Good</v>
      </c>
      <c r="Y354" t="str">
        <f>IFERROR(__xludf.DUMMYFUNCTION("""COMPUTED_VALUE"""),"Good")</f>
        <v>Good</v>
      </c>
      <c r="Z354" t="str">
        <f>IFERROR(__xludf.DUMMYFUNCTION("""COMPUTED_VALUE"""),"Good")</f>
        <v>Good</v>
      </c>
      <c r="AA354" t="str">
        <f>IFERROR(__xludf.DUMMYFUNCTION("""COMPUTED_VALUE"""),"Good")</f>
        <v>Good</v>
      </c>
      <c r="AB354" t="str">
        <f>IFERROR(__xludf.DUMMYFUNCTION("""COMPUTED_VALUE"""),"Good")</f>
        <v>Good</v>
      </c>
      <c r="AC354" t="str">
        <f>IFERROR(__xludf.DUMMYFUNCTION("""COMPUTED_VALUE"""),"Good")</f>
        <v>Good</v>
      </c>
      <c r="AE354" s="11"/>
      <c r="AF354" t="s">
        <v>32</v>
      </c>
      <c r="AG354" s="17" t="s">
        <v>448</v>
      </c>
      <c r="AH354" s="12">
        <v>1000.0</v>
      </c>
      <c r="AI354" s="12" t="s">
        <v>1015</v>
      </c>
      <c r="AJ354" s="19" t="s">
        <v>1016</v>
      </c>
      <c r="AK354" s="20" t="str">
        <f>HYPERLINK("https://docs.google.com/document/d/1mAuPt1x3SC6PF8ujlRcp2_FSebhAGV02h612BkmlcNs/edit?usp=drivesdk","Jimmy - 8/12/2019 8:30 AM")</f>
        <v>Jimmy - 8/12/2019 8:30 AM</v>
      </c>
      <c r="AL354" s="12" t="s">
        <v>1017</v>
      </c>
    </row>
    <row r="355">
      <c r="A355" s="10">
        <f>IFERROR(__xludf.DUMMYFUNCTION("""COMPUTED_VALUE"""),43689.69758003472)</f>
        <v>43689.69758</v>
      </c>
      <c r="B355" s="11" t="str">
        <f>IFERROR(__xludf.DUMMYFUNCTION("""COMPUTED_VALUE"""),"Jimmy")</f>
        <v>Jimmy</v>
      </c>
      <c r="C355" t="str">
        <f>IFERROR(__xludf.DUMMYFUNCTION("""COMPUTED_VALUE"""),"james.tomazinis@floridadep.gov")</f>
        <v>james.tomazinis@floridadep.gov</v>
      </c>
      <c r="D355" t="str">
        <f>IFERROR(__xludf.DUMMYFUNCTION("""COMPUTED_VALUE"""),"Stewardship (Aquatic)")</f>
        <v>Stewardship (Aquatic)</v>
      </c>
      <c r="E355" t="str">
        <f>IFERROR(__xludf.DUMMYFUNCTION("""COMPUTED_VALUE"""),"Dee Dee Bartels and Goffinsville Park")</f>
        <v>Dee Dee Bartels and Goffinsville Park</v>
      </c>
      <c r="F355" s="13">
        <f>IFERROR(__xludf.DUMMYFUNCTION("""COMPUTED_VALUE"""),0.2916666666678793)</f>
        <v>0.2916666667</v>
      </c>
      <c r="G355" s="14">
        <f>IFERROR(__xludf.DUMMYFUNCTION("""COMPUTED_VALUE"""),43690.0)</f>
        <v>43690</v>
      </c>
      <c r="H355" t="str">
        <f>IFERROR(__xludf.DUMMYFUNCTION("""COMPUTED_VALUE"""),"NEAP WQ sites")</f>
        <v>NEAP WQ sites</v>
      </c>
      <c r="I355" s="15">
        <f>IFERROR(__xludf.DUMMYFUNCTION("""COMPUTED_VALUE"""),0.5)</f>
        <v>0.5</v>
      </c>
      <c r="J355" s="16"/>
      <c r="K355" t="str">
        <f>IFERROR(__xludf.DUMMYFUNCTION("""COMPUTED_VALUE"""),"17ft Skill FL0642GW DEP07239")</f>
        <v>17ft Skill FL0642GW DEP07239</v>
      </c>
      <c r="M355" t="str">
        <f>IFERROR(__xludf.DUMMYFUNCTION("""COMPUTED_VALUE"""),"Ford F150 2008 - DEP18041 (SWMP Thing)")</f>
        <v>Ford F150 2008 - DEP18041 (SWMP Thing)</v>
      </c>
      <c r="N355" t="str">
        <f>IFERROR(__xludf.DUMMYFUNCTION("""COMPUTED_VALUE"""),"Jimmy Tomazinis, (904) 547-0094")</f>
        <v>Jimmy Tomazinis, (904) 547-0094</v>
      </c>
      <c r="O355" t="str">
        <f>IFERROR(__xludf.DUMMYFUNCTION("""COMPUTED_VALUE"""),"TBD")</f>
        <v>TBD</v>
      </c>
      <c r="P355" t="str">
        <f>IFERROR(__xludf.DUMMYFUNCTION("""COMPUTED_VALUE"""),"Jimmy")</f>
        <v>Jimmy</v>
      </c>
      <c r="Q355" t="str">
        <f>IFERROR(__xludf.DUMMYFUNCTION("""COMPUTED_VALUE"""),"Good")</f>
        <v>Good</v>
      </c>
      <c r="R355" t="str">
        <f>IFERROR(__xludf.DUMMYFUNCTION("""COMPUTED_VALUE"""),"Good")</f>
        <v>Good</v>
      </c>
      <c r="S355" t="str">
        <f>IFERROR(__xludf.DUMMYFUNCTION("""COMPUTED_VALUE"""),"Good")</f>
        <v>Good</v>
      </c>
      <c r="T355" t="str">
        <f>IFERROR(__xludf.DUMMYFUNCTION("""COMPUTED_VALUE"""),"Good")</f>
        <v>Good</v>
      </c>
      <c r="U355" t="str">
        <f>IFERROR(__xludf.DUMMYFUNCTION("""COMPUTED_VALUE"""),"Good")</f>
        <v>Good</v>
      </c>
      <c r="V355" t="str">
        <f>IFERROR(__xludf.DUMMYFUNCTION("""COMPUTED_VALUE"""),"Good")</f>
        <v>Good</v>
      </c>
      <c r="W355" t="str">
        <f>IFERROR(__xludf.DUMMYFUNCTION("""COMPUTED_VALUE"""),"Good")</f>
        <v>Good</v>
      </c>
      <c r="X355" t="str">
        <f>IFERROR(__xludf.DUMMYFUNCTION("""COMPUTED_VALUE"""),"Good")</f>
        <v>Good</v>
      </c>
      <c r="Y355" t="str">
        <f>IFERROR(__xludf.DUMMYFUNCTION("""COMPUTED_VALUE"""),"Good")</f>
        <v>Good</v>
      </c>
      <c r="Z355" t="str">
        <f>IFERROR(__xludf.DUMMYFUNCTION("""COMPUTED_VALUE"""),"Good")</f>
        <v>Good</v>
      </c>
      <c r="AA355" t="str">
        <f>IFERROR(__xludf.DUMMYFUNCTION("""COMPUTED_VALUE"""),"Good")</f>
        <v>Good</v>
      </c>
      <c r="AB355" t="str">
        <f>IFERROR(__xludf.DUMMYFUNCTION("""COMPUTED_VALUE"""),"Good")</f>
        <v>Good</v>
      </c>
      <c r="AC355" t="str">
        <f>IFERROR(__xludf.DUMMYFUNCTION("""COMPUTED_VALUE"""),"Good")</f>
        <v>Good</v>
      </c>
      <c r="AE355" s="11"/>
      <c r="AF355" t="s">
        <v>32</v>
      </c>
      <c r="AG355" s="17" t="s">
        <v>18</v>
      </c>
      <c r="AH355" s="12">
        <v>1215.0</v>
      </c>
      <c r="AI355" s="12" t="s">
        <v>1018</v>
      </c>
      <c r="AJ355" s="19" t="s">
        <v>1019</v>
      </c>
      <c r="AK355" s="20" t="str">
        <f>HYPERLINK("https://docs.google.com/a/gtmnerr.org/document/d/11Q1zngHv0-P5AsO1ZgZYteXWIjY4Pp94rg3HG76Vfhk/edit?usp=drivesdk","Jimmy - 8/13/2019 7:00 AM")</f>
        <v>Jimmy - 8/13/2019 7:00 AM</v>
      </c>
      <c r="AL355" s="12" t="s">
        <v>1020</v>
      </c>
    </row>
    <row r="356">
      <c r="A356" s="10">
        <f>IFERROR(__xludf.DUMMYFUNCTION("""COMPUTED_VALUE"""),43689.74812228009)</f>
        <v>43689.74812</v>
      </c>
      <c r="B356" s="11" t="str">
        <f>IFERROR(__xludf.DUMMYFUNCTION("""COMPUTED_VALUE"""),"Silas Tanner")</f>
        <v>Silas Tanner</v>
      </c>
      <c r="C356" t="str">
        <f>IFERROR(__xludf.DUMMYFUNCTION("""COMPUTED_VALUE"""),"silas.tanner@floridadep.gov")</f>
        <v>silas.tanner@floridadep.gov</v>
      </c>
      <c r="D356" t="str">
        <f>IFERROR(__xludf.DUMMYFUNCTION("""COMPUTED_VALUE"""),"Research/Nikki")</f>
        <v>Research/Nikki</v>
      </c>
      <c r="E356" t="str">
        <f>IFERROR(__xludf.DUMMYFUNCTION("""COMPUTED_VALUE"""),"Vilano Landing")</f>
        <v>Vilano Landing</v>
      </c>
      <c r="F356" s="13">
        <f>IFERROR(__xludf.DUMMYFUNCTION("""COMPUTED_VALUE"""),0.3020833333321207)</f>
        <v>0.3020833333</v>
      </c>
      <c r="G356" s="14">
        <f>IFERROR(__xludf.DUMMYFUNCTION("""COMPUTED_VALUE"""),43690.0)</f>
        <v>43690</v>
      </c>
      <c r="H356" t="str">
        <f>IFERROR(__xludf.DUMMYFUNCTION("""COMPUTED_VALUE"""),"ICW SWMP sites")</f>
        <v>ICW SWMP sites</v>
      </c>
      <c r="I356" s="15">
        <f>IFERROR(__xludf.DUMMYFUNCTION("""COMPUTED_VALUE"""),0.5520833333321207)</f>
        <v>0.5520833333</v>
      </c>
      <c r="J356" s="16">
        <f>IFERROR(__xludf.DUMMYFUNCTION("""COMPUTED_VALUE"""),43690.57291666667)</f>
        <v>43690.57292</v>
      </c>
      <c r="K356" t="str">
        <f>IFERROR(__xludf.DUMMYFUNCTION("""COMPUTED_VALUE"""),"23ft Skiff (Bertha) FL7972LJ DEP07613")</f>
        <v>23ft Skiff (Bertha) FL7972LJ DEP07613</v>
      </c>
      <c r="M356" t="str">
        <f>IFERROR(__xludf.DUMMYFUNCTION("""COMPUTED_VALUE"""),"Ford F250 2017 (Moby Dix) - DEP0021578")</f>
        <v>Ford F250 2017 (Moby Dix) - DEP0021578</v>
      </c>
      <c r="N356" t="str">
        <f>IFERROR(__xludf.DUMMYFUNCTION("""COMPUTED_VALUE"""),"Silas Tanner, (904) 483-8423")</f>
        <v>Silas Tanner, (904) 483-8423</v>
      </c>
      <c r="O356" t="str">
        <f>IFERROR(__xludf.DUMMYFUNCTION("""COMPUTED_VALUE"""),"Alee Knoell, Jeff Finnan")</f>
        <v>Alee Knoell, Jeff Finnan</v>
      </c>
      <c r="P356" t="str">
        <f>IFERROR(__xludf.DUMMYFUNCTION("""COMPUTED_VALUE"""),"S. Tanner")</f>
        <v>S. Tanner</v>
      </c>
      <c r="Q356" t="str">
        <f>IFERROR(__xludf.DUMMYFUNCTION("""COMPUTED_VALUE"""),"Good")</f>
        <v>Good</v>
      </c>
      <c r="R356" t="str">
        <f>IFERROR(__xludf.DUMMYFUNCTION("""COMPUTED_VALUE"""),"Good")</f>
        <v>Good</v>
      </c>
      <c r="S356" t="str">
        <f>IFERROR(__xludf.DUMMYFUNCTION("""COMPUTED_VALUE"""),"Good")</f>
        <v>Good</v>
      </c>
      <c r="T356" t="str">
        <f>IFERROR(__xludf.DUMMYFUNCTION("""COMPUTED_VALUE"""),"Good")</f>
        <v>Good</v>
      </c>
      <c r="U356" t="str">
        <f>IFERROR(__xludf.DUMMYFUNCTION("""COMPUTED_VALUE"""),"Good")</f>
        <v>Good</v>
      </c>
      <c r="V356" t="str">
        <f>IFERROR(__xludf.DUMMYFUNCTION("""COMPUTED_VALUE"""),"Good")</f>
        <v>Good</v>
      </c>
      <c r="W356" t="str">
        <f>IFERROR(__xludf.DUMMYFUNCTION("""COMPUTED_VALUE"""),"Good")</f>
        <v>Good</v>
      </c>
      <c r="X356" t="str">
        <f>IFERROR(__xludf.DUMMYFUNCTION("""COMPUTED_VALUE"""),"Good")</f>
        <v>Good</v>
      </c>
      <c r="Y356" t="str">
        <f>IFERROR(__xludf.DUMMYFUNCTION("""COMPUTED_VALUE"""),"Good")</f>
        <v>Good</v>
      </c>
      <c r="Z356" t="str">
        <f>IFERROR(__xludf.DUMMYFUNCTION("""COMPUTED_VALUE"""),"Good")</f>
        <v>Good</v>
      </c>
      <c r="AA356" t="str">
        <f>IFERROR(__xludf.DUMMYFUNCTION("""COMPUTED_VALUE"""),"Good")</f>
        <v>Good</v>
      </c>
      <c r="AB356" t="str">
        <f>IFERROR(__xludf.DUMMYFUNCTION("""COMPUTED_VALUE"""),"Good")</f>
        <v>Good</v>
      </c>
      <c r="AC356" t="str">
        <f>IFERROR(__xludf.DUMMYFUNCTION("""COMPUTED_VALUE"""),"Good")</f>
        <v>Good</v>
      </c>
      <c r="AE356" s="11"/>
      <c r="AF356" t="s">
        <v>218</v>
      </c>
      <c r="AG356" s="17" t="s">
        <v>43</v>
      </c>
      <c r="AH356" s="12">
        <v>1152.0</v>
      </c>
      <c r="AI356" s="12" t="s">
        <v>1021</v>
      </c>
      <c r="AJ356" s="19" t="s">
        <v>1022</v>
      </c>
      <c r="AK356" s="20" t="str">
        <f>HYPERLINK("https://docs.google.com/document/d/1PSs6PJxfHNvQL0Gdx2FpaTy-9EKgmxmmCEUvK9qcJiU/edit?usp=drivesdk","Silas Tanner - 8/13/2019 7:15 AM")</f>
        <v>Silas Tanner - 8/13/2019 7:15 AM</v>
      </c>
      <c r="AL356" s="12" t="s">
        <v>1023</v>
      </c>
    </row>
    <row r="357">
      <c r="A357" s="10">
        <f>IFERROR(__xludf.DUMMYFUNCTION("""COMPUTED_VALUE"""),43697.275023553244)</f>
        <v>43697.27502</v>
      </c>
      <c r="B357" s="11" t="str">
        <f>IFERROR(__xludf.DUMMYFUNCTION("""COMPUTED_VALUE"""),"Pam Marcum")</f>
        <v>Pam Marcum</v>
      </c>
      <c r="C357" t="str">
        <f>IFERROR(__xludf.DUMMYFUNCTION("""COMPUTED_VALUE"""),"pamela.marcum@floridadep.gov")</f>
        <v>pamela.marcum@floridadep.gov</v>
      </c>
      <c r="D357" t="str">
        <f>IFERROR(__xludf.DUMMYFUNCTION("""COMPUTED_VALUE"""),"Research/Nikki")</f>
        <v>Research/Nikki</v>
      </c>
      <c r="E357" t="str">
        <f>IFERROR(__xludf.DUMMYFUNCTION("""COMPUTED_VALUE"""),"Shore")</f>
        <v>Shore</v>
      </c>
      <c r="F357" s="13">
        <f>IFERROR(__xludf.DUMMYFUNCTION("""COMPUTED_VALUE"""),0.2708333333321207)</f>
        <v>0.2708333333</v>
      </c>
      <c r="G357" s="14">
        <f>IFERROR(__xludf.DUMMYFUNCTION("""COMPUTED_VALUE"""),43697.0)</f>
        <v>43697</v>
      </c>
      <c r="H357" t="str">
        <f>IFERROR(__xludf.DUMMYFUNCTION("""COMPUTED_VALUE"""),"Site 22")</f>
        <v>Site 22</v>
      </c>
      <c r="I357" s="15">
        <f>IFERROR(__xludf.DUMMYFUNCTION("""COMPUTED_VALUE"""),0.3333333333321207)</f>
        <v>0.3333333333</v>
      </c>
      <c r="J357" s="16">
        <f>IFERROR(__xludf.DUMMYFUNCTION("""COMPUTED_VALUE"""),43697.33333333333)</f>
        <v>43697.33333</v>
      </c>
      <c r="K357" t="str">
        <f>IFERROR(__xludf.DUMMYFUNCTION("""COMPUTED_VALUE"""),"17ft Skill FL0642GW DEP07239")</f>
        <v>17ft Skill FL0642GW DEP07239</v>
      </c>
      <c r="M357" t="str">
        <f>IFERROR(__xludf.DUMMYFUNCTION("""COMPUTED_VALUE"""),"Ford F250 2017 (Moby Dix) - DEP0021578")</f>
        <v>Ford F250 2017 (Moby Dix) - DEP0021578</v>
      </c>
      <c r="N357" t="str">
        <f>IFERROR(__xludf.DUMMYFUNCTION("""COMPUTED_VALUE"""),"Pam Marcum, (480) 332-5414, Remo Mondazzi")</f>
        <v>Pam Marcum, (480) 332-5414, Remo Mondazzi</v>
      </c>
      <c r="P357" t="str">
        <f>IFERROR(__xludf.DUMMYFUNCTION("""COMPUTED_VALUE"""),"Pam")</f>
        <v>Pam</v>
      </c>
      <c r="Q357" t="str">
        <f>IFERROR(__xludf.DUMMYFUNCTION("""COMPUTED_VALUE"""),"Good")</f>
        <v>Good</v>
      </c>
      <c r="R357" t="str">
        <f>IFERROR(__xludf.DUMMYFUNCTION("""COMPUTED_VALUE"""),"Good")</f>
        <v>Good</v>
      </c>
      <c r="S357" t="str">
        <f>IFERROR(__xludf.DUMMYFUNCTION("""COMPUTED_VALUE"""),"Good")</f>
        <v>Good</v>
      </c>
      <c r="T357" t="str">
        <f>IFERROR(__xludf.DUMMYFUNCTION("""COMPUTED_VALUE"""),"Good")</f>
        <v>Good</v>
      </c>
      <c r="U357" t="str">
        <f>IFERROR(__xludf.DUMMYFUNCTION("""COMPUTED_VALUE"""),"Good")</f>
        <v>Good</v>
      </c>
      <c r="V357" t="str">
        <f>IFERROR(__xludf.DUMMYFUNCTION("""COMPUTED_VALUE"""),"Good")</f>
        <v>Good</v>
      </c>
      <c r="W357" t="str">
        <f>IFERROR(__xludf.DUMMYFUNCTION("""COMPUTED_VALUE"""),"Good")</f>
        <v>Good</v>
      </c>
      <c r="X357" t="str">
        <f>IFERROR(__xludf.DUMMYFUNCTION("""COMPUTED_VALUE"""),"Good")</f>
        <v>Good</v>
      </c>
      <c r="Y357" t="str">
        <f>IFERROR(__xludf.DUMMYFUNCTION("""COMPUTED_VALUE"""),"Good")</f>
        <v>Good</v>
      </c>
      <c r="Z357" t="str">
        <f>IFERROR(__xludf.DUMMYFUNCTION("""COMPUTED_VALUE"""),"Good")</f>
        <v>Good</v>
      </c>
      <c r="AA357" t="str">
        <f>IFERROR(__xludf.DUMMYFUNCTION("""COMPUTED_VALUE"""),"Good")</f>
        <v>Good</v>
      </c>
      <c r="AB357" t="str">
        <f>IFERROR(__xludf.DUMMYFUNCTION("""COMPUTED_VALUE"""),"Good")</f>
        <v>Good</v>
      </c>
      <c r="AC357" t="str">
        <f>IFERROR(__xludf.DUMMYFUNCTION("""COMPUTED_VALUE"""),"Good")</f>
        <v>Good</v>
      </c>
      <c r="AE357" s="11"/>
      <c r="AF357" t="s">
        <v>218</v>
      </c>
      <c r="AG357" s="17" t="s">
        <v>18</v>
      </c>
      <c r="AH357" s="12">
        <v>850.0</v>
      </c>
      <c r="AI357" s="12" t="s">
        <v>1024</v>
      </c>
      <c r="AJ357" s="19" t="s">
        <v>1025</v>
      </c>
      <c r="AK357" s="20" t="str">
        <f>HYPERLINK("https://docs.google.com/document/d/1RWIKtoOaMeyPaIs4hJT3bwRUK1PkwCCzdMFo1k4GAxk/edit?usp=drivesdk","Pam Marcum - 8/20/2019 6:30 AM")</f>
        <v>Pam Marcum - 8/20/2019 6:30 AM</v>
      </c>
      <c r="AL357" s="12" t="s">
        <v>1026</v>
      </c>
    </row>
    <row r="358">
      <c r="A358" s="10">
        <f>IFERROR(__xludf.DUMMYFUNCTION("""COMPUTED_VALUE"""),43697.628050706015)</f>
        <v>43697.62805</v>
      </c>
      <c r="B358" s="11" t="str">
        <f>IFERROR(__xludf.DUMMYFUNCTION("""COMPUTED_VALUE"""),"Pam Marcum")</f>
        <v>Pam Marcum</v>
      </c>
      <c r="C358" t="str">
        <f>IFERROR(__xludf.DUMMYFUNCTION("""COMPUTED_VALUE"""),"pamela.marcum@floridadep.gov")</f>
        <v>pamela.marcum@floridadep.gov</v>
      </c>
      <c r="D358" t="str">
        <f>IFERROR(__xludf.DUMMYFUNCTION("""COMPUTED_VALUE"""),"Research/Nikki")</f>
        <v>Research/Nikki</v>
      </c>
      <c r="E358" t="str">
        <f>IFERROR(__xludf.DUMMYFUNCTION("""COMPUTED_VALUE"""),"Shore")</f>
        <v>Shore</v>
      </c>
      <c r="F358" s="13">
        <f>IFERROR(__xludf.DUMMYFUNCTION("""COMPUTED_VALUE"""),0.6354166666678793)</f>
        <v>0.6354166667</v>
      </c>
      <c r="G358" s="14">
        <f>IFERROR(__xludf.DUMMYFUNCTION("""COMPUTED_VALUE"""),43697.0)</f>
        <v>43697</v>
      </c>
      <c r="H358" t="str">
        <f>IFERROR(__xludf.DUMMYFUNCTION("""COMPUTED_VALUE"""),"Site 22")</f>
        <v>Site 22</v>
      </c>
      <c r="I358" s="15">
        <f>IFERROR(__xludf.DUMMYFUNCTION("""COMPUTED_VALUE"""),0.7083333333321207)</f>
        <v>0.7083333333</v>
      </c>
      <c r="J358" s="16">
        <f>IFERROR(__xludf.DUMMYFUNCTION("""COMPUTED_VALUE"""),43697.75)</f>
        <v>43697.75</v>
      </c>
      <c r="K358" t="str">
        <f>IFERROR(__xludf.DUMMYFUNCTION("""COMPUTED_VALUE"""),"17ft Skill FL0642GW DEP07239")</f>
        <v>17ft Skill FL0642GW DEP07239</v>
      </c>
      <c r="M358" t="str">
        <f>IFERROR(__xludf.DUMMYFUNCTION("""COMPUTED_VALUE"""),"Ford F250 2017 (Moby Dix) - DEP0021578")</f>
        <v>Ford F250 2017 (Moby Dix) - DEP0021578</v>
      </c>
      <c r="N358" t="str">
        <f>IFERROR(__xludf.DUMMYFUNCTION("""COMPUTED_VALUE"""),"Pam Marcum, (480) 332-5414, Remo Mondazzi")</f>
        <v>Pam Marcum, (480) 332-5414, Remo Mondazzi</v>
      </c>
      <c r="P358" t="str">
        <f>IFERROR(__xludf.DUMMYFUNCTION("""COMPUTED_VALUE"""),"Pam")</f>
        <v>Pam</v>
      </c>
      <c r="Q358" t="str">
        <f>IFERROR(__xludf.DUMMYFUNCTION("""COMPUTED_VALUE"""),"Good")</f>
        <v>Good</v>
      </c>
      <c r="R358" t="str">
        <f>IFERROR(__xludf.DUMMYFUNCTION("""COMPUTED_VALUE"""),"Good")</f>
        <v>Good</v>
      </c>
      <c r="S358" t="str">
        <f>IFERROR(__xludf.DUMMYFUNCTION("""COMPUTED_VALUE"""),"Good")</f>
        <v>Good</v>
      </c>
      <c r="T358" t="str">
        <f>IFERROR(__xludf.DUMMYFUNCTION("""COMPUTED_VALUE"""),"Good")</f>
        <v>Good</v>
      </c>
      <c r="U358" t="str">
        <f>IFERROR(__xludf.DUMMYFUNCTION("""COMPUTED_VALUE"""),"Good")</f>
        <v>Good</v>
      </c>
      <c r="V358" t="str">
        <f>IFERROR(__xludf.DUMMYFUNCTION("""COMPUTED_VALUE"""),"Good")</f>
        <v>Good</v>
      </c>
      <c r="W358" t="str">
        <f>IFERROR(__xludf.DUMMYFUNCTION("""COMPUTED_VALUE"""),"Good")</f>
        <v>Good</v>
      </c>
      <c r="X358" t="str">
        <f>IFERROR(__xludf.DUMMYFUNCTION("""COMPUTED_VALUE"""),"Good")</f>
        <v>Good</v>
      </c>
      <c r="Y358" t="str">
        <f>IFERROR(__xludf.DUMMYFUNCTION("""COMPUTED_VALUE"""),"Good")</f>
        <v>Good</v>
      </c>
      <c r="Z358" t="str">
        <f>IFERROR(__xludf.DUMMYFUNCTION("""COMPUTED_VALUE"""),"Good")</f>
        <v>Good</v>
      </c>
      <c r="AA358" t="str">
        <f>IFERROR(__xludf.DUMMYFUNCTION("""COMPUTED_VALUE"""),"Good")</f>
        <v>Good</v>
      </c>
      <c r="AB358" t="str">
        <f>IFERROR(__xludf.DUMMYFUNCTION("""COMPUTED_VALUE"""),"Good")</f>
        <v>Good</v>
      </c>
      <c r="AC358" t="str">
        <f>IFERROR(__xludf.DUMMYFUNCTION("""COMPUTED_VALUE"""),"Good")</f>
        <v>Good</v>
      </c>
      <c r="AE358" s="11"/>
      <c r="AF358" t="s">
        <v>218</v>
      </c>
      <c r="AG358" s="17" t="s">
        <v>18</v>
      </c>
      <c r="AH358" s="12">
        <v>1630.0</v>
      </c>
      <c r="AI358" s="12" t="s">
        <v>1027</v>
      </c>
      <c r="AJ358" s="19" t="s">
        <v>1028</v>
      </c>
      <c r="AK358" s="20" t="str">
        <f>HYPERLINK("https://docs.google.com/document/d/1KcgaayyBJ7F6uQm0nvdHRmo9_83OCOz8oj2qRca9CDM/edit?usp=drivesdk","Pam Marcum - 8/20/2019 3:15 PM")</f>
        <v>Pam Marcum - 8/20/2019 3:15 PM</v>
      </c>
      <c r="AL358" s="12" t="s">
        <v>1029</v>
      </c>
    </row>
    <row r="359">
      <c r="A359" s="10">
        <f>IFERROR(__xludf.DUMMYFUNCTION("""COMPUTED_VALUE"""),43699.245796967596)</f>
        <v>43699.2458</v>
      </c>
      <c r="B359" s="11" t="str">
        <f>IFERROR(__xludf.DUMMYFUNCTION("""COMPUTED_VALUE"""),"Pam Marcum")</f>
        <v>Pam Marcum</v>
      </c>
      <c r="C359" t="str">
        <f>IFERROR(__xludf.DUMMYFUNCTION("""COMPUTED_VALUE"""),"Pamela.Marcum@floridadep.gov")</f>
        <v>Pamela.Marcum@floridadep.gov</v>
      </c>
      <c r="D359" t="str">
        <f>IFERROR(__xludf.DUMMYFUNCTION("""COMPUTED_VALUE"""),"Research/Nikki")</f>
        <v>Research/Nikki</v>
      </c>
      <c r="E359" t="str">
        <f>IFERROR(__xludf.DUMMYFUNCTION("""COMPUTED_VALUE"""),"Green Rd")</f>
        <v>Green Rd</v>
      </c>
      <c r="F359" s="13">
        <f>IFERROR(__xludf.DUMMYFUNCTION("""COMPUTED_VALUE"""),0.3020833333321207)</f>
        <v>0.3020833333</v>
      </c>
      <c r="G359" s="14">
        <f>IFERROR(__xludf.DUMMYFUNCTION("""COMPUTED_VALUE"""),43699.0)</f>
        <v>43699</v>
      </c>
      <c r="H359" t="str">
        <f>IFERROR(__xludf.DUMMYFUNCTION("""COMPUTED_VALUE"""),"Moses Creek")</f>
        <v>Moses Creek</v>
      </c>
      <c r="I359" s="15">
        <f>IFERROR(__xludf.DUMMYFUNCTION("""COMPUTED_VALUE"""),0.5833333333321207)</f>
        <v>0.5833333333</v>
      </c>
      <c r="J359" s="16">
        <f>IFERROR(__xludf.DUMMYFUNCTION("""COMPUTED_VALUE"""),43699.625)</f>
        <v>43699.625</v>
      </c>
      <c r="K359" t="str">
        <f>IFERROR(__xludf.DUMMYFUNCTION("""COMPUTED_VALUE"""),"F 20ft Sea Ark (Easy 200) FL8534PY DEP21451")</f>
        <v>F 20ft Sea Ark (Easy 200) FL8534PY DEP21451</v>
      </c>
      <c r="M359" t="str">
        <f>IFERROR(__xludf.DUMMYFUNCTION("""COMPUTED_VALUE"""),"Ford F250 2017 (Moby Dix) - DEP0021578")</f>
        <v>Ford F250 2017 (Moby Dix) - DEP0021578</v>
      </c>
      <c r="N359" t="str">
        <f>IFERROR(__xludf.DUMMYFUNCTION("""COMPUTED_VALUE"""),"Pam Marcum, (480) 332-5414")</f>
        <v>Pam Marcum, (480) 332-5414</v>
      </c>
      <c r="O359" t="str">
        <f>IFERROR(__xludf.DUMMYFUNCTION("""COMPUTED_VALUE"""),"Alee Knoell")</f>
        <v>Alee Knoell</v>
      </c>
      <c r="P359" t="str">
        <f>IFERROR(__xludf.DUMMYFUNCTION("""COMPUTED_VALUE"""),"Pam")</f>
        <v>Pam</v>
      </c>
      <c r="Q359" t="str">
        <f>IFERROR(__xludf.DUMMYFUNCTION("""COMPUTED_VALUE"""),"Good")</f>
        <v>Good</v>
      </c>
      <c r="R359" t="str">
        <f>IFERROR(__xludf.DUMMYFUNCTION("""COMPUTED_VALUE"""),"Good")</f>
        <v>Good</v>
      </c>
      <c r="S359" t="str">
        <f>IFERROR(__xludf.DUMMYFUNCTION("""COMPUTED_VALUE"""),"Good")</f>
        <v>Good</v>
      </c>
      <c r="T359" t="str">
        <f>IFERROR(__xludf.DUMMYFUNCTION("""COMPUTED_VALUE"""),"Good")</f>
        <v>Good</v>
      </c>
      <c r="U359" t="str">
        <f>IFERROR(__xludf.DUMMYFUNCTION("""COMPUTED_VALUE"""),"Good")</f>
        <v>Good</v>
      </c>
      <c r="V359" t="str">
        <f>IFERROR(__xludf.DUMMYFUNCTION("""COMPUTED_VALUE"""),"Good")</f>
        <v>Good</v>
      </c>
      <c r="W359" t="str">
        <f>IFERROR(__xludf.DUMMYFUNCTION("""COMPUTED_VALUE"""),"Good")</f>
        <v>Good</v>
      </c>
      <c r="X359" t="str">
        <f>IFERROR(__xludf.DUMMYFUNCTION("""COMPUTED_VALUE"""),"Good")</f>
        <v>Good</v>
      </c>
      <c r="Y359" t="str">
        <f>IFERROR(__xludf.DUMMYFUNCTION("""COMPUTED_VALUE"""),"Good")</f>
        <v>Good</v>
      </c>
      <c r="Z359" t="str">
        <f>IFERROR(__xludf.DUMMYFUNCTION("""COMPUTED_VALUE"""),"Good")</f>
        <v>Good</v>
      </c>
      <c r="AA359" t="str">
        <f>IFERROR(__xludf.DUMMYFUNCTION("""COMPUTED_VALUE"""),"Good")</f>
        <v>Good</v>
      </c>
      <c r="AB359" t="str">
        <f>IFERROR(__xludf.DUMMYFUNCTION("""COMPUTED_VALUE"""),"Good")</f>
        <v>Good</v>
      </c>
      <c r="AC359" t="str">
        <f>IFERROR(__xludf.DUMMYFUNCTION("""COMPUTED_VALUE"""),"Good")</f>
        <v>Good</v>
      </c>
      <c r="AE359" s="11"/>
      <c r="AF359" t="s">
        <v>218</v>
      </c>
      <c r="AG359" s="17" t="s">
        <v>60</v>
      </c>
      <c r="AH359" s="12">
        <v>1443.0</v>
      </c>
      <c r="AI359" s="12" t="s">
        <v>1030</v>
      </c>
      <c r="AJ359" s="19" t="s">
        <v>1031</v>
      </c>
      <c r="AK359" s="20" t="str">
        <f>HYPERLINK("https://docs.google.com/document/d/117UlOtSgj_kq7O1HZU85eiTPSysmyUGc-U29QvcaS3M/edit?usp=drivesdk","Pam Marcum - 8/22/2019 7:15 AM")</f>
        <v>Pam Marcum - 8/22/2019 7:15 AM</v>
      </c>
      <c r="AL359" s="12" t="s">
        <v>1032</v>
      </c>
    </row>
    <row r="360">
      <c r="A360" s="10">
        <f>IFERROR(__xludf.DUMMYFUNCTION("""COMPUTED_VALUE"""),43700.32529071759)</f>
        <v>43700.32529</v>
      </c>
      <c r="B360" s="11" t="str">
        <f>IFERROR(__xludf.DUMMYFUNCTION("""COMPUTED_VALUE"""),"Pamela Marcum")</f>
        <v>Pamela Marcum</v>
      </c>
      <c r="C360" t="str">
        <f>IFERROR(__xludf.DUMMYFUNCTION("""COMPUTED_VALUE"""),"pamela.marcum@floridadep.gov")</f>
        <v>pamela.marcum@floridadep.gov</v>
      </c>
      <c r="D360" t="str">
        <f>IFERROR(__xludf.DUMMYFUNCTION("""COMPUTED_VALUE"""),"Research/Nikki")</f>
        <v>Research/Nikki</v>
      </c>
      <c r="E360" t="str">
        <f>IFERROR(__xludf.DUMMYFUNCTION("""COMPUTED_VALUE"""),"Green rd")</f>
        <v>Green rd</v>
      </c>
      <c r="F360" s="13">
        <f>IFERROR(__xludf.DUMMYFUNCTION("""COMPUTED_VALUE"""),0.3229166666678793)</f>
        <v>0.3229166667</v>
      </c>
      <c r="G360" s="14">
        <f>IFERROR(__xludf.DUMMYFUNCTION("""COMPUTED_VALUE"""),43700.0)</f>
        <v>43700</v>
      </c>
      <c r="H360" t="str">
        <f>IFERROR(__xludf.DUMMYFUNCTION("""COMPUTED_VALUE"""),"Moses creek")</f>
        <v>Moses creek</v>
      </c>
      <c r="I360" s="15">
        <f>IFERROR(__xludf.DUMMYFUNCTION("""COMPUTED_VALUE"""),0.625)</f>
        <v>0.625</v>
      </c>
      <c r="J360" s="16">
        <f>IFERROR(__xludf.DUMMYFUNCTION("""COMPUTED_VALUE"""),43700.66666666667)</f>
        <v>43700.66667</v>
      </c>
      <c r="K360" t="str">
        <f>IFERROR(__xludf.DUMMYFUNCTION("""COMPUTED_VALUE"""),"F 20ft Sea Ark (Easy 200) FL8534PY DEP21451")</f>
        <v>F 20ft Sea Ark (Easy 200) FL8534PY DEP21451</v>
      </c>
      <c r="M360" t="str">
        <f>IFERROR(__xludf.DUMMYFUNCTION("""COMPUTED_VALUE"""),"Ford F250 2017 (Moby Dix) - DEP0021578")</f>
        <v>Ford F250 2017 (Moby Dix) - DEP0021578</v>
      </c>
      <c r="N360" t="str">
        <f>IFERROR(__xludf.DUMMYFUNCTION("""COMPUTED_VALUE"""),"Pam Marcum, (480) 332-5414, Shannon Dunnigan, (803) 727-5734, Silas Tanner, (904) 483-8423")</f>
        <v>Pam Marcum, (480) 332-5414, Shannon Dunnigan, (803) 727-5734, Silas Tanner, (904) 483-8423</v>
      </c>
      <c r="O360" t="str">
        <f>IFERROR(__xludf.DUMMYFUNCTION("""COMPUTED_VALUE"""),"Alee Knoell")</f>
        <v>Alee Knoell</v>
      </c>
      <c r="P360" t="str">
        <f>IFERROR(__xludf.DUMMYFUNCTION("""COMPUTED_VALUE"""),"Pam")</f>
        <v>Pam</v>
      </c>
      <c r="Q360" t="str">
        <f>IFERROR(__xludf.DUMMYFUNCTION("""COMPUTED_VALUE"""),"Good")</f>
        <v>Good</v>
      </c>
      <c r="R360" t="str">
        <f>IFERROR(__xludf.DUMMYFUNCTION("""COMPUTED_VALUE"""),"Good")</f>
        <v>Good</v>
      </c>
      <c r="S360" t="str">
        <f>IFERROR(__xludf.DUMMYFUNCTION("""COMPUTED_VALUE"""),"Good")</f>
        <v>Good</v>
      </c>
      <c r="T360" t="str">
        <f>IFERROR(__xludf.DUMMYFUNCTION("""COMPUTED_VALUE"""),"Good")</f>
        <v>Good</v>
      </c>
      <c r="U360" t="str">
        <f>IFERROR(__xludf.DUMMYFUNCTION("""COMPUTED_VALUE"""),"Good")</f>
        <v>Good</v>
      </c>
      <c r="V360" t="str">
        <f>IFERROR(__xludf.DUMMYFUNCTION("""COMPUTED_VALUE"""),"Good")</f>
        <v>Good</v>
      </c>
      <c r="W360" t="str">
        <f>IFERROR(__xludf.DUMMYFUNCTION("""COMPUTED_VALUE"""),"Good")</f>
        <v>Good</v>
      </c>
      <c r="X360" t="str">
        <f>IFERROR(__xludf.DUMMYFUNCTION("""COMPUTED_VALUE"""),"Good")</f>
        <v>Good</v>
      </c>
      <c r="Y360" t="str">
        <f>IFERROR(__xludf.DUMMYFUNCTION("""COMPUTED_VALUE"""),"Good")</f>
        <v>Good</v>
      </c>
      <c r="Z360" t="str">
        <f>IFERROR(__xludf.DUMMYFUNCTION("""COMPUTED_VALUE"""),"Good")</f>
        <v>Good</v>
      </c>
      <c r="AA360" t="str">
        <f>IFERROR(__xludf.DUMMYFUNCTION("""COMPUTED_VALUE"""),"Good")</f>
        <v>Good</v>
      </c>
      <c r="AB360" t="str">
        <f>IFERROR(__xludf.DUMMYFUNCTION("""COMPUTED_VALUE"""),"Good")</f>
        <v>Good</v>
      </c>
      <c r="AC360" t="str">
        <f>IFERROR(__xludf.DUMMYFUNCTION("""COMPUTED_VALUE"""),"Good")</f>
        <v>Good</v>
      </c>
      <c r="AE360" s="11"/>
      <c r="AF360" t="s">
        <v>218</v>
      </c>
      <c r="AG360" s="17" t="s">
        <v>18</v>
      </c>
      <c r="AH360" s="12">
        <v>910.0</v>
      </c>
      <c r="AI360" s="12" t="s">
        <v>1033</v>
      </c>
      <c r="AJ360" s="19" t="s">
        <v>1034</v>
      </c>
      <c r="AK360" s="20" t="str">
        <f>HYPERLINK("https://docs.google.com/document/d/1sG4FS2pAmky1WC9QNvN3opCN2KZ3liAWKRz-jnsPPrY/edit?usp=drivesdk","Pamela Marcum - 8/23/2019 7:45 AM")</f>
        <v>Pamela Marcum - 8/23/2019 7:45 AM</v>
      </c>
      <c r="AL360" s="12" t="s">
        <v>1035</v>
      </c>
    </row>
    <row r="361">
      <c r="A361" s="10">
        <f>IFERROR(__xludf.DUMMYFUNCTION("""COMPUTED_VALUE"""),43704.35976918982)</f>
        <v>43704.35977</v>
      </c>
      <c r="B361" s="11" t="str">
        <f>IFERROR(__xludf.DUMMYFUNCTION("""COMPUTED_VALUE"""),"Pamela Marcum")</f>
        <v>Pamela Marcum</v>
      </c>
      <c r="C361" t="str">
        <f>IFERROR(__xludf.DUMMYFUNCTION("""COMPUTED_VALUE"""),"Pamela.Marcum@floridadep.gov")</f>
        <v>Pamela.Marcum@floridadep.gov</v>
      </c>
      <c r="D361" t="str">
        <f>IFERROR(__xludf.DUMMYFUNCTION("""COMPUTED_VALUE"""),"Research/Nikki")</f>
        <v>Research/Nikki</v>
      </c>
      <c r="E361" t="str">
        <f>IFERROR(__xludf.DUMMYFUNCTION("""COMPUTED_VALUE"""),"Green Rd")</f>
        <v>Green Rd</v>
      </c>
      <c r="F361" s="13">
        <f>IFERROR(__xludf.DUMMYFUNCTION("""COMPUTED_VALUE"""),0.3958333333321207)</f>
        <v>0.3958333333</v>
      </c>
      <c r="G361" s="14">
        <f>IFERROR(__xludf.DUMMYFUNCTION("""COMPUTED_VALUE"""),43704.0)</f>
        <v>43704</v>
      </c>
      <c r="H361" t="str">
        <f>IFERROR(__xludf.DUMMYFUNCTION("""COMPUTED_VALUE"""),"Moses Creek")</f>
        <v>Moses Creek</v>
      </c>
      <c r="I361" s="15">
        <f>IFERROR(__xludf.DUMMYFUNCTION("""COMPUTED_VALUE"""),0.625)</f>
        <v>0.625</v>
      </c>
      <c r="J361" s="16">
        <f>IFERROR(__xludf.DUMMYFUNCTION("""COMPUTED_VALUE"""),43704.66666666667)</f>
        <v>43704.66667</v>
      </c>
      <c r="K361" t="str">
        <f>IFERROR(__xludf.DUMMYFUNCTION("""COMPUTED_VALUE"""),"17ft Skill FL0642GW DEP07239")</f>
        <v>17ft Skill FL0642GW DEP07239</v>
      </c>
      <c r="M361" t="str">
        <f>IFERROR(__xludf.DUMMYFUNCTION("""COMPUTED_VALUE"""),"Ford F150 2008 - DEP18041 (SWMP Thing)")</f>
        <v>Ford F150 2008 - DEP18041 (SWMP Thing)</v>
      </c>
      <c r="N361" t="str">
        <f>IFERROR(__xludf.DUMMYFUNCTION("""COMPUTED_VALUE"""),"Pam Marcum, (480) 332-5414")</f>
        <v>Pam Marcum, (480) 332-5414</v>
      </c>
      <c r="O361" t="str">
        <f>IFERROR(__xludf.DUMMYFUNCTION("""COMPUTED_VALUE"""),"Alee Knoell")</f>
        <v>Alee Knoell</v>
      </c>
      <c r="P361" t="str">
        <f>IFERROR(__xludf.DUMMYFUNCTION("""COMPUTED_VALUE"""),"Pam")</f>
        <v>Pam</v>
      </c>
      <c r="Q361" t="str">
        <f>IFERROR(__xludf.DUMMYFUNCTION("""COMPUTED_VALUE"""),"Good")</f>
        <v>Good</v>
      </c>
      <c r="R361" t="str">
        <f>IFERROR(__xludf.DUMMYFUNCTION("""COMPUTED_VALUE"""),"Good")</f>
        <v>Good</v>
      </c>
      <c r="S361" t="str">
        <f>IFERROR(__xludf.DUMMYFUNCTION("""COMPUTED_VALUE"""),"Good")</f>
        <v>Good</v>
      </c>
      <c r="T361" t="str">
        <f>IFERROR(__xludf.DUMMYFUNCTION("""COMPUTED_VALUE"""),"Good")</f>
        <v>Good</v>
      </c>
      <c r="U361" t="str">
        <f>IFERROR(__xludf.DUMMYFUNCTION("""COMPUTED_VALUE"""),"Good")</f>
        <v>Good</v>
      </c>
      <c r="V361" t="str">
        <f>IFERROR(__xludf.DUMMYFUNCTION("""COMPUTED_VALUE"""),"Good")</f>
        <v>Good</v>
      </c>
      <c r="W361" t="str">
        <f>IFERROR(__xludf.DUMMYFUNCTION("""COMPUTED_VALUE"""),"Good")</f>
        <v>Good</v>
      </c>
      <c r="X361" t="str">
        <f>IFERROR(__xludf.DUMMYFUNCTION("""COMPUTED_VALUE"""),"Good")</f>
        <v>Good</v>
      </c>
      <c r="Y361" t="str">
        <f>IFERROR(__xludf.DUMMYFUNCTION("""COMPUTED_VALUE"""),"Good")</f>
        <v>Good</v>
      </c>
      <c r="Z361" t="str">
        <f>IFERROR(__xludf.DUMMYFUNCTION("""COMPUTED_VALUE"""),"Good")</f>
        <v>Good</v>
      </c>
      <c r="AA361" t="str">
        <f>IFERROR(__xludf.DUMMYFUNCTION("""COMPUTED_VALUE"""),"Good")</f>
        <v>Good</v>
      </c>
      <c r="AB361" t="str">
        <f>IFERROR(__xludf.DUMMYFUNCTION("""COMPUTED_VALUE"""),"Good")</f>
        <v>Good</v>
      </c>
      <c r="AC361" t="str">
        <f>IFERROR(__xludf.DUMMYFUNCTION("""COMPUTED_VALUE"""),"Good")</f>
        <v>Good</v>
      </c>
      <c r="AE361" s="11"/>
      <c r="AF361" t="s">
        <v>218</v>
      </c>
      <c r="AG361" s="17" t="s">
        <v>60</v>
      </c>
      <c r="AH361" s="12">
        <v>1523.0</v>
      </c>
      <c r="AI361" s="12" t="s">
        <v>1036</v>
      </c>
      <c r="AJ361" s="19" t="s">
        <v>1037</v>
      </c>
      <c r="AK361" s="20" t="str">
        <f>HYPERLINK("https://docs.google.com/document/d/17k__OhYheTr3nYbx5FarCqsKPH8rt5B5IyLMdHihyxo/edit?usp=drivesdk","Pamela Marcum - 8/27/2019 9:30 AM")</f>
        <v>Pamela Marcum - 8/27/2019 9:30 AM</v>
      </c>
      <c r="AL361" s="12" t="s">
        <v>1038</v>
      </c>
    </row>
    <row r="362">
      <c r="A362" s="10">
        <f>IFERROR(__xludf.DUMMYFUNCTION("""COMPUTED_VALUE"""),43705.27106194444)</f>
        <v>43705.27106</v>
      </c>
      <c r="B362" s="11" t="str">
        <f>IFERROR(__xludf.DUMMYFUNCTION("""COMPUTED_VALUE"""),"Silas Tanner")</f>
        <v>Silas Tanner</v>
      </c>
      <c r="C362" t="str">
        <f>IFERROR(__xludf.DUMMYFUNCTION("""COMPUTED_VALUE"""),"silas.tanner@floridadep.gov")</f>
        <v>silas.tanner@floridadep.gov</v>
      </c>
      <c r="D362" t="str">
        <f>IFERROR(__xludf.DUMMYFUNCTION("""COMPUTED_VALUE"""),"Research/Nikki")</f>
        <v>Research/Nikki</v>
      </c>
      <c r="E362" t="str">
        <f>IFERROR(__xludf.DUMMYFUNCTION("""COMPUTED_VALUE"""),"Vilano landing")</f>
        <v>Vilano landing</v>
      </c>
      <c r="F362" s="13">
        <f>IFERROR(__xludf.DUMMYFUNCTION("""COMPUTED_VALUE"""),0.3020833333321207)</f>
        <v>0.3020833333</v>
      </c>
      <c r="G362" s="14">
        <f>IFERROR(__xludf.DUMMYFUNCTION("""COMPUTED_VALUE"""),43705.0)</f>
        <v>43705</v>
      </c>
      <c r="H362" t="str">
        <f>IFERROR(__xludf.DUMMYFUNCTION("""COMPUTED_VALUE"""),"ICW SWMP sites")</f>
        <v>ICW SWMP sites</v>
      </c>
      <c r="I362" s="15">
        <f>IFERROR(__xludf.DUMMYFUNCTION("""COMPUTED_VALUE"""),0.5833333333321207)</f>
        <v>0.5833333333</v>
      </c>
      <c r="J362" s="16">
        <f>IFERROR(__xludf.DUMMYFUNCTION("""COMPUTED_VALUE"""),43705.53125)</f>
        <v>43705.53125</v>
      </c>
      <c r="K362" t="str">
        <f>IFERROR(__xludf.DUMMYFUNCTION("""COMPUTED_VALUE"""),"23ft Skiff (Bertha) FL7972LJ DEP07613")</f>
        <v>23ft Skiff (Bertha) FL7972LJ DEP07613</v>
      </c>
      <c r="M362" t="str">
        <f>IFERROR(__xludf.DUMMYFUNCTION("""COMPUTED_VALUE"""),"Ford F250 2017 (Moby Dix) - DEP0021578")</f>
        <v>Ford F250 2017 (Moby Dix) - DEP0021578</v>
      </c>
      <c r="N362" t="str">
        <f>IFERROR(__xludf.DUMMYFUNCTION("""COMPUTED_VALUE"""),"Silas Tanner, (904) 483-8423, Remo Mondazzi")</f>
        <v>Silas Tanner, (904) 483-8423, Remo Mondazzi</v>
      </c>
      <c r="P362" t="str">
        <f>IFERROR(__xludf.DUMMYFUNCTION("""COMPUTED_VALUE"""),"S. Tanner")</f>
        <v>S. Tanner</v>
      </c>
      <c r="Q362" t="str">
        <f>IFERROR(__xludf.DUMMYFUNCTION("""COMPUTED_VALUE"""),"Good")</f>
        <v>Good</v>
      </c>
      <c r="R362" t="str">
        <f>IFERROR(__xludf.DUMMYFUNCTION("""COMPUTED_VALUE"""),"Good")</f>
        <v>Good</v>
      </c>
      <c r="S362" t="str">
        <f>IFERROR(__xludf.DUMMYFUNCTION("""COMPUTED_VALUE"""),"Good")</f>
        <v>Good</v>
      </c>
      <c r="T362" t="str">
        <f>IFERROR(__xludf.DUMMYFUNCTION("""COMPUTED_VALUE"""),"Good")</f>
        <v>Good</v>
      </c>
      <c r="U362" t="str">
        <f>IFERROR(__xludf.DUMMYFUNCTION("""COMPUTED_VALUE"""),"Good")</f>
        <v>Good</v>
      </c>
      <c r="V362" t="str">
        <f>IFERROR(__xludf.DUMMYFUNCTION("""COMPUTED_VALUE"""),"Good")</f>
        <v>Good</v>
      </c>
      <c r="W362" t="str">
        <f>IFERROR(__xludf.DUMMYFUNCTION("""COMPUTED_VALUE"""),"Good")</f>
        <v>Good</v>
      </c>
      <c r="X362" t="str">
        <f>IFERROR(__xludf.DUMMYFUNCTION("""COMPUTED_VALUE"""),"Good")</f>
        <v>Good</v>
      </c>
      <c r="Y362" t="str">
        <f>IFERROR(__xludf.DUMMYFUNCTION("""COMPUTED_VALUE"""),"Good")</f>
        <v>Good</v>
      </c>
      <c r="Z362" t="str">
        <f>IFERROR(__xludf.DUMMYFUNCTION("""COMPUTED_VALUE"""),"Good")</f>
        <v>Good</v>
      </c>
      <c r="AA362" t="str">
        <f>IFERROR(__xludf.DUMMYFUNCTION("""COMPUTED_VALUE"""),"Good")</f>
        <v>Good</v>
      </c>
      <c r="AB362" t="str">
        <f>IFERROR(__xludf.DUMMYFUNCTION("""COMPUTED_VALUE"""),"Good")</f>
        <v>Good</v>
      </c>
      <c r="AC362" t="str">
        <f>IFERROR(__xludf.DUMMYFUNCTION("""COMPUTED_VALUE"""),"Good")</f>
        <v>Good</v>
      </c>
      <c r="AE362" s="11"/>
      <c r="AF362" t="s">
        <v>218</v>
      </c>
      <c r="AG362" s="17" t="s">
        <v>43</v>
      </c>
      <c r="AH362" s="12">
        <v>1348.0</v>
      </c>
      <c r="AI362" s="12" t="s">
        <v>1039</v>
      </c>
      <c r="AJ362" s="19" t="s">
        <v>1040</v>
      </c>
      <c r="AK362" s="20" t="str">
        <f>HYPERLINK("https://docs.google.com/document/d/18J_oMGg9KxP1sUZubTUlVkgQbIimvibwL5Y_dskUwx4/edit?usp=drivesdk","Silas Tanner - 8/28/2019 7:15 AM")</f>
        <v>Silas Tanner - 8/28/2019 7:15 AM</v>
      </c>
      <c r="AL362" s="12" t="s">
        <v>1041</v>
      </c>
    </row>
    <row r="363">
      <c r="A363" s="10">
        <f>IFERROR(__xludf.DUMMYFUNCTION("""COMPUTED_VALUE"""),43705.46690395834)</f>
        <v>43705.4669</v>
      </c>
      <c r="B363" s="11" t="str">
        <f>IFERROR(__xludf.DUMMYFUNCTION("""COMPUTED_VALUE"""),"Alee knoell")</f>
        <v>Alee knoell</v>
      </c>
      <c r="C363" t="str">
        <f>IFERROR(__xludf.DUMMYFUNCTION("""COMPUTED_VALUE"""),"alee.knoell@floridadep.gov")</f>
        <v>alee.knoell@floridadep.gov</v>
      </c>
      <c r="D363" t="str">
        <f>IFERROR(__xludf.DUMMYFUNCTION("""COMPUTED_VALUE"""),"Research/Pam")</f>
        <v>Research/Pam</v>
      </c>
      <c r="E363" t="str">
        <f>IFERROR(__xludf.DUMMYFUNCTION("""COMPUTED_VALUE"""),"Vilano")</f>
        <v>Vilano</v>
      </c>
      <c r="F363" s="13">
        <f>IFERROR(__xludf.DUMMYFUNCTION("""COMPUTED_VALUE"""),0.4791666666678793)</f>
        <v>0.4791666667</v>
      </c>
      <c r="G363" s="14">
        <f>IFERROR(__xludf.DUMMYFUNCTION("""COMPUTED_VALUE"""),43705.0)</f>
        <v>43705</v>
      </c>
      <c r="H363" t="str">
        <f>IFERROR(__xludf.DUMMYFUNCTION("""COMPUTED_VALUE"""),"Spat trees")</f>
        <v>Spat trees</v>
      </c>
      <c r="I363" s="15">
        <f>IFERROR(__xludf.DUMMYFUNCTION("""COMPUTED_VALUE"""),0.625)</f>
        <v>0.625</v>
      </c>
      <c r="J363" s="16">
        <f>IFERROR(__xludf.DUMMYFUNCTION("""COMPUTED_VALUE"""),43705.72916666667)</f>
        <v>43705.72917</v>
      </c>
      <c r="K363" t="str">
        <f>IFERROR(__xludf.DUMMYFUNCTION("""COMPUTED_VALUE"""),"17ft Skill FL0642GW DEP07239")</f>
        <v>17ft Skill FL0642GW DEP07239</v>
      </c>
      <c r="M363" t="str">
        <f>IFERROR(__xludf.DUMMYFUNCTION("""COMPUTED_VALUE"""),"Ford F150 2008 - DEP18041 (SWMP Thing)")</f>
        <v>Ford F150 2008 - DEP18041 (SWMP Thing)</v>
      </c>
      <c r="N363" t="str">
        <f>IFERROR(__xludf.DUMMYFUNCTION("""COMPUTED_VALUE"""),"Pam Marcum, (480) 332-5414")</f>
        <v>Pam Marcum, (480) 332-5414</v>
      </c>
      <c r="O363" t="str">
        <f>IFERROR(__xludf.DUMMYFUNCTION("""COMPUTED_VALUE"""),"Alee Knoell")</f>
        <v>Alee Knoell</v>
      </c>
      <c r="P363" t="str">
        <f>IFERROR(__xludf.DUMMYFUNCTION("""COMPUTED_VALUE"""),"Pam Marcum")</f>
        <v>Pam Marcum</v>
      </c>
      <c r="Q363" t="str">
        <f>IFERROR(__xludf.DUMMYFUNCTION("""COMPUTED_VALUE"""),"Good")</f>
        <v>Good</v>
      </c>
      <c r="R363" t="str">
        <f>IFERROR(__xludf.DUMMYFUNCTION("""COMPUTED_VALUE"""),"Good")</f>
        <v>Good</v>
      </c>
      <c r="S363" t="str">
        <f>IFERROR(__xludf.DUMMYFUNCTION("""COMPUTED_VALUE"""),"Good")</f>
        <v>Good</v>
      </c>
      <c r="T363" t="str">
        <f>IFERROR(__xludf.DUMMYFUNCTION("""COMPUTED_VALUE"""),"Good")</f>
        <v>Good</v>
      </c>
      <c r="U363" t="str">
        <f>IFERROR(__xludf.DUMMYFUNCTION("""COMPUTED_VALUE"""),"Good")</f>
        <v>Good</v>
      </c>
      <c r="V363" t="str">
        <f>IFERROR(__xludf.DUMMYFUNCTION("""COMPUTED_VALUE"""),"Good")</f>
        <v>Good</v>
      </c>
      <c r="W363" t="str">
        <f>IFERROR(__xludf.DUMMYFUNCTION("""COMPUTED_VALUE"""),"Good")</f>
        <v>Good</v>
      </c>
      <c r="X363" t="str">
        <f>IFERROR(__xludf.DUMMYFUNCTION("""COMPUTED_VALUE"""),"Good")</f>
        <v>Good</v>
      </c>
      <c r="Y363" t="str">
        <f>IFERROR(__xludf.DUMMYFUNCTION("""COMPUTED_VALUE"""),"Good")</f>
        <v>Good</v>
      </c>
      <c r="Z363" t="str">
        <f>IFERROR(__xludf.DUMMYFUNCTION("""COMPUTED_VALUE"""),"Good")</f>
        <v>Good</v>
      </c>
      <c r="AA363" t="str">
        <f>IFERROR(__xludf.DUMMYFUNCTION("""COMPUTED_VALUE"""),"Good")</f>
        <v>Good</v>
      </c>
      <c r="AB363" t="str">
        <f>IFERROR(__xludf.DUMMYFUNCTION("""COMPUTED_VALUE"""),"Good")</f>
        <v>Good</v>
      </c>
      <c r="AC363" t="str">
        <f>IFERROR(__xludf.DUMMYFUNCTION("""COMPUTED_VALUE"""),"Good")</f>
        <v>Good</v>
      </c>
      <c r="AE363" s="11"/>
      <c r="AF363" t="s">
        <v>262</v>
      </c>
      <c r="AG363" s="17" t="s">
        <v>18</v>
      </c>
      <c r="AH363" s="12">
        <v>1415.0</v>
      </c>
      <c r="AI363" s="12" t="s">
        <v>1042</v>
      </c>
      <c r="AJ363" s="19" t="s">
        <v>1043</v>
      </c>
      <c r="AK363" s="20" t="str">
        <f>HYPERLINK("https://docs.google.com/document/d/157atlnV4PfNUXltB_9nowSR6oPh6zVU7PPouDkoFvdw/edit?usp=drivesdk","Alee knoell - 8/28/2019 11:30 AM")</f>
        <v>Alee knoell - 8/28/2019 11:30 AM</v>
      </c>
      <c r="AL363" s="12" t="s">
        <v>1044</v>
      </c>
    </row>
    <row r="364">
      <c r="A364" s="10">
        <f>IFERROR(__xludf.DUMMYFUNCTION("""COMPUTED_VALUE"""),43717.7090765625)</f>
        <v>43717.70908</v>
      </c>
      <c r="B364" s="11" t="str">
        <f>IFERROR(__xludf.DUMMYFUNCTION("""COMPUTED_VALUE"""),"Jimmy Tomazinis")</f>
        <v>Jimmy Tomazinis</v>
      </c>
      <c r="C364" t="str">
        <f>IFERROR(__xludf.DUMMYFUNCTION("""COMPUTED_VALUE"""),"james.tomazinis@floridadep.gov")</f>
        <v>james.tomazinis@floridadep.gov</v>
      </c>
      <c r="D364" t="str">
        <f>IFERROR(__xludf.DUMMYFUNCTION("""COMPUTED_VALUE"""),"Stewardship (Aquatic)")</f>
        <v>Stewardship (Aquatic)</v>
      </c>
      <c r="E364" t="str">
        <f>IFERROR(__xludf.DUMMYFUNCTION("""COMPUTED_VALUE"""),"Guana Dam")</f>
        <v>Guana Dam</v>
      </c>
      <c r="F364" s="13">
        <f>IFERROR(__xludf.DUMMYFUNCTION("""COMPUTED_VALUE"""),0.3333333333321207)</f>
        <v>0.3333333333</v>
      </c>
      <c r="G364" s="14">
        <f>IFERROR(__xludf.DUMMYFUNCTION("""COMPUTED_VALUE"""),33126.0)</f>
        <v>33126</v>
      </c>
      <c r="H364" t="str">
        <f>IFERROR(__xludf.DUMMYFUNCTION("""COMPUTED_VALUE"""),"Guana River WQ sites")</f>
        <v>Guana River WQ sites</v>
      </c>
      <c r="I364" s="15">
        <f>IFERROR(__xludf.DUMMYFUNCTION("""COMPUTED_VALUE"""),0.4166666666678793)</f>
        <v>0.4166666667</v>
      </c>
      <c r="J364" s="16"/>
      <c r="K364" t="str">
        <f>IFERROR(__xludf.DUMMYFUNCTION("""COMPUTED_VALUE"""),"Jon Boat FL0484NP DEP06819")</f>
        <v>Jon Boat FL0484NP DEP06819</v>
      </c>
      <c r="M364" t="str">
        <f>IFERROR(__xludf.DUMMYFUNCTION("""COMPUTED_VALUE"""),"Ford F150 2015 (White) - DEP21448")</f>
        <v>Ford F150 2015 (White) - DEP21448</v>
      </c>
      <c r="N364" t="str">
        <f>IFERROR(__xludf.DUMMYFUNCTION("""COMPUTED_VALUE"""),"Jimmy Tomazinis, (904) 547-0094")</f>
        <v>Jimmy Tomazinis, (904) 547-0094</v>
      </c>
      <c r="O364" t="str">
        <f>IFERROR(__xludf.DUMMYFUNCTION("""COMPUTED_VALUE"""),"Jessica Lee")</f>
        <v>Jessica Lee</v>
      </c>
      <c r="P364" t="str">
        <f>IFERROR(__xludf.DUMMYFUNCTION("""COMPUTED_VALUE"""),"Jimmy")</f>
        <v>Jimmy</v>
      </c>
      <c r="Q364" t="str">
        <f>IFERROR(__xludf.DUMMYFUNCTION("""COMPUTED_VALUE"""),"Good")</f>
        <v>Good</v>
      </c>
      <c r="R364" t="str">
        <f>IFERROR(__xludf.DUMMYFUNCTION("""COMPUTED_VALUE"""),"Good")</f>
        <v>Good</v>
      </c>
      <c r="S364" t="str">
        <f>IFERROR(__xludf.DUMMYFUNCTION("""COMPUTED_VALUE"""),"Good")</f>
        <v>Good</v>
      </c>
      <c r="T364" t="str">
        <f>IFERROR(__xludf.DUMMYFUNCTION("""COMPUTED_VALUE"""),"Good")</f>
        <v>Good</v>
      </c>
      <c r="U364" t="str">
        <f>IFERROR(__xludf.DUMMYFUNCTION("""COMPUTED_VALUE"""),"Good")</f>
        <v>Good</v>
      </c>
      <c r="V364" t="str">
        <f>IFERROR(__xludf.DUMMYFUNCTION("""COMPUTED_VALUE"""),"Good")</f>
        <v>Good</v>
      </c>
      <c r="W364" t="str">
        <f>IFERROR(__xludf.DUMMYFUNCTION("""COMPUTED_VALUE"""),"Good")</f>
        <v>Good</v>
      </c>
      <c r="X364" t="str">
        <f>IFERROR(__xludf.DUMMYFUNCTION("""COMPUTED_VALUE"""),"Good")</f>
        <v>Good</v>
      </c>
      <c r="Y364" t="str">
        <f>IFERROR(__xludf.DUMMYFUNCTION("""COMPUTED_VALUE"""),"Good")</f>
        <v>Good</v>
      </c>
      <c r="Z364" t="str">
        <f>IFERROR(__xludf.DUMMYFUNCTION("""COMPUTED_VALUE"""),"Good")</f>
        <v>Good</v>
      </c>
      <c r="AA364" t="str">
        <f>IFERROR(__xludf.DUMMYFUNCTION("""COMPUTED_VALUE"""),"Good")</f>
        <v>Good</v>
      </c>
      <c r="AB364" t="str">
        <f>IFERROR(__xludf.DUMMYFUNCTION("""COMPUTED_VALUE"""),"Good")</f>
        <v>Good</v>
      </c>
      <c r="AC364" t="str">
        <f>IFERROR(__xludf.DUMMYFUNCTION("""COMPUTED_VALUE"""),"Good")</f>
        <v>Good</v>
      </c>
      <c r="AE364" s="11"/>
      <c r="AF364" t="s">
        <v>32</v>
      </c>
      <c r="AG364" s="17" t="s">
        <v>22</v>
      </c>
      <c r="AH364" s="12">
        <v>930.0</v>
      </c>
      <c r="AI364" s="12" t="s">
        <v>1045</v>
      </c>
      <c r="AJ364" s="19" t="s">
        <v>1046</v>
      </c>
      <c r="AK364" s="20" t="str">
        <f>HYPERLINK("https://docs.google.com/document/d/15hEqU8nv3aRpQI8ho-4D11gMDcOtqzF6M5xm45xB7GM/edit?usp=drivesdk","Jimmy Tomazinis - 9/10/1990 8:00 AM")</f>
        <v>Jimmy Tomazinis - 9/10/1990 8:00 AM</v>
      </c>
      <c r="AL364" s="12" t="s">
        <v>1047</v>
      </c>
    </row>
    <row r="365">
      <c r="A365" s="10">
        <f>IFERROR(__xludf.DUMMYFUNCTION("""COMPUTED_VALUE"""),43718.72899144676)</f>
        <v>43718.72899</v>
      </c>
      <c r="B365" s="11" t="str">
        <f>IFERROR(__xludf.DUMMYFUNCTION("""COMPUTED_VALUE"""),"Jimmy Tomazinis")</f>
        <v>Jimmy Tomazinis</v>
      </c>
      <c r="C365" t="str">
        <f>IFERROR(__xludf.DUMMYFUNCTION("""COMPUTED_VALUE"""),"james.tomazinis@floridadep.gov")</f>
        <v>james.tomazinis@floridadep.gov</v>
      </c>
      <c r="D365" t="str">
        <f>IFERROR(__xludf.DUMMYFUNCTION("""COMPUTED_VALUE"""),"Stewardship (Aquatic)")</f>
        <v>Stewardship (Aquatic)</v>
      </c>
      <c r="E365" t="str">
        <f>IFERROR(__xludf.DUMMYFUNCTION("""COMPUTED_VALUE"""),"Dee Dee Bartels and Goffinsville Park")</f>
        <v>Dee Dee Bartels and Goffinsville Park</v>
      </c>
      <c r="F365" s="13">
        <f>IFERROR(__xludf.DUMMYFUNCTION("""COMPUTED_VALUE"""),0.3125)</f>
        <v>0.3125</v>
      </c>
      <c r="G365" s="14">
        <f>IFERROR(__xludf.DUMMYFUNCTION("""COMPUTED_VALUE"""),43719.0)</f>
        <v>43719</v>
      </c>
      <c r="H365" t="str">
        <f>IFERROR(__xludf.DUMMYFUNCTION("""COMPUTED_VALUE"""),"NEAP Nekton")</f>
        <v>NEAP Nekton</v>
      </c>
      <c r="I365" s="15">
        <f>IFERROR(__xludf.DUMMYFUNCTION("""COMPUTED_VALUE"""),0.5416666666678793)</f>
        <v>0.5416666667</v>
      </c>
      <c r="J365" s="16"/>
      <c r="K365" t="str">
        <f>IFERROR(__xludf.DUMMYFUNCTION("""COMPUTED_VALUE"""),"17ft Skill FL0642GW DEP07239")</f>
        <v>17ft Skill FL0642GW DEP07239</v>
      </c>
      <c r="M365" t="str">
        <f>IFERROR(__xludf.DUMMYFUNCTION("""COMPUTED_VALUE"""),"Ford F150 2008 - DEP18041 (SWMP Thing)")</f>
        <v>Ford F150 2008 - DEP18041 (SWMP Thing)</v>
      </c>
      <c r="N365" t="str">
        <f>IFERROR(__xludf.DUMMYFUNCTION("""COMPUTED_VALUE"""),"Jimmy Tomazinis, (904) 547-0094")</f>
        <v>Jimmy Tomazinis, (904) 547-0094</v>
      </c>
      <c r="O365" t="str">
        <f>IFERROR(__xludf.DUMMYFUNCTION("""COMPUTED_VALUE"""),"Suzi Porterfield")</f>
        <v>Suzi Porterfield</v>
      </c>
      <c r="P365" t="str">
        <f>IFERROR(__xludf.DUMMYFUNCTION("""COMPUTED_VALUE"""),"Jimmy")</f>
        <v>Jimmy</v>
      </c>
      <c r="Q365" t="str">
        <f>IFERROR(__xludf.DUMMYFUNCTION("""COMPUTED_VALUE"""),"Good")</f>
        <v>Good</v>
      </c>
      <c r="R365" t="str">
        <f>IFERROR(__xludf.DUMMYFUNCTION("""COMPUTED_VALUE"""),"Good")</f>
        <v>Good</v>
      </c>
      <c r="S365" t="str">
        <f>IFERROR(__xludf.DUMMYFUNCTION("""COMPUTED_VALUE"""),"Good")</f>
        <v>Good</v>
      </c>
      <c r="T365" t="str">
        <f>IFERROR(__xludf.DUMMYFUNCTION("""COMPUTED_VALUE"""),"Good")</f>
        <v>Good</v>
      </c>
      <c r="U365" t="str">
        <f>IFERROR(__xludf.DUMMYFUNCTION("""COMPUTED_VALUE"""),"Good")</f>
        <v>Good</v>
      </c>
      <c r="V365" t="str">
        <f>IFERROR(__xludf.DUMMYFUNCTION("""COMPUTED_VALUE"""),"Good")</f>
        <v>Good</v>
      </c>
      <c r="W365" t="str">
        <f>IFERROR(__xludf.DUMMYFUNCTION("""COMPUTED_VALUE"""),"Good")</f>
        <v>Good</v>
      </c>
      <c r="X365" t="str">
        <f>IFERROR(__xludf.DUMMYFUNCTION("""COMPUTED_VALUE"""),"Good")</f>
        <v>Good</v>
      </c>
      <c r="Y365" t="str">
        <f>IFERROR(__xludf.DUMMYFUNCTION("""COMPUTED_VALUE"""),"Good")</f>
        <v>Good</v>
      </c>
      <c r="Z365" t="str">
        <f>IFERROR(__xludf.DUMMYFUNCTION("""COMPUTED_VALUE"""),"Good")</f>
        <v>Good</v>
      </c>
      <c r="AA365" t="str">
        <f>IFERROR(__xludf.DUMMYFUNCTION("""COMPUTED_VALUE"""),"Good")</f>
        <v>Good</v>
      </c>
      <c r="AB365" t="str">
        <f>IFERROR(__xludf.DUMMYFUNCTION("""COMPUTED_VALUE"""),"Good")</f>
        <v>Good</v>
      </c>
      <c r="AC365" t="str">
        <f>IFERROR(__xludf.DUMMYFUNCTION("""COMPUTED_VALUE"""),"Good")</f>
        <v>Good</v>
      </c>
      <c r="AE365" s="11"/>
      <c r="AF365" t="s">
        <v>32</v>
      </c>
      <c r="AG365" s="17" t="s">
        <v>18</v>
      </c>
      <c r="AH365" s="12">
        <v>1540.0</v>
      </c>
      <c r="AI365" s="12" t="s">
        <v>1048</v>
      </c>
      <c r="AJ365" s="19" t="s">
        <v>1049</v>
      </c>
      <c r="AK365" s="20" t="str">
        <f>HYPERLINK("https://docs.google.com/document/d/14fkCLW9hj_7t4_UA1zwCoY5Xee29jCtOYN7O8CObxMM/edit?usp=drivesdk","Jimmy Tomazinis - 9/11/2019 7:30 AM")</f>
        <v>Jimmy Tomazinis - 9/11/2019 7:30 AM</v>
      </c>
      <c r="AL365" s="12" t="s">
        <v>1050</v>
      </c>
    </row>
    <row r="366">
      <c r="A366" s="10">
        <f>IFERROR(__xludf.DUMMYFUNCTION("""COMPUTED_VALUE"""),43719.27893309028)</f>
        <v>43719.27893</v>
      </c>
      <c r="B366" s="11" t="str">
        <f>IFERROR(__xludf.DUMMYFUNCTION("""COMPUTED_VALUE"""),"Silas Tanner")</f>
        <v>Silas Tanner</v>
      </c>
      <c r="C366" t="str">
        <f>IFERROR(__xludf.DUMMYFUNCTION("""COMPUTED_VALUE"""),"silas.tanner@flordiadep.gov")</f>
        <v>silas.tanner@flordiadep.gov</v>
      </c>
      <c r="D366" t="str">
        <f>IFERROR(__xludf.DUMMYFUNCTION("""COMPUTED_VALUE"""),"Research/Nikki")</f>
        <v>Research/Nikki</v>
      </c>
      <c r="E366" t="str">
        <f>IFERROR(__xludf.DUMMYFUNCTION("""COMPUTED_VALUE"""),"Vilano")</f>
        <v>Vilano</v>
      </c>
      <c r="F366" s="13">
        <f>IFERROR(__xludf.DUMMYFUNCTION("""COMPUTED_VALUE"""),0.2916666666678793)</f>
        <v>0.2916666667</v>
      </c>
      <c r="G366" s="14">
        <f>IFERROR(__xludf.DUMMYFUNCTION("""COMPUTED_VALUE"""),43719.0)</f>
        <v>43719</v>
      </c>
      <c r="H366" t="str">
        <f>IFERROR(__xludf.DUMMYFUNCTION("""COMPUTED_VALUE"""),"ICW Swamp Sites")</f>
        <v>ICW Swamp Sites</v>
      </c>
      <c r="I366" s="15">
        <f>IFERROR(__xludf.DUMMYFUNCTION("""COMPUTED_VALUE"""),0.020833333332120674)</f>
        <v>0.02083333333</v>
      </c>
      <c r="J366" s="16">
        <f>IFERROR(__xludf.DUMMYFUNCTION("""COMPUTED_VALUE"""),43719.04166666667)</f>
        <v>43719.04167</v>
      </c>
      <c r="K366" t="str">
        <f>IFERROR(__xludf.DUMMYFUNCTION("""COMPUTED_VALUE"""),"23ft Skiff (Bertha) FL7972LJ DEP07613")</f>
        <v>23ft Skiff (Bertha) FL7972LJ DEP07613</v>
      </c>
      <c r="M366" t="str">
        <f>IFERROR(__xludf.DUMMYFUNCTION("""COMPUTED_VALUE"""),"Ford F250 2017 (Moby Dix) - DEP0021578")</f>
        <v>Ford F250 2017 (Moby Dix) - DEP0021578</v>
      </c>
      <c r="N366" t="str">
        <f>IFERROR(__xludf.DUMMYFUNCTION("""COMPUTED_VALUE"""),"Silas Tanner, (904) 483-8423")</f>
        <v>Silas Tanner, (904) 483-8423</v>
      </c>
      <c r="O366" t="str">
        <f>IFERROR(__xludf.DUMMYFUNCTION("""COMPUTED_VALUE"""),"Alee knoell, Jeff finnan")</f>
        <v>Alee knoell, Jeff finnan</v>
      </c>
      <c r="P366" t="str">
        <f>IFERROR(__xludf.DUMMYFUNCTION("""COMPUTED_VALUE"""),"Silas tanner")</f>
        <v>Silas tanner</v>
      </c>
      <c r="Q366" t="str">
        <f>IFERROR(__xludf.DUMMYFUNCTION("""COMPUTED_VALUE"""),"Good")</f>
        <v>Good</v>
      </c>
      <c r="R366" t="str">
        <f>IFERROR(__xludf.DUMMYFUNCTION("""COMPUTED_VALUE"""),"Good")</f>
        <v>Good</v>
      </c>
      <c r="S366" t="str">
        <f>IFERROR(__xludf.DUMMYFUNCTION("""COMPUTED_VALUE"""),"Good")</f>
        <v>Good</v>
      </c>
      <c r="T366" t="str">
        <f>IFERROR(__xludf.DUMMYFUNCTION("""COMPUTED_VALUE"""),"Good")</f>
        <v>Good</v>
      </c>
      <c r="U366" t="str">
        <f>IFERROR(__xludf.DUMMYFUNCTION("""COMPUTED_VALUE"""),"Good")</f>
        <v>Good</v>
      </c>
      <c r="V366" t="str">
        <f>IFERROR(__xludf.DUMMYFUNCTION("""COMPUTED_VALUE"""),"Good")</f>
        <v>Good</v>
      </c>
      <c r="W366" t="str">
        <f>IFERROR(__xludf.DUMMYFUNCTION("""COMPUTED_VALUE"""),"Good")</f>
        <v>Good</v>
      </c>
      <c r="X366" t="str">
        <f>IFERROR(__xludf.DUMMYFUNCTION("""COMPUTED_VALUE"""),"Good")</f>
        <v>Good</v>
      </c>
      <c r="Y366" t="str">
        <f>IFERROR(__xludf.DUMMYFUNCTION("""COMPUTED_VALUE"""),"Good")</f>
        <v>Good</v>
      </c>
      <c r="Z366" t="str">
        <f>IFERROR(__xludf.DUMMYFUNCTION("""COMPUTED_VALUE"""),"Good")</f>
        <v>Good</v>
      </c>
      <c r="AA366" t="str">
        <f>IFERROR(__xludf.DUMMYFUNCTION("""COMPUTED_VALUE"""),"Good")</f>
        <v>Good</v>
      </c>
      <c r="AB366" t="str">
        <f>IFERROR(__xludf.DUMMYFUNCTION("""COMPUTED_VALUE"""),"Good")</f>
        <v>Good</v>
      </c>
      <c r="AC366" t="str">
        <f>IFERROR(__xludf.DUMMYFUNCTION("""COMPUTED_VALUE"""),"Good")</f>
        <v>Good</v>
      </c>
      <c r="AE366" s="11"/>
      <c r="AF366" t="s">
        <v>218</v>
      </c>
      <c r="AG366" s="17" t="s">
        <v>18</v>
      </c>
      <c r="AH366" s="12">
        <v>1105.0</v>
      </c>
      <c r="AI366" s="12" t="s">
        <v>1051</v>
      </c>
      <c r="AJ366" s="19" t="s">
        <v>1052</v>
      </c>
      <c r="AK366" s="20" t="str">
        <f>HYPERLINK("https://docs.google.com/document/d/1PicdNXXQZ-9U5WxAltsBvLegzKfGcnA5Rh_W_l0A7Ss/edit?usp=drivesdk","Silas Tanner - 9/11/2019 7:00 AM")</f>
        <v>Silas Tanner - 9/11/2019 7:00 AM</v>
      </c>
      <c r="AL366" s="12" t="s">
        <v>1053</v>
      </c>
    </row>
    <row r="367">
      <c r="A367" s="10">
        <f>IFERROR(__xludf.DUMMYFUNCTION("""COMPUTED_VALUE"""),43724.26830996528)</f>
        <v>43724.26831</v>
      </c>
      <c r="B367" s="11" t="str">
        <f>IFERROR(__xludf.DUMMYFUNCTION("""COMPUTED_VALUE"""),"Pamela Marcum")</f>
        <v>Pamela Marcum</v>
      </c>
      <c r="C367" t="str">
        <f>IFERROR(__xludf.DUMMYFUNCTION("""COMPUTED_VALUE"""),"Pamela.Marcum@floridadep.gov")</f>
        <v>Pamela.Marcum@floridadep.gov</v>
      </c>
      <c r="D367" t="str">
        <f>IFERROR(__xludf.DUMMYFUNCTION("""COMPUTED_VALUE"""),"Research/Nikki")</f>
        <v>Research/Nikki</v>
      </c>
      <c r="E367" t="str">
        <f>IFERROR(__xludf.DUMMYFUNCTION("""COMPUTED_VALUE"""),"Faver-Dykes")</f>
        <v>Faver-Dykes</v>
      </c>
      <c r="F367" s="13">
        <f>IFERROR(__xludf.DUMMYFUNCTION("""COMPUTED_VALUE"""),0.3125)</f>
        <v>0.3125</v>
      </c>
      <c r="G367" s="14">
        <f>IFERROR(__xludf.DUMMYFUNCTION("""COMPUTED_VALUE"""),43724.0)</f>
        <v>43724</v>
      </c>
      <c r="H367" t="str">
        <f>IFERROR(__xludf.DUMMYFUNCTION("""COMPUTED_VALUE"""),"Pellicer Creek")</f>
        <v>Pellicer Creek</v>
      </c>
      <c r="I367" s="15">
        <f>IFERROR(__xludf.DUMMYFUNCTION("""COMPUTED_VALUE"""),0.5833333333321207)</f>
        <v>0.5833333333</v>
      </c>
      <c r="J367" s="16">
        <f>IFERROR(__xludf.DUMMYFUNCTION("""COMPUTED_VALUE"""),43724.625)</f>
        <v>43724.625</v>
      </c>
      <c r="K367" t="str">
        <f>IFERROR(__xludf.DUMMYFUNCTION("""COMPUTED_VALUE"""),"17ft Skill FL0642GW DEP07239")</f>
        <v>17ft Skill FL0642GW DEP07239</v>
      </c>
      <c r="M367" t="str">
        <f>IFERROR(__xludf.DUMMYFUNCTION("""COMPUTED_VALUE"""),"Ford F150 2008 - DEP18041 (SWMP Thing)")</f>
        <v>Ford F150 2008 - DEP18041 (SWMP Thing)</v>
      </c>
      <c r="N367" t="str">
        <f>IFERROR(__xludf.DUMMYFUNCTION("""COMPUTED_VALUE"""),"Pam Marcum, (480) 332-5414")</f>
        <v>Pam Marcum, (480) 332-5414</v>
      </c>
      <c r="O367" t="str">
        <f>IFERROR(__xludf.DUMMYFUNCTION("""COMPUTED_VALUE"""),"Jay Leighton")</f>
        <v>Jay Leighton</v>
      </c>
      <c r="P367" t="str">
        <f>IFERROR(__xludf.DUMMYFUNCTION("""COMPUTED_VALUE"""),"Pam")</f>
        <v>Pam</v>
      </c>
      <c r="Q367" t="str">
        <f>IFERROR(__xludf.DUMMYFUNCTION("""COMPUTED_VALUE"""),"Good")</f>
        <v>Good</v>
      </c>
      <c r="R367" t="str">
        <f>IFERROR(__xludf.DUMMYFUNCTION("""COMPUTED_VALUE"""),"Good")</f>
        <v>Good</v>
      </c>
      <c r="S367" t="str">
        <f>IFERROR(__xludf.DUMMYFUNCTION("""COMPUTED_VALUE"""),"Good")</f>
        <v>Good</v>
      </c>
      <c r="T367" t="str">
        <f>IFERROR(__xludf.DUMMYFUNCTION("""COMPUTED_VALUE"""),"Good")</f>
        <v>Good</v>
      </c>
      <c r="U367" t="str">
        <f>IFERROR(__xludf.DUMMYFUNCTION("""COMPUTED_VALUE"""),"Good")</f>
        <v>Good</v>
      </c>
      <c r="V367" t="str">
        <f>IFERROR(__xludf.DUMMYFUNCTION("""COMPUTED_VALUE"""),"Good")</f>
        <v>Good</v>
      </c>
      <c r="W367" t="str">
        <f>IFERROR(__xludf.DUMMYFUNCTION("""COMPUTED_VALUE"""),"Good")</f>
        <v>Good</v>
      </c>
      <c r="X367" t="str">
        <f>IFERROR(__xludf.DUMMYFUNCTION("""COMPUTED_VALUE"""),"Good")</f>
        <v>Good</v>
      </c>
      <c r="Y367" t="str">
        <f>IFERROR(__xludf.DUMMYFUNCTION("""COMPUTED_VALUE"""),"Good")</f>
        <v>Good</v>
      </c>
      <c r="Z367" t="str">
        <f>IFERROR(__xludf.DUMMYFUNCTION("""COMPUTED_VALUE"""),"Good")</f>
        <v>Good</v>
      </c>
      <c r="AA367" t="str">
        <f>IFERROR(__xludf.DUMMYFUNCTION("""COMPUTED_VALUE"""),"Good")</f>
        <v>Good</v>
      </c>
      <c r="AB367" t="str">
        <f>IFERROR(__xludf.DUMMYFUNCTION("""COMPUTED_VALUE"""),"Good")</f>
        <v>Good</v>
      </c>
      <c r="AC367" t="str">
        <f>IFERROR(__xludf.DUMMYFUNCTION("""COMPUTED_VALUE"""),"Good")</f>
        <v>Good</v>
      </c>
      <c r="AE367" s="11"/>
      <c r="AF367" t="s">
        <v>218</v>
      </c>
      <c r="AG367" s="17" t="s">
        <v>18</v>
      </c>
      <c r="AH367" s="12">
        <v>1130.0</v>
      </c>
      <c r="AI367" s="12" t="s">
        <v>1054</v>
      </c>
      <c r="AJ367" s="19" t="s">
        <v>1055</v>
      </c>
      <c r="AK367" s="20" t="str">
        <f>HYPERLINK("https://docs.google.com/document/d/113DLTrCCyaw_Y3on57xBfNQ45zZm907eJeve6z6J0rk/edit?usp=drivesdk","Pamela Marcum - 9/16/2019 7:30 AM")</f>
        <v>Pamela Marcum - 9/16/2019 7:30 AM</v>
      </c>
      <c r="AL367" s="12" t="s">
        <v>1056</v>
      </c>
    </row>
    <row r="368">
      <c r="A368" s="10">
        <f>IFERROR(__xludf.DUMMYFUNCTION("""COMPUTED_VALUE"""),43724.687475196755)</f>
        <v>43724.68748</v>
      </c>
      <c r="B368" s="11" t="str">
        <f>IFERROR(__xludf.DUMMYFUNCTION("""COMPUTED_VALUE"""),"Jimmy Tomazinis")</f>
        <v>Jimmy Tomazinis</v>
      </c>
      <c r="C368" t="str">
        <f>IFERROR(__xludf.DUMMYFUNCTION("""COMPUTED_VALUE"""),"james.tomazinis@floridadep.gov")</f>
        <v>james.tomazinis@floridadep.gov</v>
      </c>
      <c r="D368" t="str">
        <f>IFERROR(__xludf.DUMMYFUNCTION("""COMPUTED_VALUE"""),"Stewardship (Aquatic)")</f>
        <v>Stewardship (Aquatic)</v>
      </c>
      <c r="E368" t="str">
        <f>IFERROR(__xludf.DUMMYFUNCTION("""COMPUTED_VALUE"""),"Vilano")</f>
        <v>Vilano</v>
      </c>
      <c r="F368" s="13">
        <f>IFERROR(__xludf.DUMMYFUNCTION("""COMPUTED_VALUE"""),0.3854166666678793)</f>
        <v>0.3854166667</v>
      </c>
      <c r="G368" s="14">
        <f>IFERROR(__xludf.DUMMYFUNCTION("""COMPUTED_VALUE"""),33133.0)</f>
        <v>33133</v>
      </c>
      <c r="H368" t="str">
        <f>IFERROR(__xludf.DUMMYFUNCTION("""COMPUTED_VALUE"""),"Tolomato Nekton sites")</f>
        <v>Tolomato Nekton sites</v>
      </c>
      <c r="I368" s="15">
        <f>IFERROR(__xludf.DUMMYFUNCTION("""COMPUTED_VALUE"""),0.6666666666678793)</f>
        <v>0.6666666667</v>
      </c>
      <c r="J368" s="16"/>
      <c r="K368" t="str">
        <f>IFERROR(__xludf.DUMMYFUNCTION("""COMPUTED_VALUE"""),"23ft Skiff (Bertha) FL7972LJ DEP07613")</f>
        <v>23ft Skiff (Bertha) FL7972LJ DEP07613</v>
      </c>
      <c r="M368" t="str">
        <f>IFERROR(__xludf.DUMMYFUNCTION("""COMPUTED_VALUE"""),"Ford F150 2015 (White) - DEP21448")</f>
        <v>Ford F150 2015 (White) - DEP21448</v>
      </c>
      <c r="N368" t="str">
        <f>IFERROR(__xludf.DUMMYFUNCTION("""COMPUTED_VALUE"""),"Jimmy Tomazinis, (904) 547-0094")</f>
        <v>Jimmy Tomazinis, (904) 547-0094</v>
      </c>
      <c r="O368" t="str">
        <f>IFERROR(__xludf.DUMMYFUNCTION("""COMPUTED_VALUE"""),"Ed, Diane, Jackie, Jeff")</f>
        <v>Ed, Diane, Jackie, Jeff</v>
      </c>
      <c r="P368" t="str">
        <f>IFERROR(__xludf.DUMMYFUNCTION("""COMPUTED_VALUE"""),"Jimmy")</f>
        <v>Jimmy</v>
      </c>
      <c r="Q368" t="str">
        <f>IFERROR(__xludf.DUMMYFUNCTION("""COMPUTED_VALUE"""),"Good")</f>
        <v>Good</v>
      </c>
      <c r="R368" t="str">
        <f>IFERROR(__xludf.DUMMYFUNCTION("""COMPUTED_VALUE"""),"Good")</f>
        <v>Good</v>
      </c>
      <c r="S368" t="str">
        <f>IFERROR(__xludf.DUMMYFUNCTION("""COMPUTED_VALUE"""),"Good")</f>
        <v>Good</v>
      </c>
      <c r="T368" t="str">
        <f>IFERROR(__xludf.DUMMYFUNCTION("""COMPUTED_VALUE"""),"Good")</f>
        <v>Good</v>
      </c>
      <c r="U368" t="str">
        <f>IFERROR(__xludf.DUMMYFUNCTION("""COMPUTED_VALUE"""),"Good")</f>
        <v>Good</v>
      </c>
      <c r="V368" t="str">
        <f>IFERROR(__xludf.DUMMYFUNCTION("""COMPUTED_VALUE"""),"Good")</f>
        <v>Good</v>
      </c>
      <c r="W368" t="str">
        <f>IFERROR(__xludf.DUMMYFUNCTION("""COMPUTED_VALUE"""),"Good")</f>
        <v>Good</v>
      </c>
      <c r="X368" t="str">
        <f>IFERROR(__xludf.DUMMYFUNCTION("""COMPUTED_VALUE"""),"Good")</f>
        <v>Good</v>
      </c>
      <c r="Y368" t="str">
        <f>IFERROR(__xludf.DUMMYFUNCTION("""COMPUTED_VALUE"""),"Good")</f>
        <v>Good</v>
      </c>
      <c r="Z368" t="str">
        <f>IFERROR(__xludf.DUMMYFUNCTION("""COMPUTED_VALUE"""),"Good")</f>
        <v>Good</v>
      </c>
      <c r="AA368" t="str">
        <f>IFERROR(__xludf.DUMMYFUNCTION("""COMPUTED_VALUE"""),"Good")</f>
        <v>Good</v>
      </c>
      <c r="AB368" t="str">
        <f>IFERROR(__xludf.DUMMYFUNCTION("""COMPUTED_VALUE"""),"Good")</f>
        <v>Good</v>
      </c>
      <c r="AC368" t="str">
        <f>IFERROR(__xludf.DUMMYFUNCTION("""COMPUTED_VALUE"""),"Good")</f>
        <v>Good</v>
      </c>
      <c r="AE368" s="11"/>
      <c r="AF368" t="s">
        <v>32</v>
      </c>
      <c r="AG368" s="17" t="s">
        <v>18</v>
      </c>
      <c r="AH368" s="12">
        <v>1635.0</v>
      </c>
      <c r="AI368" s="12" t="s">
        <v>1057</v>
      </c>
      <c r="AJ368" s="19" t="s">
        <v>1058</v>
      </c>
      <c r="AK368" s="20" t="str">
        <f>HYPERLINK("https://docs.google.com/document/d/1llt-6l9NzJX6gjQSBbMbdkVYI69LprJx27c3azv2kbo/edit?usp=drivesdk","Jimmy Tomazinis - 9/17/1990 9:15 AM")</f>
        <v>Jimmy Tomazinis - 9/17/1990 9:15 AM</v>
      </c>
      <c r="AL368" s="12" t="s">
        <v>1059</v>
      </c>
    </row>
    <row r="369">
      <c r="A369" s="10">
        <f>IFERROR(__xludf.DUMMYFUNCTION("""COMPUTED_VALUE"""),43725.310827511574)</f>
        <v>43725.31083</v>
      </c>
      <c r="B369" s="11" t="str">
        <f>IFERROR(__xludf.DUMMYFUNCTION("""COMPUTED_VALUE"""),"Pamela Marcum")</f>
        <v>Pamela Marcum</v>
      </c>
      <c r="C369" t="str">
        <f>IFERROR(__xludf.DUMMYFUNCTION("""COMPUTED_VALUE"""),"Pamela.Marcum@floridadep.gov")</f>
        <v>Pamela.Marcum@floridadep.gov</v>
      </c>
      <c r="D369" t="str">
        <f>IFERROR(__xludf.DUMMYFUNCTION("""COMPUTED_VALUE"""),"Research/Nikki")</f>
        <v>Research/Nikki</v>
      </c>
      <c r="E369" t="str">
        <f>IFERROR(__xludf.DUMMYFUNCTION("""COMPUTED_VALUE"""),"Faver dykes")</f>
        <v>Faver dykes</v>
      </c>
      <c r="F369" s="13">
        <f>IFERROR(__xludf.DUMMYFUNCTION("""COMPUTED_VALUE"""),0.3020833333321207)</f>
        <v>0.3020833333</v>
      </c>
      <c r="G369" s="14">
        <f>IFERROR(__xludf.DUMMYFUNCTION("""COMPUTED_VALUE"""),43725.0)</f>
        <v>43725</v>
      </c>
      <c r="H369" t="str">
        <f>IFERROR(__xludf.DUMMYFUNCTION("""COMPUTED_VALUE"""),"Pellicer Creek")</f>
        <v>Pellicer Creek</v>
      </c>
      <c r="I369" s="15">
        <f>IFERROR(__xludf.DUMMYFUNCTION("""COMPUTED_VALUE"""),0.5416666666678793)</f>
        <v>0.5416666667</v>
      </c>
      <c r="J369" s="16">
        <f>IFERROR(__xludf.DUMMYFUNCTION("""COMPUTED_VALUE"""),43725.60416666667)</f>
        <v>43725.60417</v>
      </c>
      <c r="K369" t="str">
        <f>IFERROR(__xludf.DUMMYFUNCTION("""COMPUTED_VALUE"""),"17ft Skill FL0642GW DEP07239")</f>
        <v>17ft Skill FL0642GW DEP07239</v>
      </c>
      <c r="M369" t="str">
        <f>IFERROR(__xludf.DUMMYFUNCTION("""COMPUTED_VALUE"""),"Ford F150 2008 - DEP18041 (SWMP Thing)")</f>
        <v>Ford F150 2008 - DEP18041 (SWMP Thing)</v>
      </c>
      <c r="N369" t="str">
        <f>IFERROR(__xludf.DUMMYFUNCTION("""COMPUTED_VALUE"""),"Pam Marcum, (480) 332-5414, Remo Mondazzi")</f>
        <v>Pam Marcum, (480) 332-5414, Remo Mondazzi</v>
      </c>
      <c r="P369" t="str">
        <f>IFERROR(__xludf.DUMMYFUNCTION("""COMPUTED_VALUE"""),"Pam")</f>
        <v>Pam</v>
      </c>
      <c r="Q369" t="str">
        <f>IFERROR(__xludf.DUMMYFUNCTION("""COMPUTED_VALUE"""),"Good")</f>
        <v>Good</v>
      </c>
      <c r="R369" t="str">
        <f>IFERROR(__xludf.DUMMYFUNCTION("""COMPUTED_VALUE"""),"Good")</f>
        <v>Good</v>
      </c>
      <c r="S369" t="str">
        <f>IFERROR(__xludf.DUMMYFUNCTION("""COMPUTED_VALUE"""),"Good")</f>
        <v>Good</v>
      </c>
      <c r="T369" t="str">
        <f>IFERROR(__xludf.DUMMYFUNCTION("""COMPUTED_VALUE"""),"Good")</f>
        <v>Good</v>
      </c>
      <c r="U369" t="str">
        <f>IFERROR(__xludf.DUMMYFUNCTION("""COMPUTED_VALUE"""),"Good")</f>
        <v>Good</v>
      </c>
      <c r="V369" t="str">
        <f>IFERROR(__xludf.DUMMYFUNCTION("""COMPUTED_VALUE"""),"Good")</f>
        <v>Good</v>
      </c>
      <c r="W369" t="str">
        <f>IFERROR(__xludf.DUMMYFUNCTION("""COMPUTED_VALUE"""),"Good")</f>
        <v>Good</v>
      </c>
      <c r="X369" t="str">
        <f>IFERROR(__xludf.DUMMYFUNCTION("""COMPUTED_VALUE"""),"Good")</f>
        <v>Good</v>
      </c>
      <c r="Y369" t="str">
        <f>IFERROR(__xludf.DUMMYFUNCTION("""COMPUTED_VALUE"""),"Good")</f>
        <v>Good</v>
      </c>
      <c r="Z369" t="str">
        <f>IFERROR(__xludf.DUMMYFUNCTION("""COMPUTED_VALUE"""),"Good")</f>
        <v>Good</v>
      </c>
      <c r="AA369" t="str">
        <f>IFERROR(__xludf.DUMMYFUNCTION("""COMPUTED_VALUE"""),"Good")</f>
        <v>Good</v>
      </c>
      <c r="AB369" t="str">
        <f>IFERROR(__xludf.DUMMYFUNCTION("""COMPUTED_VALUE"""),"Good")</f>
        <v>Good</v>
      </c>
      <c r="AC369" t="str">
        <f>IFERROR(__xludf.DUMMYFUNCTION("""COMPUTED_VALUE"""),"Good")</f>
        <v>Good</v>
      </c>
      <c r="AE369" s="11"/>
      <c r="AF369" t="s">
        <v>218</v>
      </c>
      <c r="AG369" s="17" t="s">
        <v>60</v>
      </c>
      <c r="AH369" s="12">
        <v>1200.0</v>
      </c>
      <c r="AI369" s="12" t="s">
        <v>1060</v>
      </c>
      <c r="AJ369" s="19" t="s">
        <v>1061</v>
      </c>
      <c r="AK369" s="20" t="str">
        <f>HYPERLINK("https://docs.google.com/document/d/1CvkBjFbxX2vq9UR6Nu2rTcNsfr1a8UDMyRu0D7wuXhg/edit?usp=drivesdk","Pamela Marcum - 9/17/2019 7:15 AM")</f>
        <v>Pamela Marcum - 9/17/2019 7:15 AM</v>
      </c>
      <c r="AL369" s="12" t="s">
        <v>1062</v>
      </c>
    </row>
    <row r="370">
      <c r="A370" s="10">
        <f>IFERROR(__xludf.DUMMYFUNCTION("""COMPUTED_VALUE"""),43725.41551450231)</f>
        <v>43725.41551</v>
      </c>
      <c r="B370" s="11" t="str">
        <f>IFERROR(__xludf.DUMMYFUNCTION("""COMPUTED_VALUE"""),"Shannon Dunnigan")</f>
        <v>Shannon Dunnigan</v>
      </c>
      <c r="C370" t="str">
        <f>IFERROR(__xludf.DUMMYFUNCTION("""COMPUTED_VALUE"""),"shannon.dunnigan@dep.state.fl.us")</f>
        <v>shannon.dunnigan@dep.state.fl.us</v>
      </c>
      <c r="D370" t="str">
        <f>IFERROR(__xludf.DUMMYFUNCTION("""COMPUTED_VALUE"""),"Research/Nikki")</f>
        <v>Research/Nikki</v>
      </c>
      <c r="E370" t="str">
        <f>IFERROR(__xludf.DUMMYFUNCTION("""COMPUTED_VALUE"""),"Faver-Dykes")</f>
        <v>Faver-Dykes</v>
      </c>
      <c r="F370" s="13">
        <f>IFERROR(__xludf.DUMMYFUNCTION("""COMPUTED_VALUE"""),0.4270833333321207)</f>
        <v>0.4270833333</v>
      </c>
      <c r="G370" s="14">
        <f>IFERROR(__xludf.DUMMYFUNCTION("""COMPUTED_VALUE"""),43725.0)</f>
        <v>43725</v>
      </c>
      <c r="H370" t="str">
        <f>IFERROR(__xludf.DUMMYFUNCTION("""COMPUTED_VALUE"""),"Pellicer flats")</f>
        <v>Pellicer flats</v>
      </c>
      <c r="I370" s="15">
        <f>IFERROR(__xludf.DUMMYFUNCTION("""COMPUTED_VALUE"""),0.5416666666678793)</f>
        <v>0.5416666667</v>
      </c>
      <c r="J370" s="16">
        <f>IFERROR(__xludf.DUMMYFUNCTION("""COMPUTED_VALUE"""),43725.625)</f>
        <v>43725.625</v>
      </c>
      <c r="K370" t="str">
        <f>IFERROR(__xludf.DUMMYFUNCTION("""COMPUTED_VALUE"""),"20ft Sea Ark FL5351SJ UNF 2015")</f>
        <v>20ft Sea Ark FL5351SJ UNF 2015</v>
      </c>
      <c r="M370" t="str">
        <f>IFERROR(__xludf.DUMMYFUNCTION("""COMPUTED_VALUE"""),"Ford F250 2017 (Moby Dix) - DEP0021578")</f>
        <v>Ford F250 2017 (Moby Dix) - DEP0021578</v>
      </c>
      <c r="N370" t="str">
        <f>IFERROR(__xludf.DUMMYFUNCTION("""COMPUTED_VALUE"""),"Shannon Dunnigan, (803) 727-5734, Silas Tanner, (904) 483-8423")</f>
        <v>Shannon Dunnigan, (803) 727-5734, Silas Tanner, (904) 483-8423</v>
      </c>
      <c r="O370" t="str">
        <f>IFERROR(__xludf.DUMMYFUNCTION("""COMPUTED_VALUE"""),"Casey McClure")</f>
        <v>Casey McClure</v>
      </c>
      <c r="P370" t="str">
        <f>IFERROR(__xludf.DUMMYFUNCTION("""COMPUTED_VALUE"""),"Shannon")</f>
        <v>Shannon</v>
      </c>
      <c r="Q370" t="str">
        <f>IFERROR(__xludf.DUMMYFUNCTION("""COMPUTED_VALUE"""),"Good")</f>
        <v>Good</v>
      </c>
      <c r="R370" t="str">
        <f>IFERROR(__xludf.DUMMYFUNCTION("""COMPUTED_VALUE"""),"Good")</f>
        <v>Good</v>
      </c>
      <c r="S370" t="str">
        <f>IFERROR(__xludf.DUMMYFUNCTION("""COMPUTED_VALUE"""),"Good")</f>
        <v>Good</v>
      </c>
      <c r="T370" t="str">
        <f>IFERROR(__xludf.DUMMYFUNCTION("""COMPUTED_VALUE"""),"Good")</f>
        <v>Good</v>
      </c>
      <c r="U370" t="str">
        <f>IFERROR(__xludf.DUMMYFUNCTION("""COMPUTED_VALUE"""),"Good")</f>
        <v>Good</v>
      </c>
      <c r="V370" t="str">
        <f>IFERROR(__xludf.DUMMYFUNCTION("""COMPUTED_VALUE"""),"Good")</f>
        <v>Good</v>
      </c>
      <c r="W370" t="str">
        <f>IFERROR(__xludf.DUMMYFUNCTION("""COMPUTED_VALUE"""),"Good")</f>
        <v>Good</v>
      </c>
      <c r="X370" t="str">
        <f>IFERROR(__xludf.DUMMYFUNCTION("""COMPUTED_VALUE"""),"Good")</f>
        <v>Good</v>
      </c>
      <c r="Y370" t="str">
        <f>IFERROR(__xludf.DUMMYFUNCTION("""COMPUTED_VALUE"""),"Good")</f>
        <v>Good</v>
      </c>
      <c r="Z370" t="str">
        <f>IFERROR(__xludf.DUMMYFUNCTION("""COMPUTED_VALUE"""),"Good")</f>
        <v>Good</v>
      </c>
      <c r="AA370" t="str">
        <f>IFERROR(__xludf.DUMMYFUNCTION("""COMPUTED_VALUE"""),"Good")</f>
        <v>Good</v>
      </c>
      <c r="AB370" t="str">
        <f>IFERROR(__xludf.DUMMYFUNCTION("""COMPUTED_VALUE"""),"Good")</f>
        <v>Good</v>
      </c>
      <c r="AC370" t="str">
        <f>IFERROR(__xludf.DUMMYFUNCTION("""COMPUTED_VALUE"""),"Good")</f>
        <v>Good</v>
      </c>
      <c r="AE370" s="11"/>
      <c r="AF370" t="s">
        <v>218</v>
      </c>
      <c r="AG370" s="17" t="s">
        <v>18</v>
      </c>
      <c r="AH370" s="12">
        <v>1140.0</v>
      </c>
      <c r="AI370" s="12" t="s">
        <v>1063</v>
      </c>
      <c r="AJ370" s="19" t="s">
        <v>1064</v>
      </c>
      <c r="AK370" s="20" t="str">
        <f>HYPERLINK("https://docs.google.com/document/d/11x0CkR3ktEFIujcLW_1aRWhBz7-fh-ehKWEqiRQ6-Bs/edit?usp=drivesdk","Shannon Dunnigan - 9/17/2019 10:15 AM")</f>
        <v>Shannon Dunnigan - 9/17/2019 10:15 AM</v>
      </c>
      <c r="AL370" s="12" t="s">
        <v>1065</v>
      </c>
    </row>
    <row r="371">
      <c r="A371" s="10">
        <f>IFERROR(__xludf.DUMMYFUNCTION("""COMPUTED_VALUE"""),43726.268008067134)</f>
        <v>43726.26801</v>
      </c>
      <c r="B371" s="11" t="str">
        <f>IFERROR(__xludf.DUMMYFUNCTION("""COMPUTED_VALUE"""),"Pam Marcum")</f>
        <v>Pam Marcum</v>
      </c>
      <c r="C371" t="str">
        <f>IFERROR(__xludf.DUMMYFUNCTION("""COMPUTED_VALUE"""),"Pamela.Marcum@floridadep.gov")</f>
        <v>Pamela.Marcum@floridadep.gov</v>
      </c>
      <c r="D371" t="str">
        <f>IFERROR(__xludf.DUMMYFUNCTION("""COMPUTED_VALUE"""),"Research/Nikki")</f>
        <v>Research/Nikki</v>
      </c>
      <c r="E371" t="str">
        <f>IFERROR(__xludf.DUMMYFUNCTION("""COMPUTED_VALUE"""),"Faver-Dykes")</f>
        <v>Faver-Dykes</v>
      </c>
      <c r="F371" s="13">
        <f>IFERROR(__xludf.DUMMYFUNCTION("""COMPUTED_VALUE"""),0.3125)</f>
        <v>0.3125</v>
      </c>
      <c r="G371" s="14">
        <f>IFERROR(__xludf.DUMMYFUNCTION("""COMPUTED_VALUE"""),43726.0)</f>
        <v>43726</v>
      </c>
      <c r="H371" t="str">
        <f>IFERROR(__xludf.DUMMYFUNCTION("""COMPUTED_VALUE"""),"Pellicer Creek")</f>
        <v>Pellicer Creek</v>
      </c>
      <c r="I371" s="15">
        <f>IFERROR(__xludf.DUMMYFUNCTION("""COMPUTED_VALUE"""),0.5416666666678793)</f>
        <v>0.5416666667</v>
      </c>
      <c r="J371" s="16">
        <f>IFERROR(__xludf.DUMMYFUNCTION("""COMPUTED_VALUE"""),43726.60416666667)</f>
        <v>43726.60417</v>
      </c>
      <c r="K371" t="str">
        <f>IFERROR(__xludf.DUMMYFUNCTION("""COMPUTED_VALUE"""),"17ft Skill FL0642GW DEP07239")</f>
        <v>17ft Skill FL0642GW DEP07239</v>
      </c>
      <c r="M371" t="str">
        <f>IFERROR(__xludf.DUMMYFUNCTION("""COMPUTED_VALUE"""),"Ford F150 2008 - DEP18041 (SWMP Thing)")</f>
        <v>Ford F150 2008 - DEP18041 (SWMP Thing)</v>
      </c>
      <c r="N371" t="str">
        <f>IFERROR(__xludf.DUMMYFUNCTION("""COMPUTED_VALUE"""),"Pam Marcum, (480) 332-5414")</f>
        <v>Pam Marcum, (480) 332-5414</v>
      </c>
      <c r="O371" t="str">
        <f>IFERROR(__xludf.DUMMYFUNCTION("""COMPUTED_VALUE"""),"Jay Leighton")</f>
        <v>Jay Leighton</v>
      </c>
      <c r="P371" t="str">
        <f>IFERROR(__xludf.DUMMYFUNCTION("""COMPUTED_VALUE"""),"Pam")</f>
        <v>Pam</v>
      </c>
      <c r="Q371" t="str">
        <f>IFERROR(__xludf.DUMMYFUNCTION("""COMPUTED_VALUE"""),"Good")</f>
        <v>Good</v>
      </c>
      <c r="R371" t="str">
        <f>IFERROR(__xludf.DUMMYFUNCTION("""COMPUTED_VALUE"""),"Good")</f>
        <v>Good</v>
      </c>
      <c r="S371" t="str">
        <f>IFERROR(__xludf.DUMMYFUNCTION("""COMPUTED_VALUE"""),"Good")</f>
        <v>Good</v>
      </c>
      <c r="T371" t="str">
        <f>IFERROR(__xludf.DUMMYFUNCTION("""COMPUTED_VALUE"""),"Good")</f>
        <v>Good</v>
      </c>
      <c r="U371" t="str">
        <f>IFERROR(__xludf.DUMMYFUNCTION("""COMPUTED_VALUE"""),"Good")</f>
        <v>Good</v>
      </c>
      <c r="V371" t="str">
        <f>IFERROR(__xludf.DUMMYFUNCTION("""COMPUTED_VALUE"""),"Good")</f>
        <v>Good</v>
      </c>
      <c r="W371" t="str">
        <f>IFERROR(__xludf.DUMMYFUNCTION("""COMPUTED_VALUE"""),"Good")</f>
        <v>Good</v>
      </c>
      <c r="X371" t="str">
        <f>IFERROR(__xludf.DUMMYFUNCTION("""COMPUTED_VALUE"""),"Good")</f>
        <v>Good</v>
      </c>
      <c r="Y371" t="str">
        <f>IFERROR(__xludf.DUMMYFUNCTION("""COMPUTED_VALUE"""),"Good")</f>
        <v>Good</v>
      </c>
      <c r="Z371" t="str">
        <f>IFERROR(__xludf.DUMMYFUNCTION("""COMPUTED_VALUE"""),"Good")</f>
        <v>Good</v>
      </c>
      <c r="AA371" t="str">
        <f>IFERROR(__xludf.DUMMYFUNCTION("""COMPUTED_VALUE"""),"Good")</f>
        <v>Good</v>
      </c>
      <c r="AB371" t="str">
        <f>IFERROR(__xludf.DUMMYFUNCTION("""COMPUTED_VALUE"""),"Good")</f>
        <v>Good</v>
      </c>
      <c r="AC371" t="str">
        <f>IFERROR(__xludf.DUMMYFUNCTION("""COMPUTED_VALUE"""),"Good")</f>
        <v>Good</v>
      </c>
      <c r="AE371" s="11"/>
      <c r="AF371" t="s">
        <v>218</v>
      </c>
      <c r="AG371" s="17" t="s">
        <v>18</v>
      </c>
      <c r="AH371" s="12">
        <v>1210.0</v>
      </c>
      <c r="AI371" s="12" t="s">
        <v>1066</v>
      </c>
      <c r="AJ371" s="19" t="s">
        <v>1067</v>
      </c>
      <c r="AK371" s="20" t="str">
        <f>HYPERLINK("https://docs.google.com/document/d/1waXJaaxuMbyg-WQ34-bf7iNATV2Cu-MmkLtMWtKzsvc/edit?usp=drivesdk","Pam Marcum - 9/18/2019 7:30 AM")</f>
        <v>Pam Marcum - 9/18/2019 7:30 AM</v>
      </c>
      <c r="AL371" s="12" t="s">
        <v>1068</v>
      </c>
    </row>
    <row r="372">
      <c r="A372" s="10">
        <f>IFERROR(__xludf.DUMMYFUNCTION("""COMPUTED_VALUE"""),43726.37518136574)</f>
        <v>43726.37518</v>
      </c>
      <c r="B372" s="11" t="str">
        <f>IFERROR(__xludf.DUMMYFUNCTION("""COMPUTED_VALUE"""),"Jimmy")</f>
        <v>Jimmy</v>
      </c>
      <c r="C372" t="str">
        <f>IFERROR(__xludf.DUMMYFUNCTION("""COMPUTED_VALUE"""),"james.tomazinis@floridadep.gov")</f>
        <v>james.tomazinis@floridadep.gov</v>
      </c>
      <c r="D372" t="str">
        <f>IFERROR(__xludf.DUMMYFUNCTION("""COMPUTED_VALUE"""),"Stewardship (Aquatic)")</f>
        <v>Stewardship (Aquatic)</v>
      </c>
      <c r="E372" t="str">
        <f>IFERROR(__xludf.DUMMYFUNCTION("""COMPUTED_VALUE"""),"Vilano")</f>
        <v>Vilano</v>
      </c>
      <c r="F372" s="13">
        <f>IFERROR(__xludf.DUMMYFUNCTION("""COMPUTED_VALUE"""),0.3854166666678793)</f>
        <v>0.3854166667</v>
      </c>
      <c r="G372" s="14">
        <f>IFERROR(__xludf.DUMMYFUNCTION("""COMPUTED_VALUE"""),43726.0)</f>
        <v>43726</v>
      </c>
      <c r="H372" t="str">
        <f>IFERROR(__xludf.DUMMYFUNCTION("""COMPUTED_VALUE"""),"Nekton sites 9-20")</f>
        <v>Nekton sites 9-20</v>
      </c>
      <c r="I372" s="15">
        <f>IFERROR(__xludf.DUMMYFUNCTION("""COMPUTED_VALUE"""),0.6666666666678793)</f>
        <v>0.6666666667</v>
      </c>
      <c r="J372" s="16"/>
      <c r="K372" t="str">
        <f>IFERROR(__xludf.DUMMYFUNCTION("""COMPUTED_VALUE"""),"23ft Skiff (Bertha) FL7972LJ DEP07613")</f>
        <v>23ft Skiff (Bertha) FL7972LJ DEP07613</v>
      </c>
      <c r="M372" t="str">
        <f>IFERROR(__xludf.DUMMYFUNCTION("""COMPUTED_VALUE"""),"Ford F150 2015 (White) - DEP21448")</f>
        <v>Ford F150 2015 (White) - DEP21448</v>
      </c>
      <c r="N372" t="str">
        <f>IFERROR(__xludf.DUMMYFUNCTION("""COMPUTED_VALUE"""),"Jimmy Tomazinis, (904) 547-0094")</f>
        <v>Jimmy Tomazinis, (904) 547-0094</v>
      </c>
      <c r="O372" t="str">
        <f>IFERROR(__xludf.DUMMYFUNCTION("""COMPUTED_VALUE"""),"Scott Eastman, (904) 501-9267, Suzi, Jeff, Casey, Spencer")</f>
        <v>Scott Eastman, (904) 501-9267, Suzi, Jeff, Casey, Spencer</v>
      </c>
      <c r="P372" t="str">
        <f>IFERROR(__xludf.DUMMYFUNCTION("""COMPUTED_VALUE"""),"Jimmy ")</f>
        <v>Jimmy </v>
      </c>
      <c r="Q372" t="str">
        <f>IFERROR(__xludf.DUMMYFUNCTION("""COMPUTED_VALUE"""),"Good")</f>
        <v>Good</v>
      </c>
      <c r="R372" t="str">
        <f>IFERROR(__xludf.DUMMYFUNCTION("""COMPUTED_VALUE"""),"Good")</f>
        <v>Good</v>
      </c>
      <c r="S372" t="str">
        <f>IFERROR(__xludf.DUMMYFUNCTION("""COMPUTED_VALUE"""),"Good")</f>
        <v>Good</v>
      </c>
      <c r="T372" t="str">
        <f>IFERROR(__xludf.DUMMYFUNCTION("""COMPUTED_VALUE"""),"Good")</f>
        <v>Good</v>
      </c>
      <c r="U372" t="str">
        <f>IFERROR(__xludf.DUMMYFUNCTION("""COMPUTED_VALUE"""),"Good")</f>
        <v>Good</v>
      </c>
      <c r="V372" t="str">
        <f>IFERROR(__xludf.DUMMYFUNCTION("""COMPUTED_VALUE"""),"Good")</f>
        <v>Good</v>
      </c>
      <c r="W372" t="str">
        <f>IFERROR(__xludf.DUMMYFUNCTION("""COMPUTED_VALUE"""),"Good")</f>
        <v>Good</v>
      </c>
      <c r="X372" t="str">
        <f>IFERROR(__xludf.DUMMYFUNCTION("""COMPUTED_VALUE"""),"Good")</f>
        <v>Good</v>
      </c>
      <c r="Y372" t="str">
        <f>IFERROR(__xludf.DUMMYFUNCTION("""COMPUTED_VALUE"""),"Good")</f>
        <v>Good</v>
      </c>
      <c r="Z372" t="str">
        <f>IFERROR(__xludf.DUMMYFUNCTION("""COMPUTED_VALUE"""),"Good")</f>
        <v>Good</v>
      </c>
      <c r="AA372" t="str">
        <f>IFERROR(__xludf.DUMMYFUNCTION("""COMPUTED_VALUE"""),"Good")</f>
        <v>Good</v>
      </c>
      <c r="AB372" t="str">
        <f>IFERROR(__xludf.DUMMYFUNCTION("""COMPUTED_VALUE"""),"Good")</f>
        <v>Good</v>
      </c>
      <c r="AC372" t="str">
        <f>IFERROR(__xludf.DUMMYFUNCTION("""COMPUTED_VALUE"""),"Good")</f>
        <v>Good</v>
      </c>
      <c r="AE372" s="11"/>
      <c r="AF372" t="s">
        <v>32</v>
      </c>
      <c r="AG372" s="17" t="s">
        <v>18</v>
      </c>
      <c r="AH372" s="12">
        <v>1613.0</v>
      </c>
      <c r="AI372" s="12" t="s">
        <v>1069</v>
      </c>
      <c r="AJ372" s="19" t="s">
        <v>1070</v>
      </c>
      <c r="AK372" s="20" t="str">
        <f>HYPERLINK("https://docs.google.com/document/d/1VFwoXvxUp9esJMS9AjQJUjDLucKnSGwDdiqVmF5mxvQ/edit?usp=drivesdk","Jimmy - 9/18/2019 9:15 AM")</f>
        <v>Jimmy - 9/18/2019 9:15 AM</v>
      </c>
      <c r="AL372" s="12" t="s">
        <v>1071</v>
      </c>
    </row>
    <row r="373">
      <c r="A373" s="10">
        <f>IFERROR(__xludf.DUMMYFUNCTION("""COMPUTED_VALUE"""),43727.33444310185)</f>
        <v>43727.33444</v>
      </c>
      <c r="B373" s="11" t="str">
        <f>IFERROR(__xludf.DUMMYFUNCTION("""COMPUTED_VALUE"""),"Pamela Marcum")</f>
        <v>Pamela Marcum</v>
      </c>
      <c r="C373" t="str">
        <f>IFERROR(__xludf.DUMMYFUNCTION("""COMPUTED_VALUE"""),"Pamela.Marcum@floridadep.gov")</f>
        <v>Pamela.Marcum@floridadep.gov</v>
      </c>
      <c r="D373" t="str">
        <f>IFERROR(__xludf.DUMMYFUNCTION("""COMPUTED_VALUE"""),"Research/Nikki")</f>
        <v>Research/Nikki</v>
      </c>
      <c r="E373" t="str">
        <f>IFERROR(__xludf.DUMMYFUNCTION("""COMPUTED_VALUE"""),"Faver-Dykes")</f>
        <v>Faver-Dykes</v>
      </c>
      <c r="F373" s="13">
        <f>IFERROR(__xludf.DUMMYFUNCTION("""COMPUTED_VALUE"""),0.3229166666678793)</f>
        <v>0.3229166667</v>
      </c>
      <c r="G373" s="14">
        <f>IFERROR(__xludf.DUMMYFUNCTION("""COMPUTED_VALUE"""),43727.0)</f>
        <v>43727</v>
      </c>
      <c r="H373" t="str">
        <f>IFERROR(__xludf.DUMMYFUNCTION("""COMPUTED_VALUE"""),"Pellicer Creek")</f>
        <v>Pellicer Creek</v>
      </c>
      <c r="I373" s="15">
        <f>IFERROR(__xludf.DUMMYFUNCTION("""COMPUTED_VALUE"""),0.5416666666678793)</f>
        <v>0.5416666667</v>
      </c>
      <c r="J373" s="16">
        <f>IFERROR(__xludf.DUMMYFUNCTION("""COMPUTED_VALUE"""),43727.60416666667)</f>
        <v>43727.60417</v>
      </c>
      <c r="K373" t="str">
        <f>IFERROR(__xludf.DUMMYFUNCTION("""COMPUTED_VALUE"""),"17ft Skill FL0642GW DEP07239")</f>
        <v>17ft Skill FL0642GW DEP07239</v>
      </c>
      <c r="M373" t="str">
        <f>IFERROR(__xludf.DUMMYFUNCTION("""COMPUTED_VALUE"""),"Ford F150 2008 - DEP18041 (SWMP Thing)")</f>
        <v>Ford F150 2008 - DEP18041 (SWMP Thing)</v>
      </c>
      <c r="N373" t="str">
        <f>IFERROR(__xludf.DUMMYFUNCTION("""COMPUTED_VALUE"""),"Pam Marcum, (480) 332-5414, Remo Mondazzi")</f>
        <v>Pam Marcum, (480) 332-5414, Remo Mondazzi</v>
      </c>
      <c r="P373" t="str">
        <f>IFERROR(__xludf.DUMMYFUNCTION("""COMPUTED_VALUE"""),"Pam")</f>
        <v>Pam</v>
      </c>
      <c r="Q373" t="str">
        <f>IFERROR(__xludf.DUMMYFUNCTION("""COMPUTED_VALUE"""),"Good")</f>
        <v>Good</v>
      </c>
      <c r="R373" t="str">
        <f>IFERROR(__xludf.DUMMYFUNCTION("""COMPUTED_VALUE"""),"Good")</f>
        <v>Good</v>
      </c>
      <c r="S373" t="str">
        <f>IFERROR(__xludf.DUMMYFUNCTION("""COMPUTED_VALUE"""),"Good")</f>
        <v>Good</v>
      </c>
      <c r="T373" t="str">
        <f>IFERROR(__xludf.DUMMYFUNCTION("""COMPUTED_VALUE"""),"Good")</f>
        <v>Good</v>
      </c>
      <c r="U373" t="str">
        <f>IFERROR(__xludf.DUMMYFUNCTION("""COMPUTED_VALUE"""),"Good")</f>
        <v>Good</v>
      </c>
      <c r="V373" t="str">
        <f>IFERROR(__xludf.DUMMYFUNCTION("""COMPUTED_VALUE"""),"Good")</f>
        <v>Good</v>
      </c>
      <c r="W373" t="str">
        <f>IFERROR(__xludf.DUMMYFUNCTION("""COMPUTED_VALUE"""),"Good")</f>
        <v>Good</v>
      </c>
      <c r="X373" t="str">
        <f>IFERROR(__xludf.DUMMYFUNCTION("""COMPUTED_VALUE"""),"Good")</f>
        <v>Good</v>
      </c>
      <c r="Y373" t="str">
        <f>IFERROR(__xludf.DUMMYFUNCTION("""COMPUTED_VALUE"""),"Good")</f>
        <v>Good</v>
      </c>
      <c r="Z373" t="str">
        <f>IFERROR(__xludf.DUMMYFUNCTION("""COMPUTED_VALUE"""),"Good")</f>
        <v>Good</v>
      </c>
      <c r="AA373" t="str">
        <f>IFERROR(__xludf.DUMMYFUNCTION("""COMPUTED_VALUE"""),"Good")</f>
        <v>Good</v>
      </c>
      <c r="AB373" t="str">
        <f>IFERROR(__xludf.DUMMYFUNCTION("""COMPUTED_VALUE"""),"Good")</f>
        <v>Good</v>
      </c>
      <c r="AC373" t="str">
        <f>IFERROR(__xludf.DUMMYFUNCTION("""COMPUTED_VALUE"""),"Good")</f>
        <v>Good</v>
      </c>
      <c r="AE373" s="11"/>
      <c r="AF373" t="s">
        <v>218</v>
      </c>
      <c r="AG373" s="17" t="s">
        <v>43</v>
      </c>
      <c r="AH373" s="12">
        <v>1155.0</v>
      </c>
      <c r="AI373" s="12" t="s">
        <v>1072</v>
      </c>
      <c r="AJ373" s="19" t="s">
        <v>1073</v>
      </c>
      <c r="AK373" s="20" t="str">
        <f>HYPERLINK("https://docs.google.com/document/d/17-ejbLkrYmuOCBKs8rnXdpzSNQId2GnwAk45L75Y62U/edit?usp=drivesdk","Pamela Marcum - 9/19/2019 7:45 AM")</f>
        <v>Pamela Marcum - 9/19/2019 7:45 AM</v>
      </c>
      <c r="AL373" s="12" t="s">
        <v>1074</v>
      </c>
    </row>
    <row r="374">
      <c r="A374" s="10">
        <f>IFERROR(__xludf.DUMMYFUNCTION("""COMPUTED_VALUE"""),43727.34919997685)</f>
        <v>43727.3492</v>
      </c>
      <c r="B374" s="11" t="str">
        <f>IFERROR(__xludf.DUMMYFUNCTION("""COMPUTED_VALUE"""),"Jimmy Tomazinis")</f>
        <v>Jimmy Tomazinis</v>
      </c>
      <c r="C374" t="str">
        <f>IFERROR(__xludf.DUMMYFUNCTION("""COMPUTED_VALUE"""),"james.tomazinis@floridadep.gov")</f>
        <v>james.tomazinis@floridadep.gov</v>
      </c>
      <c r="D374" t="str">
        <f>IFERROR(__xludf.DUMMYFUNCTION("""COMPUTED_VALUE"""),"Stewardship (Aquatic)")</f>
        <v>Stewardship (Aquatic)</v>
      </c>
      <c r="E374" t="str">
        <f>IFERROR(__xludf.DUMMYFUNCTION("""COMPUTED_VALUE"""),"Bings")</f>
        <v>Bings</v>
      </c>
      <c r="F374" s="13">
        <f>IFERROR(__xludf.DUMMYFUNCTION("""COMPUTED_VALUE"""),0.4166666666678793)</f>
        <v>0.4166666667</v>
      </c>
      <c r="G374" s="14">
        <f>IFERROR(__xludf.DUMMYFUNCTION("""COMPUTED_VALUE"""),43727.0)</f>
        <v>43727</v>
      </c>
      <c r="H374" t="str">
        <f>IFERROR(__xludf.DUMMYFUNCTION("""COMPUTED_VALUE"""),"Nekton sites 15-20")</f>
        <v>Nekton sites 15-20</v>
      </c>
      <c r="I374" s="15">
        <f>IFERROR(__xludf.DUMMYFUNCTION("""COMPUTED_VALUE"""),0.6666666666678793)</f>
        <v>0.6666666667</v>
      </c>
      <c r="J374" s="16"/>
      <c r="K374" t="str">
        <f>IFERROR(__xludf.DUMMYFUNCTION("""COMPUTED_VALUE"""),"23ft Skiff (Bertha) FL7972LJ DEP07613")</f>
        <v>23ft Skiff (Bertha) FL7972LJ DEP07613</v>
      </c>
      <c r="M374" t="str">
        <f>IFERROR(__xludf.DUMMYFUNCTION("""COMPUTED_VALUE"""),"Ford F150 2015 (White) - DEP21448")</f>
        <v>Ford F150 2015 (White) - DEP21448</v>
      </c>
      <c r="N374" t="str">
        <f>IFERROR(__xludf.DUMMYFUNCTION("""COMPUTED_VALUE"""),"Jimmy Tomazinis, (904) 547-0094")</f>
        <v>Jimmy Tomazinis, (904) 547-0094</v>
      </c>
      <c r="O374" t="str">
        <f>IFERROR(__xludf.DUMMYFUNCTION("""COMPUTED_VALUE"""),"Ed, Diane, Alicia, Zach, Suzi")</f>
        <v>Ed, Diane, Alicia, Zach, Suzi</v>
      </c>
      <c r="P374" t="str">
        <f>IFERROR(__xludf.DUMMYFUNCTION("""COMPUTED_VALUE"""),"Jimmy")</f>
        <v>Jimmy</v>
      </c>
      <c r="Q374" t="str">
        <f>IFERROR(__xludf.DUMMYFUNCTION("""COMPUTED_VALUE"""),"Good")</f>
        <v>Good</v>
      </c>
      <c r="R374" t="str">
        <f>IFERROR(__xludf.DUMMYFUNCTION("""COMPUTED_VALUE"""),"Good")</f>
        <v>Good</v>
      </c>
      <c r="S374" t="str">
        <f>IFERROR(__xludf.DUMMYFUNCTION("""COMPUTED_VALUE"""),"Good")</f>
        <v>Good</v>
      </c>
      <c r="T374" t="str">
        <f>IFERROR(__xludf.DUMMYFUNCTION("""COMPUTED_VALUE"""),"Good")</f>
        <v>Good</v>
      </c>
      <c r="U374" t="str">
        <f>IFERROR(__xludf.DUMMYFUNCTION("""COMPUTED_VALUE"""),"Good")</f>
        <v>Good</v>
      </c>
      <c r="V374" t="str">
        <f>IFERROR(__xludf.DUMMYFUNCTION("""COMPUTED_VALUE"""),"Good")</f>
        <v>Good</v>
      </c>
      <c r="W374" t="str">
        <f>IFERROR(__xludf.DUMMYFUNCTION("""COMPUTED_VALUE"""),"Good")</f>
        <v>Good</v>
      </c>
      <c r="X374" t="str">
        <f>IFERROR(__xludf.DUMMYFUNCTION("""COMPUTED_VALUE"""),"Good")</f>
        <v>Good</v>
      </c>
      <c r="Y374" t="str">
        <f>IFERROR(__xludf.DUMMYFUNCTION("""COMPUTED_VALUE"""),"Good")</f>
        <v>Good</v>
      </c>
      <c r="Z374" t="str">
        <f>IFERROR(__xludf.DUMMYFUNCTION("""COMPUTED_VALUE"""),"Good")</f>
        <v>Good</v>
      </c>
      <c r="AA374" t="str">
        <f>IFERROR(__xludf.DUMMYFUNCTION("""COMPUTED_VALUE"""),"Good")</f>
        <v>Good</v>
      </c>
      <c r="AB374" t="str">
        <f>IFERROR(__xludf.DUMMYFUNCTION("""COMPUTED_VALUE"""),"Good")</f>
        <v>Good</v>
      </c>
      <c r="AC374" t="str">
        <f>IFERROR(__xludf.DUMMYFUNCTION("""COMPUTED_VALUE"""),"Good")</f>
        <v>Good</v>
      </c>
      <c r="AE374" s="11"/>
      <c r="AF374" t="s">
        <v>32</v>
      </c>
      <c r="AG374" s="17" t="s">
        <v>22</v>
      </c>
      <c r="AH374" s="12">
        <v>1550.0</v>
      </c>
      <c r="AI374" s="12" t="s">
        <v>1075</v>
      </c>
      <c r="AJ374" s="19" t="s">
        <v>1076</v>
      </c>
      <c r="AK374" s="20" t="str">
        <f>HYPERLINK("https://docs.google.com/document/d/1_ixFUqqY3pBFYyko_LJxme1mlZsxKkUiApejiVxk4Vk/edit?usp=drivesdk","Jimmy Tomazinis - 9/19/2019 10:00 AM")</f>
        <v>Jimmy Tomazinis - 9/19/2019 10:00 AM</v>
      </c>
      <c r="AL374" s="12" t="s">
        <v>1077</v>
      </c>
    </row>
    <row r="375">
      <c r="A375" s="10">
        <f>IFERROR(__xludf.DUMMYFUNCTION("""COMPUTED_VALUE"""),43727.40941795139)</f>
        <v>43727.40942</v>
      </c>
      <c r="B375" s="11" t="str">
        <f>IFERROR(__xludf.DUMMYFUNCTION("""COMPUTED_VALUE"""),"Silas Tanner")</f>
        <v>Silas Tanner</v>
      </c>
      <c r="C375" t="str">
        <f>IFERROR(__xludf.DUMMYFUNCTION("""COMPUTED_VALUE"""),"silas.tanner@floridadep.gov")</f>
        <v>silas.tanner@floridadep.gov</v>
      </c>
      <c r="D375" t="str">
        <f>IFERROR(__xludf.DUMMYFUNCTION("""COMPUTED_VALUE"""),"Research/Nikki")</f>
        <v>Research/Nikki</v>
      </c>
      <c r="E375" t="str">
        <f>IFERROR(__xludf.DUMMYFUNCTION("""COMPUTED_VALUE"""),"Faver Dykes SP")</f>
        <v>Faver Dykes SP</v>
      </c>
      <c r="F375" s="13">
        <f>IFERROR(__xludf.DUMMYFUNCTION("""COMPUTED_VALUE"""),0.40972222222262644)</f>
        <v>0.4097222222</v>
      </c>
      <c r="G375" s="14">
        <f>IFERROR(__xludf.DUMMYFUNCTION("""COMPUTED_VALUE"""),43727.0)</f>
        <v>43727</v>
      </c>
      <c r="H375" t="str">
        <f>IFERROR(__xludf.DUMMYFUNCTION("""COMPUTED_VALUE"""),"Pellicer Creek SWMP platforms")</f>
        <v>Pellicer Creek SWMP platforms</v>
      </c>
      <c r="I375" s="15">
        <f>IFERROR(__xludf.DUMMYFUNCTION("""COMPUTED_VALUE"""),0.5625)</f>
        <v>0.5625</v>
      </c>
      <c r="J375" s="16">
        <f>IFERROR(__xludf.DUMMYFUNCTION("""COMPUTED_VALUE"""),43727.60416666667)</f>
        <v>43727.60417</v>
      </c>
      <c r="K375" t="str">
        <f>IFERROR(__xludf.DUMMYFUNCTION("""COMPUTED_VALUE"""),"20ft Sea Ark FL5351SJ UNF 2015")</f>
        <v>20ft Sea Ark FL5351SJ UNF 2015</v>
      </c>
      <c r="M375" t="str">
        <f>IFERROR(__xludf.DUMMYFUNCTION("""COMPUTED_VALUE"""),"Ford F250 2017 (Moby Dix) - DEP0021578")</f>
        <v>Ford F250 2017 (Moby Dix) - DEP0021578</v>
      </c>
      <c r="N375" t="str">
        <f>IFERROR(__xludf.DUMMYFUNCTION("""COMPUTED_VALUE"""),"Shannon Dunnigan, (803) 727-5734, Silas Tanner, (904) 483-8423")</f>
        <v>Shannon Dunnigan, (803) 727-5734, Silas Tanner, (904) 483-8423</v>
      </c>
      <c r="O375" t="str">
        <f>IFERROR(__xludf.DUMMYFUNCTION("""COMPUTED_VALUE"""),"Casey McClure")</f>
        <v>Casey McClure</v>
      </c>
      <c r="P375" t="str">
        <f>IFERROR(__xludf.DUMMYFUNCTION("""COMPUTED_VALUE"""),"S. Dunnigan")</f>
        <v>S. Dunnigan</v>
      </c>
      <c r="Q375" t="str">
        <f>IFERROR(__xludf.DUMMYFUNCTION("""COMPUTED_VALUE"""),"Good")</f>
        <v>Good</v>
      </c>
      <c r="R375" t="str">
        <f>IFERROR(__xludf.DUMMYFUNCTION("""COMPUTED_VALUE"""),"Good")</f>
        <v>Good</v>
      </c>
      <c r="S375" t="str">
        <f>IFERROR(__xludf.DUMMYFUNCTION("""COMPUTED_VALUE"""),"Good")</f>
        <v>Good</v>
      </c>
      <c r="T375" t="str">
        <f>IFERROR(__xludf.DUMMYFUNCTION("""COMPUTED_VALUE"""),"Good")</f>
        <v>Good</v>
      </c>
      <c r="U375" t="str">
        <f>IFERROR(__xludf.DUMMYFUNCTION("""COMPUTED_VALUE"""),"Good")</f>
        <v>Good</v>
      </c>
      <c r="V375" t="str">
        <f>IFERROR(__xludf.DUMMYFUNCTION("""COMPUTED_VALUE"""),"Good")</f>
        <v>Good</v>
      </c>
      <c r="W375" t="str">
        <f>IFERROR(__xludf.DUMMYFUNCTION("""COMPUTED_VALUE"""),"Good")</f>
        <v>Good</v>
      </c>
      <c r="X375" t="str">
        <f>IFERROR(__xludf.DUMMYFUNCTION("""COMPUTED_VALUE"""),"Good")</f>
        <v>Good</v>
      </c>
      <c r="Y375" t="str">
        <f>IFERROR(__xludf.DUMMYFUNCTION("""COMPUTED_VALUE"""),"Good")</f>
        <v>Good</v>
      </c>
      <c r="Z375" t="str">
        <f>IFERROR(__xludf.DUMMYFUNCTION("""COMPUTED_VALUE"""),"Good")</f>
        <v>Good</v>
      </c>
      <c r="AA375" t="str">
        <f>IFERROR(__xludf.DUMMYFUNCTION("""COMPUTED_VALUE"""),"Good")</f>
        <v>Good</v>
      </c>
      <c r="AB375" t="str">
        <f>IFERROR(__xludf.DUMMYFUNCTION("""COMPUTED_VALUE"""),"Good")</f>
        <v>Good</v>
      </c>
      <c r="AC375" t="str">
        <f>IFERROR(__xludf.DUMMYFUNCTION("""COMPUTED_VALUE"""),"Good")</f>
        <v>Good</v>
      </c>
      <c r="AE375" s="11"/>
      <c r="AF375" t="s">
        <v>218</v>
      </c>
      <c r="AG375" s="17" t="s">
        <v>43</v>
      </c>
      <c r="AH375" s="12">
        <v>1155.0</v>
      </c>
      <c r="AI375" s="12" t="s">
        <v>1078</v>
      </c>
      <c r="AJ375" s="19" t="s">
        <v>1079</v>
      </c>
      <c r="AK375" s="20" t="str">
        <f>HYPERLINK("https://docs.google.com/document/d/1XcVFZzDY85Qnprn6bdjN8xHXM896AB5RZfyIW2kUNRc/edit?usp=drivesdk","Silas Tanner - 9/19/2019 9:50 AM")</f>
        <v>Silas Tanner - 9/19/2019 9:50 AM</v>
      </c>
      <c r="AL375" s="12" t="s">
        <v>1080</v>
      </c>
    </row>
    <row r="376">
      <c r="A376" s="10">
        <f>IFERROR(__xludf.DUMMYFUNCTION("""COMPUTED_VALUE"""),43728.308867962965)</f>
        <v>43728.30887</v>
      </c>
      <c r="B376" s="11" t="str">
        <f>IFERROR(__xludf.DUMMYFUNCTION("""COMPUTED_VALUE"""),"Alexandria Knoell")</f>
        <v>Alexandria Knoell</v>
      </c>
      <c r="C376" t="str">
        <f>IFERROR(__xludf.DUMMYFUNCTION("""COMPUTED_VALUE"""),"alee.knoell@floridadep.gov")</f>
        <v>alee.knoell@floridadep.gov</v>
      </c>
      <c r="D376" t="str">
        <f>IFERROR(__xludf.DUMMYFUNCTION("""COMPUTED_VALUE"""),"Research/Nikki")</f>
        <v>Research/Nikki</v>
      </c>
      <c r="E376" t="str">
        <f>IFERROR(__xludf.DUMMYFUNCTION("""COMPUTED_VALUE"""),"Vilano")</f>
        <v>Vilano</v>
      </c>
      <c r="F376" s="13">
        <f>IFERROR(__xludf.DUMMYFUNCTION("""COMPUTED_VALUE"""),0.3125)</f>
        <v>0.3125</v>
      </c>
      <c r="G376" s="14">
        <f>IFERROR(__xludf.DUMMYFUNCTION("""COMPUTED_VALUE"""),43728.0)</f>
        <v>43728</v>
      </c>
      <c r="H376" t="str">
        <f>IFERROR(__xludf.DUMMYFUNCTION("""COMPUTED_VALUE"""),"Salt run")</f>
        <v>Salt run</v>
      </c>
      <c r="I376" s="15">
        <f>IFERROR(__xludf.DUMMYFUNCTION("""COMPUTED_VALUE"""),0.5)</f>
        <v>0.5</v>
      </c>
      <c r="J376" s="16">
        <f>IFERROR(__xludf.DUMMYFUNCTION("""COMPUTED_VALUE"""),43728.54166666667)</f>
        <v>43728.54167</v>
      </c>
      <c r="K376" t="str">
        <f>IFERROR(__xludf.DUMMYFUNCTION("""COMPUTED_VALUE"""),"20ft Sea Ark FL5351SJ UNF 2015")</f>
        <v>20ft Sea Ark FL5351SJ UNF 2015</v>
      </c>
      <c r="M376" t="str">
        <f>IFERROR(__xludf.DUMMYFUNCTION("""COMPUTED_VALUE"""),"Ford F250 2017 (Moby Dix) - DEP0021578")</f>
        <v>Ford F250 2017 (Moby Dix) - DEP0021578</v>
      </c>
      <c r="N376" t="str">
        <f>IFERROR(__xludf.DUMMYFUNCTION("""COMPUTED_VALUE"""),"Remo Mondazi")</f>
        <v>Remo Mondazi</v>
      </c>
      <c r="O376" t="str">
        <f>IFERROR(__xludf.DUMMYFUNCTION("""COMPUTED_VALUE"""),"Alee Knoell")</f>
        <v>Alee Knoell</v>
      </c>
      <c r="P376" t="str">
        <f>IFERROR(__xludf.DUMMYFUNCTION("""COMPUTED_VALUE"""),"Remo Mondazi")</f>
        <v>Remo Mondazi</v>
      </c>
      <c r="Q376" t="str">
        <f>IFERROR(__xludf.DUMMYFUNCTION("""COMPUTED_VALUE"""),"Good")</f>
        <v>Good</v>
      </c>
      <c r="R376" t="str">
        <f>IFERROR(__xludf.DUMMYFUNCTION("""COMPUTED_VALUE"""),"Good")</f>
        <v>Good</v>
      </c>
      <c r="S376" t="str">
        <f>IFERROR(__xludf.DUMMYFUNCTION("""COMPUTED_VALUE"""),"Good")</f>
        <v>Good</v>
      </c>
      <c r="T376" t="str">
        <f>IFERROR(__xludf.DUMMYFUNCTION("""COMPUTED_VALUE"""),"Good")</f>
        <v>Good</v>
      </c>
      <c r="U376" t="str">
        <f>IFERROR(__xludf.DUMMYFUNCTION("""COMPUTED_VALUE"""),"Good")</f>
        <v>Good</v>
      </c>
      <c r="V376" t="str">
        <f>IFERROR(__xludf.DUMMYFUNCTION("""COMPUTED_VALUE"""),"Good")</f>
        <v>Good</v>
      </c>
      <c r="W376" t="str">
        <f>IFERROR(__xludf.DUMMYFUNCTION("""COMPUTED_VALUE"""),"Good")</f>
        <v>Good</v>
      </c>
      <c r="X376" t="str">
        <f>IFERROR(__xludf.DUMMYFUNCTION("""COMPUTED_VALUE"""),"Good")</f>
        <v>Good</v>
      </c>
      <c r="Y376" t="str">
        <f>IFERROR(__xludf.DUMMYFUNCTION("""COMPUTED_VALUE"""),"Good")</f>
        <v>Good</v>
      </c>
      <c r="Z376" t="str">
        <f>IFERROR(__xludf.DUMMYFUNCTION("""COMPUTED_VALUE"""),"Good")</f>
        <v>Good</v>
      </c>
      <c r="AA376" t="str">
        <f>IFERROR(__xludf.DUMMYFUNCTION("""COMPUTED_VALUE"""),"Good")</f>
        <v>Good</v>
      </c>
      <c r="AB376" t="str">
        <f>IFERROR(__xludf.DUMMYFUNCTION("""COMPUTED_VALUE"""),"Good")</f>
        <v>Good</v>
      </c>
      <c r="AC376" t="str">
        <f>IFERROR(__xludf.DUMMYFUNCTION("""COMPUTED_VALUE"""),"Good")</f>
        <v>Good</v>
      </c>
      <c r="AE376" s="11"/>
      <c r="AF376" t="s">
        <v>218</v>
      </c>
      <c r="AG376" s="17" t="s">
        <v>18</v>
      </c>
      <c r="AH376" s="12">
        <v>1040.0</v>
      </c>
      <c r="AI376" s="12" t="s">
        <v>1081</v>
      </c>
      <c r="AJ376" s="19" t="s">
        <v>1082</v>
      </c>
      <c r="AK376" s="20" t="str">
        <f>HYPERLINK("https://docs.google.com/document/d/17A4uRgXYnvF9AqyKS1BltihQdj9B2XvMFNMWZqS165M/edit?usp=drivesdk","Alexandria Knoell - 9/20/2019 7:30 AM")</f>
        <v>Alexandria Knoell - 9/20/2019 7:30 AM</v>
      </c>
      <c r="AL376" s="12" t="s">
        <v>1083</v>
      </c>
    </row>
    <row r="377">
      <c r="A377" s="10">
        <f>IFERROR(__xludf.DUMMYFUNCTION("""COMPUTED_VALUE"""),43731.36523236111)</f>
        <v>43731.36523</v>
      </c>
      <c r="B377" s="11" t="str">
        <f>IFERROR(__xludf.DUMMYFUNCTION("""COMPUTED_VALUE"""),"Silas Tanner")</f>
        <v>Silas Tanner</v>
      </c>
      <c r="C377" t="str">
        <f>IFERROR(__xludf.DUMMYFUNCTION("""COMPUTED_VALUE"""),"silas.tanner@floridadep.gov")</f>
        <v>silas.tanner@floridadep.gov</v>
      </c>
      <c r="D377" t="str">
        <f>IFERROR(__xludf.DUMMYFUNCTION("""COMPUTED_VALUE"""),"Research/Nikki")</f>
        <v>Research/Nikki</v>
      </c>
      <c r="E377" t="str">
        <f>IFERROR(__xludf.DUMMYFUNCTION("""COMPUTED_VALUE"""),"Palm Valley")</f>
        <v>Palm Valley</v>
      </c>
      <c r="F377" s="13">
        <f>IFERROR(__xludf.DUMMYFUNCTION("""COMPUTED_VALUE"""),0.36597222222189885)</f>
        <v>0.3659722222</v>
      </c>
      <c r="G377" s="14">
        <f>IFERROR(__xludf.DUMMYFUNCTION("""COMPUTED_VALUE"""),43731.0)</f>
        <v>43731</v>
      </c>
      <c r="H377" t="str">
        <f>IFERROR(__xludf.DUMMYFUNCTION("""COMPUTED_VALUE"""),"Pine island swmp platforms")</f>
        <v>Pine island swmp platforms</v>
      </c>
      <c r="I377" s="15">
        <f>IFERROR(__xludf.DUMMYFUNCTION("""COMPUTED_VALUE"""),0.5729166666678793)</f>
        <v>0.5729166667</v>
      </c>
      <c r="J377" s="16">
        <f>IFERROR(__xludf.DUMMYFUNCTION("""COMPUTED_VALUE"""),43731.58333333333)</f>
        <v>43731.58333</v>
      </c>
      <c r="K377" t="str">
        <f>IFERROR(__xludf.DUMMYFUNCTION("""COMPUTED_VALUE"""),"20ft Sea Ark FL5351SJ UNF 2015")</f>
        <v>20ft Sea Ark FL5351SJ UNF 2015</v>
      </c>
      <c r="M377" t="str">
        <f>IFERROR(__xludf.DUMMYFUNCTION("""COMPUTED_VALUE"""),"Ford F250 2017 (Moby Dix) - DEP0021578")</f>
        <v>Ford F250 2017 (Moby Dix) - DEP0021578</v>
      </c>
      <c r="N377" t="str">
        <f>IFERROR(__xludf.DUMMYFUNCTION("""COMPUTED_VALUE"""),"Shannon Dunnigan, (803) 727-5734, Silas Tanner, (904) 483-8423")</f>
        <v>Shannon Dunnigan, (803) 727-5734, Silas Tanner, (904) 483-8423</v>
      </c>
      <c r="O377" t="str">
        <f>IFERROR(__xludf.DUMMYFUNCTION("""COMPUTED_VALUE"""),"Sloan Stephens")</f>
        <v>Sloan Stephens</v>
      </c>
      <c r="P377" t="str">
        <f>IFERROR(__xludf.DUMMYFUNCTION("""COMPUTED_VALUE"""),"S. Dunnigan")</f>
        <v>S. Dunnigan</v>
      </c>
      <c r="Q377" t="str">
        <f>IFERROR(__xludf.DUMMYFUNCTION("""COMPUTED_VALUE"""),"Good")</f>
        <v>Good</v>
      </c>
      <c r="R377" t="str">
        <f>IFERROR(__xludf.DUMMYFUNCTION("""COMPUTED_VALUE"""),"Good")</f>
        <v>Good</v>
      </c>
      <c r="S377" t="str">
        <f>IFERROR(__xludf.DUMMYFUNCTION("""COMPUTED_VALUE"""),"Good")</f>
        <v>Good</v>
      </c>
      <c r="T377" t="str">
        <f>IFERROR(__xludf.DUMMYFUNCTION("""COMPUTED_VALUE"""),"Good")</f>
        <v>Good</v>
      </c>
      <c r="U377" t="str">
        <f>IFERROR(__xludf.DUMMYFUNCTION("""COMPUTED_VALUE"""),"Good")</f>
        <v>Good</v>
      </c>
      <c r="V377" t="str">
        <f>IFERROR(__xludf.DUMMYFUNCTION("""COMPUTED_VALUE"""),"Good")</f>
        <v>Good</v>
      </c>
      <c r="W377" t="str">
        <f>IFERROR(__xludf.DUMMYFUNCTION("""COMPUTED_VALUE"""),"Good")</f>
        <v>Good</v>
      </c>
      <c r="X377" t="str">
        <f>IFERROR(__xludf.DUMMYFUNCTION("""COMPUTED_VALUE"""),"Good")</f>
        <v>Good</v>
      </c>
      <c r="Y377" t="str">
        <f>IFERROR(__xludf.DUMMYFUNCTION("""COMPUTED_VALUE"""),"Good")</f>
        <v>Good</v>
      </c>
      <c r="Z377" t="str">
        <f>IFERROR(__xludf.DUMMYFUNCTION("""COMPUTED_VALUE"""),"Good")</f>
        <v>Good</v>
      </c>
      <c r="AA377" t="str">
        <f>IFERROR(__xludf.DUMMYFUNCTION("""COMPUTED_VALUE"""),"Good")</f>
        <v>Good</v>
      </c>
      <c r="AB377" t="str">
        <f>IFERROR(__xludf.DUMMYFUNCTION("""COMPUTED_VALUE"""),"Good")</f>
        <v>Good</v>
      </c>
      <c r="AC377" t="str">
        <f>IFERROR(__xludf.DUMMYFUNCTION("""COMPUTED_VALUE"""),"Good")</f>
        <v>Good</v>
      </c>
      <c r="AE377" s="11"/>
      <c r="AF377" t="s">
        <v>218</v>
      </c>
      <c r="AG377" s="17" t="s">
        <v>18</v>
      </c>
      <c r="AH377" s="12">
        <v>1345.0</v>
      </c>
      <c r="AI377" s="12" t="s">
        <v>1084</v>
      </c>
      <c r="AJ377" s="19" t="s">
        <v>1085</v>
      </c>
      <c r="AK377" s="20" t="str">
        <f>HYPERLINK("https://docs.google.com/document/d/1A0N0MGKq44r4WVGGlz3AGJmeioeR0rtdAgdYTyR479E/edit?usp=drivesdk","Silas Tanner - 9/23/2019 8:47 AM")</f>
        <v>Silas Tanner - 9/23/2019 8:47 AM</v>
      </c>
      <c r="AL377" s="12" t="s">
        <v>1086</v>
      </c>
    </row>
    <row r="378">
      <c r="A378" s="10">
        <f>IFERROR(__xludf.DUMMYFUNCTION("""COMPUTED_VALUE"""),43734.32605019676)</f>
        <v>43734.32605</v>
      </c>
      <c r="B378" s="11" t="str">
        <f>IFERROR(__xludf.DUMMYFUNCTION("""COMPUTED_VALUE"""),"Silas Tanner")</f>
        <v>Silas Tanner</v>
      </c>
      <c r="C378" t="str">
        <f>IFERROR(__xludf.DUMMYFUNCTION("""COMPUTED_VALUE"""),"silas.tanner@Floridadep.gov")</f>
        <v>silas.tanner@Floridadep.gov</v>
      </c>
      <c r="D378" t="str">
        <f>IFERROR(__xludf.DUMMYFUNCTION("""COMPUTED_VALUE"""),"Research/Nikki")</f>
        <v>Research/Nikki</v>
      </c>
      <c r="E378" t="str">
        <f>IFERROR(__xludf.DUMMYFUNCTION("""COMPUTED_VALUE"""),"Crane")</f>
        <v>Crane</v>
      </c>
      <c r="F378" s="13">
        <f>IFERROR(__xludf.DUMMYFUNCTION("""COMPUTED_VALUE"""),0.32638888889050577)</f>
        <v>0.3263888889</v>
      </c>
      <c r="G378" s="14">
        <f>IFERROR(__xludf.DUMMYFUNCTION("""COMPUTED_VALUE"""),43734.0)</f>
        <v>43734</v>
      </c>
      <c r="H378" t="str">
        <f>IFERROR(__xludf.DUMMYFUNCTION("""COMPUTED_VALUE"""),"ICW swmp sites")</f>
        <v>ICW swmp sites</v>
      </c>
      <c r="I378" s="15">
        <f>IFERROR(__xludf.DUMMYFUNCTION("""COMPUTED_VALUE"""),0.5625)</f>
        <v>0.5625</v>
      </c>
      <c r="J378" s="16">
        <f>IFERROR(__xludf.DUMMYFUNCTION("""COMPUTED_VALUE"""),43734.64583333333)</f>
        <v>43734.64583</v>
      </c>
      <c r="K378" t="str">
        <f>IFERROR(__xludf.DUMMYFUNCTION("""COMPUTED_VALUE"""),"23ft Skiff (Bertha) FL7972LJ DEP07613")</f>
        <v>23ft Skiff (Bertha) FL7972LJ DEP07613</v>
      </c>
      <c r="M378" t="str">
        <f>IFERROR(__xludf.DUMMYFUNCTION("""COMPUTED_VALUE"""),"Ford F250 2017 (Moby Dix) - DEP0021578")</f>
        <v>Ford F250 2017 (Moby Dix) - DEP0021578</v>
      </c>
      <c r="N378" t="str">
        <f>IFERROR(__xludf.DUMMYFUNCTION("""COMPUTED_VALUE"""),"Silas Tanner, (904) 483-8423, Remo Mondazzi")</f>
        <v>Silas Tanner, (904) 483-8423, Remo Mondazzi</v>
      </c>
      <c r="P378" t="str">
        <f>IFERROR(__xludf.DUMMYFUNCTION("""COMPUTED_VALUE"""),"S. Tanner")</f>
        <v>S. Tanner</v>
      </c>
      <c r="Q378" t="str">
        <f>IFERROR(__xludf.DUMMYFUNCTION("""COMPUTED_VALUE"""),"Good")</f>
        <v>Good</v>
      </c>
      <c r="R378" t="str">
        <f>IFERROR(__xludf.DUMMYFUNCTION("""COMPUTED_VALUE"""),"Good")</f>
        <v>Good</v>
      </c>
      <c r="S378" t="str">
        <f>IFERROR(__xludf.DUMMYFUNCTION("""COMPUTED_VALUE"""),"Good")</f>
        <v>Good</v>
      </c>
      <c r="T378" t="str">
        <f>IFERROR(__xludf.DUMMYFUNCTION("""COMPUTED_VALUE"""),"Good")</f>
        <v>Good</v>
      </c>
      <c r="U378" t="str">
        <f>IFERROR(__xludf.DUMMYFUNCTION("""COMPUTED_VALUE"""),"Good")</f>
        <v>Good</v>
      </c>
      <c r="V378" t="str">
        <f>IFERROR(__xludf.DUMMYFUNCTION("""COMPUTED_VALUE"""),"Good")</f>
        <v>Good</v>
      </c>
      <c r="W378" t="str">
        <f>IFERROR(__xludf.DUMMYFUNCTION("""COMPUTED_VALUE"""),"Good")</f>
        <v>Good</v>
      </c>
      <c r="X378" t="str">
        <f>IFERROR(__xludf.DUMMYFUNCTION("""COMPUTED_VALUE"""),"Good")</f>
        <v>Good</v>
      </c>
      <c r="Y378" t="str">
        <f>IFERROR(__xludf.DUMMYFUNCTION("""COMPUTED_VALUE"""),"Good")</f>
        <v>Good</v>
      </c>
      <c r="Z378" t="str">
        <f>IFERROR(__xludf.DUMMYFUNCTION("""COMPUTED_VALUE"""),"Good")</f>
        <v>Good</v>
      </c>
      <c r="AA378" t="str">
        <f>IFERROR(__xludf.DUMMYFUNCTION("""COMPUTED_VALUE"""),"Good")</f>
        <v>Good</v>
      </c>
      <c r="AB378" t="str">
        <f>IFERROR(__xludf.DUMMYFUNCTION("""COMPUTED_VALUE"""),"Good")</f>
        <v>Good</v>
      </c>
      <c r="AC378" t="str">
        <f>IFERROR(__xludf.DUMMYFUNCTION("""COMPUTED_VALUE"""),"Good")</f>
        <v>Good</v>
      </c>
      <c r="AE378" s="11"/>
      <c r="AF378" t="s">
        <v>218</v>
      </c>
      <c r="AG378" s="17" t="s">
        <v>43</v>
      </c>
      <c r="AH378" s="12">
        <v>1120.0</v>
      </c>
      <c r="AI378" s="12" t="s">
        <v>1087</v>
      </c>
      <c r="AJ378" s="19" t="s">
        <v>1088</v>
      </c>
      <c r="AK378" s="20" t="str">
        <f>HYPERLINK("https://docs.google.com/document/d/1yjBfH6H6zIFAi5tn-uHL0_Gz62OBYgYXcoJvx0NpG70/edit?usp=drivesdk","Silas Tanner - 9/26/2019 7:50 AM")</f>
        <v>Silas Tanner - 9/26/2019 7:50 AM</v>
      </c>
      <c r="AL378" s="12" t="s">
        <v>1089</v>
      </c>
    </row>
    <row r="379">
      <c r="A379" s="10">
        <f>IFERROR(__xludf.DUMMYFUNCTION("""COMPUTED_VALUE"""),43734.45528391204)</f>
        <v>43734.45528</v>
      </c>
      <c r="B379" s="11" t="str">
        <f>IFERROR(__xludf.DUMMYFUNCTION("""COMPUTED_VALUE"""),"Gabriela Canas")</f>
        <v>Gabriela Canas</v>
      </c>
      <c r="C379" t="str">
        <f>IFERROR(__xludf.DUMMYFUNCTION("""COMPUTED_VALUE"""),"n00836133@unf.edu")</f>
        <v>n00836133@unf.edu</v>
      </c>
      <c r="D379" t="str">
        <f>IFERROR(__xludf.DUMMYFUNCTION("""COMPUTED_VALUE"""),"Research/Nikki")</f>
        <v>Research/Nikki</v>
      </c>
      <c r="E379" t="str">
        <f>IFERROR(__xludf.DUMMYFUNCTION("""COMPUTED_VALUE"""),"Douglas crane")</f>
        <v>Douglas crane</v>
      </c>
      <c r="F379" s="13">
        <f>IFERROR(__xludf.DUMMYFUNCTION("""COMPUTED_VALUE"""),0.4583333333321207)</f>
        <v>0.4583333333</v>
      </c>
      <c r="G379" s="14">
        <f>IFERROR(__xludf.DUMMYFUNCTION("""COMPUTED_VALUE"""),43734.0)</f>
        <v>43734</v>
      </c>
      <c r="H379" t="str">
        <f>IFERROR(__xludf.DUMMYFUNCTION("""COMPUTED_VALUE"""),"Gabby creek")</f>
        <v>Gabby creek</v>
      </c>
      <c r="I379" s="15">
        <f>IFERROR(__xludf.DUMMYFUNCTION("""COMPUTED_VALUE"""),0.16666666666787933)</f>
        <v>0.1666666667</v>
      </c>
      <c r="J379" s="16">
        <f>IFERROR(__xludf.DUMMYFUNCTION("""COMPUTED_VALUE"""),43734.1875)</f>
        <v>43734.1875</v>
      </c>
      <c r="K379" t="str">
        <f>IFERROR(__xludf.DUMMYFUNCTION("""COMPUTED_VALUE"""),"20ft Sea Ark FL5351SJ UNF 2015")</f>
        <v>20ft Sea Ark FL5351SJ UNF 2015</v>
      </c>
      <c r="M379" t="str">
        <f>IFERROR(__xludf.DUMMYFUNCTION("""COMPUTED_VALUE"""),"Ford 4door dep07668")</f>
        <v>Ford 4door dep07668</v>
      </c>
      <c r="N379" t="str">
        <f>IFERROR(__xludf.DUMMYFUNCTION("""COMPUTED_VALUE"""),"Pam Marcum, (480) 332-5414")</f>
        <v>Pam Marcum, (480) 332-5414</v>
      </c>
      <c r="O379" t="str">
        <f>IFERROR(__xludf.DUMMYFUNCTION("""COMPUTED_VALUE"""),"Gabriela Canas, (904) 891-9743, Jess lee")</f>
        <v>Gabriela Canas, (904) 891-9743, Jess lee</v>
      </c>
      <c r="P379" t="str">
        <f>IFERROR(__xludf.DUMMYFUNCTION("""COMPUTED_VALUE"""),"Pam")</f>
        <v>Pam</v>
      </c>
      <c r="Q379" t="str">
        <f>IFERROR(__xludf.DUMMYFUNCTION("""COMPUTED_VALUE"""),"Good")</f>
        <v>Good</v>
      </c>
      <c r="R379" t="str">
        <f>IFERROR(__xludf.DUMMYFUNCTION("""COMPUTED_VALUE"""),"Good")</f>
        <v>Good</v>
      </c>
      <c r="S379" t="str">
        <f>IFERROR(__xludf.DUMMYFUNCTION("""COMPUTED_VALUE"""),"Good")</f>
        <v>Good</v>
      </c>
      <c r="T379" t="str">
        <f>IFERROR(__xludf.DUMMYFUNCTION("""COMPUTED_VALUE"""),"Good")</f>
        <v>Good</v>
      </c>
      <c r="U379" t="str">
        <f>IFERROR(__xludf.DUMMYFUNCTION("""COMPUTED_VALUE"""),"Good")</f>
        <v>Good</v>
      </c>
      <c r="V379" t="str">
        <f>IFERROR(__xludf.DUMMYFUNCTION("""COMPUTED_VALUE"""),"Good")</f>
        <v>Good</v>
      </c>
      <c r="W379" t="str">
        <f>IFERROR(__xludf.DUMMYFUNCTION("""COMPUTED_VALUE"""),"Good")</f>
        <v>Good</v>
      </c>
      <c r="X379" t="str">
        <f>IFERROR(__xludf.DUMMYFUNCTION("""COMPUTED_VALUE"""),"Good")</f>
        <v>Good</v>
      </c>
      <c r="Y379" t="str">
        <f>IFERROR(__xludf.DUMMYFUNCTION("""COMPUTED_VALUE"""),"Good")</f>
        <v>Good</v>
      </c>
      <c r="Z379" t="str">
        <f>IFERROR(__xludf.DUMMYFUNCTION("""COMPUTED_VALUE"""),"Good")</f>
        <v>Good</v>
      </c>
      <c r="AA379" t="str">
        <f>IFERROR(__xludf.DUMMYFUNCTION("""COMPUTED_VALUE"""),"Good")</f>
        <v>Good</v>
      </c>
      <c r="AB379" t="str">
        <f>IFERROR(__xludf.DUMMYFUNCTION("""COMPUTED_VALUE"""),"Good")</f>
        <v>Good</v>
      </c>
      <c r="AC379" t="str">
        <f>IFERROR(__xludf.DUMMYFUNCTION("""COMPUTED_VALUE"""),"Good")</f>
        <v>Good</v>
      </c>
      <c r="AE379" s="11"/>
      <c r="AF379" t="s">
        <v>218</v>
      </c>
      <c r="AG379" s="17" t="s">
        <v>43</v>
      </c>
      <c r="AH379" s="12">
        <v>1608.0</v>
      </c>
      <c r="AI379" s="12" t="s">
        <v>1090</v>
      </c>
      <c r="AJ379" s="19" t="s">
        <v>1091</v>
      </c>
      <c r="AK379" s="20" t="str">
        <f>HYPERLINK("https://docs.google.com/document/d/1bJrBzE-p53jYgZXJ7d09hgLAWsK4ad1EDQSCTIFLbx8/edit?usp=drivesdk","Gabriela Canas - 9/26/2019 11:00 AM")</f>
        <v>Gabriela Canas - 9/26/2019 11:00 AM</v>
      </c>
      <c r="AL379" s="12" t="s">
        <v>1092</v>
      </c>
    </row>
    <row r="380">
      <c r="A380" s="10">
        <f>IFERROR(__xludf.DUMMYFUNCTION("""COMPUTED_VALUE"""),43738.62739782407)</f>
        <v>43738.6274</v>
      </c>
      <c r="B380" s="11" t="str">
        <f>IFERROR(__xludf.DUMMYFUNCTION("""COMPUTED_VALUE"""),"Silas Tanner")</f>
        <v>Silas Tanner</v>
      </c>
      <c r="C380" t="str">
        <f>IFERROR(__xludf.DUMMYFUNCTION("""COMPUTED_VALUE"""),"silas.tanner@floridadep.gov")</f>
        <v>silas.tanner@floridadep.gov</v>
      </c>
      <c r="D380" t="str">
        <f>IFERROR(__xludf.DUMMYFUNCTION("""COMPUTED_VALUE"""),"Research/Nikki")</f>
        <v>Research/Nikki</v>
      </c>
      <c r="E380" t="str">
        <f>IFERROR(__xludf.DUMMYFUNCTION("""COMPUTED_VALUE"""),"Faver Dykes State Park")</f>
        <v>Faver Dykes State Park</v>
      </c>
      <c r="F380" s="13">
        <f>IFERROR(__xludf.DUMMYFUNCTION("""COMPUTED_VALUE"""),0.3020833333321207)</f>
        <v>0.3020833333</v>
      </c>
      <c r="G380" s="14">
        <f>IFERROR(__xludf.DUMMYFUNCTION("""COMPUTED_VALUE"""),43739.0)</f>
        <v>43739</v>
      </c>
      <c r="H380" t="str">
        <f>IFERROR(__xludf.DUMMYFUNCTION("""COMPUTED_VALUE"""),"Pellicer Creek SWMP platforms")</f>
        <v>Pellicer Creek SWMP platforms</v>
      </c>
      <c r="I380" s="15">
        <f>IFERROR(__xludf.DUMMYFUNCTION("""COMPUTED_VALUE"""),0.5208333333321207)</f>
        <v>0.5208333333</v>
      </c>
      <c r="J380" s="16">
        <f>IFERROR(__xludf.DUMMYFUNCTION("""COMPUTED_VALUE"""),43739.57291666667)</f>
        <v>43739.57292</v>
      </c>
      <c r="K380" t="str">
        <f>IFERROR(__xludf.DUMMYFUNCTION("""COMPUTED_VALUE"""),"20ft Sea Ark FL5351SJ UNF 2015")</f>
        <v>20ft Sea Ark FL5351SJ UNF 2015</v>
      </c>
      <c r="M380" t="str">
        <f>IFERROR(__xludf.DUMMYFUNCTION("""COMPUTED_VALUE"""),"Ford F250 2017 (Moby Dix) - DEP0021578")</f>
        <v>Ford F250 2017 (Moby Dix) - DEP0021578</v>
      </c>
      <c r="N380" t="str">
        <f>IFERROR(__xludf.DUMMYFUNCTION("""COMPUTED_VALUE"""),"Shannon Dunnigan, (803) 727-5734, Silas Tanner, (904) 483-8423")</f>
        <v>Shannon Dunnigan, (803) 727-5734, Silas Tanner, (904) 483-8423</v>
      </c>
      <c r="O380" t="str">
        <f>IFERROR(__xludf.DUMMYFUNCTION("""COMPUTED_VALUE"""),"Sloane Stephens")</f>
        <v>Sloane Stephens</v>
      </c>
      <c r="P380" t="str">
        <f>IFERROR(__xludf.DUMMYFUNCTION("""COMPUTED_VALUE"""),"S. Dunnigan")</f>
        <v>S. Dunnigan</v>
      </c>
      <c r="Q380" t="str">
        <f>IFERROR(__xludf.DUMMYFUNCTION("""COMPUTED_VALUE"""),"Good")</f>
        <v>Good</v>
      </c>
      <c r="R380" t="str">
        <f>IFERROR(__xludf.DUMMYFUNCTION("""COMPUTED_VALUE"""),"Good")</f>
        <v>Good</v>
      </c>
      <c r="S380" t="str">
        <f>IFERROR(__xludf.DUMMYFUNCTION("""COMPUTED_VALUE"""),"Good")</f>
        <v>Good</v>
      </c>
      <c r="T380" t="str">
        <f>IFERROR(__xludf.DUMMYFUNCTION("""COMPUTED_VALUE"""),"Good")</f>
        <v>Good</v>
      </c>
      <c r="U380" t="str">
        <f>IFERROR(__xludf.DUMMYFUNCTION("""COMPUTED_VALUE"""),"Good")</f>
        <v>Good</v>
      </c>
      <c r="V380" t="str">
        <f>IFERROR(__xludf.DUMMYFUNCTION("""COMPUTED_VALUE"""),"Good")</f>
        <v>Good</v>
      </c>
      <c r="W380" t="str">
        <f>IFERROR(__xludf.DUMMYFUNCTION("""COMPUTED_VALUE"""),"Good")</f>
        <v>Good</v>
      </c>
      <c r="X380" t="str">
        <f>IFERROR(__xludf.DUMMYFUNCTION("""COMPUTED_VALUE"""),"Good")</f>
        <v>Good</v>
      </c>
      <c r="Y380" t="str">
        <f>IFERROR(__xludf.DUMMYFUNCTION("""COMPUTED_VALUE"""),"Good")</f>
        <v>Good</v>
      </c>
      <c r="Z380" t="str">
        <f>IFERROR(__xludf.DUMMYFUNCTION("""COMPUTED_VALUE"""),"Good")</f>
        <v>Good</v>
      </c>
      <c r="AA380" t="str">
        <f>IFERROR(__xludf.DUMMYFUNCTION("""COMPUTED_VALUE"""),"Good")</f>
        <v>Good</v>
      </c>
      <c r="AB380" t="str">
        <f>IFERROR(__xludf.DUMMYFUNCTION("""COMPUTED_VALUE"""),"Good")</f>
        <v>Good</v>
      </c>
      <c r="AC380" t="str">
        <f>IFERROR(__xludf.DUMMYFUNCTION("""COMPUTED_VALUE"""),"Good")</f>
        <v>Good</v>
      </c>
      <c r="AE380" s="11"/>
      <c r="AF380" t="s">
        <v>218</v>
      </c>
      <c r="AG380" s="17" t="s">
        <v>128</v>
      </c>
      <c r="AH380" s="12">
        <v>1035.0</v>
      </c>
      <c r="AI380" s="12" t="s">
        <v>1093</v>
      </c>
      <c r="AJ380" s="19" t="s">
        <v>1094</v>
      </c>
      <c r="AK380" s="20" t="str">
        <f>HYPERLINK("https://docs.google.com/document/d/1DbejGbhJM7OWl5fFkV9jQyRGb9Sziytoa1OTAioADpQ/edit?usp=drivesdk","Silas Tanner - 10/1/2019 7:15 AM")</f>
        <v>Silas Tanner - 10/1/2019 7:15 AM</v>
      </c>
      <c r="AL380" s="12" t="s">
        <v>1095</v>
      </c>
    </row>
    <row r="381">
      <c r="A381" s="10">
        <f>IFERROR(__xludf.DUMMYFUNCTION("""COMPUTED_VALUE"""),43739.534279618056)</f>
        <v>43739.53428</v>
      </c>
      <c r="B381" s="11" t="str">
        <f>IFERROR(__xludf.DUMMYFUNCTION("""COMPUTED_VALUE"""),"Pam Marcum")</f>
        <v>Pam Marcum</v>
      </c>
      <c r="C381" t="str">
        <f>IFERROR(__xludf.DUMMYFUNCTION("""COMPUTED_VALUE"""),"Pamela.Marcum@FloridaDEP.gov")</f>
        <v>Pamela.Marcum@FloridaDEP.gov</v>
      </c>
      <c r="D381" t="str">
        <f>IFERROR(__xludf.DUMMYFUNCTION("""COMPUTED_VALUE"""),"Research/Nikki")</f>
        <v>Research/Nikki</v>
      </c>
      <c r="E381" t="str">
        <f>IFERROR(__xludf.DUMMYFUNCTION("""COMPUTED_VALUE"""),"Aunt Kate's")</f>
        <v>Aunt Kate's</v>
      </c>
      <c r="F381" s="13">
        <f>IFERROR(__xludf.DUMMYFUNCTION("""COMPUTED_VALUE"""),0.625)</f>
        <v>0.625</v>
      </c>
      <c r="G381" s="14">
        <f>IFERROR(__xludf.DUMMYFUNCTION("""COMPUTED_VALUE"""),43739.0)</f>
        <v>43739</v>
      </c>
      <c r="H381" t="str">
        <f>IFERROR(__xludf.DUMMYFUNCTION("""COMPUTED_VALUE"""),"Tolomato &amp; Guana Rivers")</f>
        <v>Tolomato &amp; Guana Rivers</v>
      </c>
      <c r="I381" s="15">
        <f>IFERROR(__xludf.DUMMYFUNCTION("""COMPUTED_VALUE"""),0.7916666666678793)</f>
        <v>0.7916666667</v>
      </c>
      <c r="J381" s="16">
        <f>IFERROR(__xludf.DUMMYFUNCTION("""COMPUTED_VALUE"""),43739.8125)</f>
        <v>43739.8125</v>
      </c>
      <c r="K381" t="str">
        <f>IFERROR(__xludf.DUMMYFUNCTION("""COMPUTED_VALUE"""),"23ft Skiff (Bertha) FL7972LJ DEP07613")</f>
        <v>23ft Skiff (Bertha) FL7972LJ DEP07613</v>
      </c>
      <c r="M381" t="str">
        <f>IFERROR(__xludf.DUMMYFUNCTION("""COMPUTED_VALUE"""),"Ford F150 2010 (4 Door) - DEP07668")</f>
        <v>Ford F150 2010 (4 Door) - DEP07668</v>
      </c>
      <c r="N381" t="str">
        <f>IFERROR(__xludf.DUMMYFUNCTION("""COMPUTED_VALUE"""),"Pam Marcum, (480) 332-5414")</f>
        <v>Pam Marcum, (480) 332-5414</v>
      </c>
      <c r="O381" t="str">
        <f>IFERROR(__xludf.DUMMYFUNCTION("""COMPUTED_VALUE"""),"Adrienne Breef-Pilz, Kate")</f>
        <v>Adrienne Breef-Pilz, Kate</v>
      </c>
      <c r="P381" t="str">
        <f>IFERROR(__xludf.DUMMYFUNCTION("""COMPUTED_VALUE"""),"Pam")</f>
        <v>Pam</v>
      </c>
      <c r="Q381" t="str">
        <f>IFERROR(__xludf.DUMMYFUNCTION("""COMPUTED_VALUE"""),"Good")</f>
        <v>Good</v>
      </c>
      <c r="R381" t="str">
        <f>IFERROR(__xludf.DUMMYFUNCTION("""COMPUTED_VALUE"""),"Good")</f>
        <v>Good</v>
      </c>
      <c r="S381" t="str">
        <f>IFERROR(__xludf.DUMMYFUNCTION("""COMPUTED_VALUE"""),"Good")</f>
        <v>Good</v>
      </c>
      <c r="T381" t="str">
        <f>IFERROR(__xludf.DUMMYFUNCTION("""COMPUTED_VALUE"""),"Good")</f>
        <v>Good</v>
      </c>
      <c r="U381" t="str">
        <f>IFERROR(__xludf.DUMMYFUNCTION("""COMPUTED_VALUE"""),"Good")</f>
        <v>Good</v>
      </c>
      <c r="V381" t="str">
        <f>IFERROR(__xludf.DUMMYFUNCTION("""COMPUTED_VALUE"""),"Good")</f>
        <v>Good</v>
      </c>
      <c r="W381" t="str">
        <f>IFERROR(__xludf.DUMMYFUNCTION("""COMPUTED_VALUE"""),"Good")</f>
        <v>Good</v>
      </c>
      <c r="X381" t="str">
        <f>IFERROR(__xludf.DUMMYFUNCTION("""COMPUTED_VALUE"""),"Good")</f>
        <v>Good</v>
      </c>
      <c r="Y381" t="str">
        <f>IFERROR(__xludf.DUMMYFUNCTION("""COMPUTED_VALUE"""),"Good")</f>
        <v>Good</v>
      </c>
      <c r="Z381" t="str">
        <f>IFERROR(__xludf.DUMMYFUNCTION("""COMPUTED_VALUE"""),"Good")</f>
        <v>Good</v>
      </c>
      <c r="AA381" t="str">
        <f>IFERROR(__xludf.DUMMYFUNCTION("""COMPUTED_VALUE"""),"Good")</f>
        <v>Good</v>
      </c>
      <c r="AB381" t="str">
        <f>IFERROR(__xludf.DUMMYFUNCTION("""COMPUTED_VALUE"""),"Good")</f>
        <v>Good</v>
      </c>
      <c r="AC381" t="str">
        <f>IFERROR(__xludf.DUMMYFUNCTION("""COMPUTED_VALUE"""),"Good")</f>
        <v>Good</v>
      </c>
      <c r="AE381" s="11"/>
      <c r="AF381" t="s">
        <v>218</v>
      </c>
      <c r="AG381" s="17" t="s">
        <v>43</v>
      </c>
      <c r="AH381" s="12">
        <v>1855.0</v>
      </c>
      <c r="AI381" s="12" t="s">
        <v>1096</v>
      </c>
      <c r="AJ381" s="19" t="s">
        <v>1097</v>
      </c>
      <c r="AK381" s="20" t="str">
        <f>HYPERLINK("https://docs.google.com/document/d/1qIaFzaKCnPb1lZek9agDPwVAvyZMEizaSV_xR-V6yDE/edit?usp=drivesdk","Pam Marcum - 10/1/2019 3:00 PM")</f>
        <v>Pam Marcum - 10/1/2019 3:00 PM</v>
      </c>
      <c r="AL381" s="12" t="s">
        <v>1098</v>
      </c>
    </row>
    <row r="382">
      <c r="A382" s="10">
        <f>IFERROR(__xludf.DUMMYFUNCTION("""COMPUTED_VALUE"""),43739.542672581025)</f>
        <v>43739.54267</v>
      </c>
      <c r="B382" s="11" t="str">
        <f>IFERROR(__xludf.DUMMYFUNCTION("""COMPUTED_VALUE"""),"Alexandria Knoell")</f>
        <v>Alexandria Knoell</v>
      </c>
      <c r="C382" t="str">
        <f>IFERROR(__xludf.DUMMYFUNCTION("""COMPUTED_VALUE"""),"alee.knoell@floridadep.gov")</f>
        <v>alee.knoell@floridadep.gov</v>
      </c>
      <c r="D382" t="str">
        <f>IFERROR(__xludf.DUMMYFUNCTION("""COMPUTED_VALUE"""),"Research/Pam")</f>
        <v>Research/Pam</v>
      </c>
      <c r="E382" t="str">
        <f>IFERROR(__xludf.DUMMYFUNCTION("""COMPUTED_VALUE"""),"Shore Dr.")</f>
        <v>Shore Dr.</v>
      </c>
      <c r="F382" s="13">
        <f>IFERROR(__xludf.DUMMYFUNCTION("""COMPUTED_VALUE"""),0.5833333333321207)</f>
        <v>0.5833333333</v>
      </c>
      <c r="G382" s="24">
        <f>IFERROR(__xludf.DUMMYFUNCTION("""COMPUTED_VALUE"""),43740.0)</f>
        <v>43740</v>
      </c>
      <c r="H382" t="str">
        <f>IFERROR(__xludf.DUMMYFUNCTION("""COMPUTED_VALUE"""),"Matanzas River")</f>
        <v>Matanzas River</v>
      </c>
      <c r="I382" s="15">
        <f>IFERROR(__xludf.DUMMYFUNCTION("""COMPUTED_VALUE"""),0.75)</f>
        <v>0.75</v>
      </c>
      <c r="J382" s="16">
        <f>IFERROR(__xludf.DUMMYFUNCTION("""COMPUTED_VALUE"""),43740.77083333333)</f>
        <v>43740.77083</v>
      </c>
      <c r="K382" t="str">
        <f>IFERROR(__xludf.DUMMYFUNCTION("""COMPUTED_VALUE"""),"17ft Skiff (Marsha) FL0642GW DEP07239")</f>
        <v>17ft Skiff (Marsha) FL0642GW DEP07239</v>
      </c>
      <c r="M382" t="str">
        <f>IFERROR(__xludf.DUMMYFUNCTION("""COMPUTED_VALUE"""),"Ford F150 2015 (White) - DEP21448")</f>
        <v>Ford F150 2015 (White) - DEP21448</v>
      </c>
      <c r="N382" t="str">
        <f>IFERROR(__xludf.DUMMYFUNCTION("""COMPUTED_VALUE"""),"Remo Mondazzi")</f>
        <v>Remo Mondazzi</v>
      </c>
      <c r="O382" t="str">
        <f>IFERROR(__xludf.DUMMYFUNCTION("""COMPUTED_VALUE"""),"Alee Knoell, (619) 750-4833")</f>
        <v>Alee Knoell, (619) 750-4833</v>
      </c>
      <c r="P382" t="str">
        <f>IFERROR(__xludf.DUMMYFUNCTION("""COMPUTED_VALUE"""),"Remo Mondazzi")</f>
        <v>Remo Mondazzi</v>
      </c>
      <c r="Q382" t="str">
        <f>IFERROR(__xludf.DUMMYFUNCTION("""COMPUTED_VALUE"""),"By checking here, you certify that you have checked all of the items listed")</f>
        <v>By checking here, you certify that you have checked all of the items listed</v>
      </c>
      <c r="AE382" s="11"/>
      <c r="AF382" t="s">
        <v>262</v>
      </c>
      <c r="AG382" s="17" t="s">
        <v>141</v>
      </c>
      <c r="AH382" s="12">
        <v>1830.0</v>
      </c>
      <c r="AI382" s="12" t="s">
        <v>1099</v>
      </c>
      <c r="AJ382" s="19" t="s">
        <v>1100</v>
      </c>
      <c r="AK382" s="20" t="str">
        <f>HYPERLINK("https://docs.google.com/document/d/1Z3xYCrnpat_lvHHxFDMS8j1Zd0EyO6PwPk4_SrgvZEg/edit?usp=drivesdk","Alexandria Knoell - 10/2/2019 2:00 PM")</f>
        <v>Alexandria Knoell - 10/2/2019 2:00 PM</v>
      </c>
      <c r="AL382" s="12" t="s">
        <v>1101</v>
      </c>
    </row>
    <row r="383">
      <c r="A383" s="10">
        <f>IFERROR(__xludf.DUMMYFUNCTION("""COMPUTED_VALUE"""),43740.31267363426)</f>
        <v>43740.31267</v>
      </c>
      <c r="B383" s="11" t="str">
        <f>IFERROR(__xludf.DUMMYFUNCTION("""COMPUTED_VALUE"""),"Shannon Dunnigan")</f>
        <v>Shannon Dunnigan</v>
      </c>
      <c r="C383" t="str">
        <f>IFERROR(__xludf.DUMMYFUNCTION("""COMPUTED_VALUE"""),"shannon.dunnigan@floridadep.gov")</f>
        <v>shannon.dunnigan@floridadep.gov</v>
      </c>
      <c r="D383" t="str">
        <f>IFERROR(__xludf.DUMMYFUNCTION("""COMPUTED_VALUE"""),"Research/Nikki")</f>
        <v>Research/Nikki</v>
      </c>
      <c r="E383" t="str">
        <f>IFERROR(__xludf.DUMMYFUNCTION("""COMPUTED_VALUE"""),"Bings Landing")</f>
        <v>Bings Landing</v>
      </c>
      <c r="F383" s="13">
        <f>IFERROR(__xludf.DUMMYFUNCTION("""COMPUTED_VALUE"""),0.3194444444452529)</f>
        <v>0.3194444444</v>
      </c>
      <c r="G383" s="14">
        <f>IFERROR(__xludf.DUMMYFUNCTION("""COMPUTED_VALUE"""),43740.0)</f>
        <v>43740</v>
      </c>
      <c r="H383" t="str">
        <f>IFERROR(__xludf.DUMMYFUNCTION("""COMPUTED_VALUE"""),"Washington Oaks veg platforms")</f>
        <v>Washington Oaks veg platforms</v>
      </c>
      <c r="I383" s="15">
        <f>IFERROR(__xludf.DUMMYFUNCTION("""COMPUTED_VALUE"""),0.5416666666678793)</f>
        <v>0.5416666667</v>
      </c>
      <c r="J383" s="16">
        <f>IFERROR(__xludf.DUMMYFUNCTION("""COMPUTED_VALUE"""),43740.64583333333)</f>
        <v>43740.64583</v>
      </c>
      <c r="K383" t="str">
        <f>IFERROR(__xludf.DUMMYFUNCTION("""COMPUTED_VALUE"""),"20ft Sea Ark FL5351SJ UNF 2015")</f>
        <v>20ft Sea Ark FL5351SJ UNF 2015</v>
      </c>
      <c r="M383" t="str">
        <f>IFERROR(__xludf.DUMMYFUNCTION("""COMPUTED_VALUE"""),"Ford F250 2017 (Moby Dix) - DEP0021578")</f>
        <v>Ford F250 2017 (Moby Dix) - DEP0021578</v>
      </c>
      <c r="N383" t="str">
        <f>IFERROR(__xludf.DUMMYFUNCTION("""COMPUTED_VALUE"""),"Shannon Dunnigan, (803) 727-5734, Silas Tanner, (904) 483-8423")</f>
        <v>Shannon Dunnigan, (803) 727-5734, Silas Tanner, (904) 483-8423</v>
      </c>
      <c r="O383" t="str">
        <f>IFERROR(__xludf.DUMMYFUNCTION("""COMPUTED_VALUE"""),"Alee Knoell, (619) 750-4833, Casey McClure")</f>
        <v>Alee Knoell, (619) 750-4833, Casey McClure</v>
      </c>
      <c r="P383" t="str">
        <f>IFERROR(__xludf.DUMMYFUNCTION("""COMPUTED_VALUE"""),"Shannon")</f>
        <v>Shannon</v>
      </c>
      <c r="Q383" t="str">
        <f>IFERROR(__xludf.DUMMYFUNCTION("""COMPUTED_VALUE"""),"By checking here, you certify that you have checked all of the items listed")</f>
        <v>By checking here, you certify that you have checked all of the items listed</v>
      </c>
      <c r="AE383" s="11"/>
      <c r="AF383" t="s">
        <v>218</v>
      </c>
      <c r="AG383" s="17" t="s">
        <v>43</v>
      </c>
      <c r="AH383" s="12">
        <v>1105.0</v>
      </c>
      <c r="AI383" s="12" t="s">
        <v>1102</v>
      </c>
      <c r="AJ383" s="19" t="s">
        <v>1103</v>
      </c>
      <c r="AK383" s="20" t="str">
        <f>HYPERLINK("https://docs.google.com/document/d/1c3oIBDOSh2u6pFvXb4E_3APsR9Lem7S_3eSczmJQrGg/edit?usp=drivesdk","Shannon Dunnigan - 10/2/2019 7:40 AM")</f>
        <v>Shannon Dunnigan - 10/2/2019 7:40 AM</v>
      </c>
      <c r="AL383" s="12" t="s">
        <v>1104</v>
      </c>
    </row>
    <row r="384">
      <c r="A384" s="10">
        <f>IFERROR(__xludf.DUMMYFUNCTION("""COMPUTED_VALUE"""),43740.34041193287)</f>
        <v>43740.34041</v>
      </c>
      <c r="B384" s="11" t="str">
        <f>IFERROR(__xludf.DUMMYFUNCTION("""COMPUTED_VALUE"""),"Pamela Marcum")</f>
        <v>Pamela Marcum</v>
      </c>
      <c r="C384" t="str">
        <f>IFERROR(__xludf.DUMMYFUNCTION("""COMPUTED_VALUE"""),"Pamela.Marcum@floridadep.gov")</f>
        <v>Pamela.Marcum@floridadep.gov</v>
      </c>
      <c r="D384" t="str">
        <f>IFERROR(__xludf.DUMMYFUNCTION("""COMPUTED_VALUE"""),"Research/Nikki")</f>
        <v>Research/Nikki</v>
      </c>
      <c r="E384" t="str">
        <f>IFERROR(__xludf.DUMMYFUNCTION("""COMPUTED_VALUE"""),"Faver dykes")</f>
        <v>Faver dykes</v>
      </c>
      <c r="F384" s="13">
        <f>IFERROR(__xludf.DUMMYFUNCTION("""COMPUTED_VALUE"""),0.3333333333321207)</f>
        <v>0.3333333333</v>
      </c>
      <c r="G384" s="14">
        <f>IFERROR(__xludf.DUMMYFUNCTION("""COMPUTED_VALUE"""),43740.0)</f>
        <v>43740</v>
      </c>
      <c r="H384" t="str">
        <f>IFERROR(__xludf.DUMMYFUNCTION("""COMPUTED_VALUE"""),"Upper pellicer creek")</f>
        <v>Upper pellicer creek</v>
      </c>
      <c r="I384" s="15">
        <f>IFERROR(__xludf.DUMMYFUNCTION("""COMPUTED_VALUE"""),0.5416666666678793)</f>
        <v>0.5416666667</v>
      </c>
      <c r="J384" s="16">
        <f>IFERROR(__xludf.DUMMYFUNCTION("""COMPUTED_VALUE"""),43740.60416666667)</f>
        <v>43740.60417</v>
      </c>
      <c r="K384" t="str">
        <f>IFERROR(__xludf.DUMMYFUNCTION("""COMPUTED_VALUE"""),"17ft Skiff (Marsha) FL0642GW DEP07239")</f>
        <v>17ft Skiff (Marsha) FL0642GW DEP07239</v>
      </c>
      <c r="M384" t="str">
        <f>IFERROR(__xludf.DUMMYFUNCTION("""COMPUTED_VALUE"""),"Ford F150 2015 (White) - DEP21448")</f>
        <v>Ford F150 2015 (White) - DEP21448</v>
      </c>
      <c r="N384" t="str">
        <f>IFERROR(__xludf.DUMMYFUNCTION("""COMPUTED_VALUE"""),"Pam Marcum, (480) 332-5414")</f>
        <v>Pam Marcum, (480) 332-5414</v>
      </c>
      <c r="O384" t="str">
        <f>IFERROR(__xludf.DUMMYFUNCTION("""COMPUTED_VALUE"""),"Jay")</f>
        <v>Jay</v>
      </c>
      <c r="P384" t="str">
        <f>IFERROR(__xludf.DUMMYFUNCTION("""COMPUTED_VALUE"""),"Pam")</f>
        <v>Pam</v>
      </c>
      <c r="Q384" t="str">
        <f>IFERROR(__xludf.DUMMYFUNCTION("""COMPUTED_VALUE"""),"By checking here, you certify that you have checked all of the items listed")</f>
        <v>By checking here, you certify that you have checked all of the items listed</v>
      </c>
      <c r="AE384" s="11"/>
      <c r="AF384" t="s">
        <v>218</v>
      </c>
      <c r="AG384" s="17" t="s">
        <v>115</v>
      </c>
      <c r="AH384" s="12">
        <v>1203.0</v>
      </c>
      <c r="AI384" s="12" t="s">
        <v>1105</v>
      </c>
      <c r="AJ384" s="19" t="s">
        <v>1106</v>
      </c>
      <c r="AK384" s="20" t="str">
        <f>HYPERLINK("https://docs.google.com/document/d/1xJ9T5reUjpXl3feP0fqVH6FQi3ovB4PsTEfdY2ZNAcA/edit?usp=drivesdk","Pamela Marcum - 10/2/2019 8:00 AM")</f>
        <v>Pamela Marcum - 10/2/2019 8:00 AM</v>
      </c>
      <c r="AL384" s="12" t="s">
        <v>1107</v>
      </c>
    </row>
    <row r="385">
      <c r="A385" s="10">
        <f>IFERROR(__xludf.DUMMYFUNCTION("""COMPUTED_VALUE"""),43741.296664884256)</f>
        <v>43741.29666</v>
      </c>
      <c r="B385" s="11" t="str">
        <f>IFERROR(__xludf.DUMMYFUNCTION("""COMPUTED_VALUE"""),"Alexandria Knoell")</f>
        <v>Alexandria Knoell</v>
      </c>
      <c r="C385" t="str">
        <f>IFERROR(__xludf.DUMMYFUNCTION("""COMPUTED_VALUE"""),"alee.knoell@floridadep.gov")</f>
        <v>alee.knoell@floridadep.gov</v>
      </c>
      <c r="D385" t="str">
        <f>IFERROR(__xludf.DUMMYFUNCTION("""COMPUTED_VALUE"""),"Research/Pam")</f>
        <v>Research/Pam</v>
      </c>
      <c r="E385" t="str">
        <f>IFERROR(__xludf.DUMMYFUNCTION("""COMPUTED_VALUE"""),"Lighthouse")</f>
        <v>Lighthouse</v>
      </c>
      <c r="F385" s="13">
        <f>IFERROR(__xludf.DUMMYFUNCTION("""COMPUTED_VALUE"""),0.3125)</f>
        <v>0.3125</v>
      </c>
      <c r="G385" s="14">
        <f>IFERROR(__xludf.DUMMYFUNCTION("""COMPUTED_VALUE"""),43741.0)</f>
        <v>43741</v>
      </c>
      <c r="H385" t="str">
        <f>IFERROR(__xludf.DUMMYFUNCTION("""COMPUTED_VALUE"""),"Salt Run")</f>
        <v>Salt Run</v>
      </c>
      <c r="I385" s="15">
        <f>IFERROR(__xludf.DUMMYFUNCTION("""COMPUTED_VALUE"""),0.4166666666678793)</f>
        <v>0.4166666667</v>
      </c>
      <c r="J385" s="16">
        <f>IFERROR(__xludf.DUMMYFUNCTION("""COMPUTED_VALUE"""),43740.41666666667)</f>
        <v>43740.41667</v>
      </c>
      <c r="K385" t="str">
        <f>IFERROR(__xludf.DUMMYFUNCTION("""COMPUTED_VALUE"""),"17ft Skiff (Marsha) FL0642GW DEP07239")</f>
        <v>17ft Skiff (Marsha) FL0642GW DEP07239</v>
      </c>
      <c r="M385" t="str">
        <f>IFERROR(__xludf.DUMMYFUNCTION("""COMPUTED_VALUE"""),"Ford F150 2015 (White) - DEP21448")</f>
        <v>Ford F150 2015 (White) - DEP21448</v>
      </c>
      <c r="N385" t="str">
        <f>IFERROR(__xludf.DUMMYFUNCTION("""COMPUTED_VALUE"""),"Pam Marcum, (480) 332-5414")</f>
        <v>Pam Marcum, (480) 332-5414</v>
      </c>
      <c r="O385" t="str">
        <f>IFERROR(__xludf.DUMMYFUNCTION("""COMPUTED_VALUE"""),"Alee Knoell, (619) 750-4833")</f>
        <v>Alee Knoell, (619) 750-4833</v>
      </c>
      <c r="P385" t="str">
        <f>IFERROR(__xludf.DUMMYFUNCTION("""COMPUTED_VALUE"""),"Pam Marcum")</f>
        <v>Pam Marcum</v>
      </c>
      <c r="Q385" t="str">
        <f>IFERROR(__xludf.DUMMYFUNCTION("""COMPUTED_VALUE"""),"By checking here, you certify that you have checked all of the items listed")</f>
        <v>By checking here, you certify that you have checked all of the items listed</v>
      </c>
      <c r="AE385" s="11"/>
      <c r="AF385" t="s">
        <v>262</v>
      </c>
      <c r="AG385" s="17" t="s">
        <v>141</v>
      </c>
      <c r="AH385" s="12">
        <v>830.0</v>
      </c>
      <c r="AI385" s="12" t="s">
        <v>1108</v>
      </c>
      <c r="AJ385" s="19" t="s">
        <v>1109</v>
      </c>
      <c r="AK385" s="20" t="str">
        <f>HYPERLINK("https://docs.google.com/document/d/1gzBZ5HfQJnnJWXvG5NS6oS9z2fy4WrO3XnzB6x8mkYc/edit?usp=drivesdk","&lt;&lt;YOUR NAME&gt;&gt; - &lt;&lt;Date you plan to launch&gt;&gt; &lt;&lt;Time you plan to launch&gt;&gt;")</f>
        <v>&lt;&lt;YOUR NAME&gt;&gt; - &lt;&lt;Date you plan to launch&gt;&gt; &lt;&lt;Time you plan to launch&gt;&gt;</v>
      </c>
      <c r="AL385" s="12" t="s">
        <v>1110</v>
      </c>
    </row>
    <row r="386">
      <c r="A386" s="10">
        <f>IFERROR(__xludf.DUMMYFUNCTION("""COMPUTED_VALUE"""),43741.361155844905)</f>
        <v>43741.36116</v>
      </c>
      <c r="B386" s="11" t="str">
        <f>IFERROR(__xludf.DUMMYFUNCTION("""COMPUTED_VALUE"""),"Alexandria Knoell")</f>
        <v>Alexandria Knoell</v>
      </c>
      <c r="C386" t="str">
        <f>IFERROR(__xludf.DUMMYFUNCTION("""COMPUTED_VALUE"""),"alee.knoell@floridadep.gov")</f>
        <v>alee.knoell@floridadep.gov</v>
      </c>
      <c r="D386" t="str">
        <f>IFERROR(__xludf.DUMMYFUNCTION("""COMPUTED_VALUE"""),"Research/Nikki")</f>
        <v>Research/Nikki</v>
      </c>
      <c r="E386" t="str">
        <f>IFERROR(__xludf.DUMMYFUNCTION("""COMPUTED_VALUE"""),"Green road")</f>
        <v>Green road</v>
      </c>
      <c r="F386" s="13">
        <f>IFERROR(__xludf.DUMMYFUNCTION("""COMPUTED_VALUE"""),0.375)</f>
        <v>0.375</v>
      </c>
      <c r="G386" s="14">
        <f>IFERROR(__xludf.DUMMYFUNCTION("""COMPUTED_VALUE"""),43741.0)</f>
        <v>43741</v>
      </c>
      <c r="H386" t="str">
        <f>IFERROR(__xludf.DUMMYFUNCTION("""COMPUTED_VALUE"""),"Devils elbow")</f>
        <v>Devils elbow</v>
      </c>
      <c r="I386" s="15">
        <f>IFERROR(__xludf.DUMMYFUNCTION("""COMPUTED_VALUE"""),0.4166666666678793)</f>
        <v>0.4166666667</v>
      </c>
      <c r="J386" s="16">
        <f>IFERROR(__xludf.DUMMYFUNCTION("""COMPUTED_VALUE"""),43741.66666666667)</f>
        <v>43741.66667</v>
      </c>
      <c r="K386" t="str">
        <f>IFERROR(__xludf.DUMMYFUNCTION("""COMPUTED_VALUE"""),"17ft Skiff (Marsha) FL0642GW DEP07239")</f>
        <v>17ft Skiff (Marsha) FL0642GW DEP07239</v>
      </c>
      <c r="M386" t="str">
        <f>IFERROR(__xludf.DUMMYFUNCTION("""COMPUTED_VALUE"""),"Ford F150 2015 (White) - DEP21448")</f>
        <v>Ford F150 2015 (White) - DEP21448</v>
      </c>
      <c r="N386" t="str">
        <f>IFERROR(__xludf.DUMMYFUNCTION("""COMPUTED_VALUE"""),"Pam Marcum, (480) 332-5414")</f>
        <v>Pam Marcum, (480) 332-5414</v>
      </c>
      <c r="O386" t="str">
        <f>IFERROR(__xludf.DUMMYFUNCTION("""COMPUTED_VALUE"""),"Alee Knoell, (619) 750-4833")</f>
        <v>Alee Knoell, (619) 750-4833</v>
      </c>
      <c r="P386" t="str">
        <f>IFERROR(__xludf.DUMMYFUNCTION("""COMPUTED_VALUE"""),"Pam marcum")</f>
        <v>Pam marcum</v>
      </c>
      <c r="Q386" t="str">
        <f>IFERROR(__xludf.DUMMYFUNCTION("""COMPUTED_VALUE"""),"By checking here, you certify that you have checked all of the items listed")</f>
        <v>By checking here, you certify that you have checked all of the items listed</v>
      </c>
      <c r="AE386" s="11"/>
      <c r="AF386" t="s">
        <v>218</v>
      </c>
      <c r="AG386" s="17" t="s">
        <v>141</v>
      </c>
      <c r="AH386" s="12">
        <v>1030.0</v>
      </c>
      <c r="AI386" s="12" t="s">
        <v>1111</v>
      </c>
      <c r="AJ386" s="19" t="s">
        <v>1112</v>
      </c>
      <c r="AK386" s="20" t="str">
        <f>HYPERLINK("https://docs.google.com/document/d/1BAinsbnizosXnxABViaWb-GWFCx3cHjCFySCLmnYpts/edit?usp=drivesdk","&lt;&lt;YOUR NAME&gt;&gt; - &lt;&lt;Date you plan to launch&gt;&gt; &lt;&lt;Time you plan to launch&gt;&gt;")</f>
        <v>&lt;&lt;YOUR NAME&gt;&gt; - &lt;&lt;Date you plan to launch&gt;&gt; &lt;&lt;Time you plan to launch&gt;&gt;</v>
      </c>
      <c r="AL386" s="12" t="s">
        <v>1113</v>
      </c>
    </row>
    <row r="387">
      <c r="A387" s="10">
        <f>IFERROR(__xludf.DUMMYFUNCTION("""COMPUTED_VALUE"""),43741.444447685186)</f>
        <v>43741.44445</v>
      </c>
      <c r="B387" s="11" t="str">
        <f>IFERROR(__xludf.DUMMYFUNCTION("""COMPUTED_VALUE"""),"Alexandria Knoell")</f>
        <v>Alexandria Knoell</v>
      </c>
      <c r="C387" t="str">
        <f>IFERROR(__xludf.DUMMYFUNCTION("""COMPUTED_VALUE"""),"alee.knoell@floridadep.gov")</f>
        <v>alee.knoell@floridadep.gov</v>
      </c>
      <c r="D387" t="str">
        <f>IFERROR(__xludf.DUMMYFUNCTION("""COMPUTED_VALUE"""),"Research/Nikki")</f>
        <v>Research/Nikki</v>
      </c>
      <c r="E387" t="str">
        <f>IFERROR(__xludf.DUMMYFUNCTION("""COMPUTED_VALUE"""),"Faver dykes")</f>
        <v>Faver dykes</v>
      </c>
      <c r="F387" s="13">
        <f>IFERROR(__xludf.DUMMYFUNCTION("""COMPUTED_VALUE"""),0.9583333333321207)</f>
        <v>0.9583333333</v>
      </c>
      <c r="G387" s="14">
        <f>IFERROR(__xludf.DUMMYFUNCTION("""COMPUTED_VALUE"""),43741.0)</f>
        <v>43741</v>
      </c>
      <c r="H387" t="str">
        <f>IFERROR(__xludf.DUMMYFUNCTION("""COMPUTED_VALUE"""),"Pelicer Creek")</f>
        <v>Pelicer Creek</v>
      </c>
      <c r="I387" s="15">
        <f>IFERROR(__xludf.DUMMYFUNCTION("""COMPUTED_VALUE"""),0.6666666666678793)</f>
        <v>0.6666666667</v>
      </c>
      <c r="J387" s="16">
        <f>IFERROR(__xludf.DUMMYFUNCTION("""COMPUTED_VALUE"""),43741.70833333333)</f>
        <v>43741.70833</v>
      </c>
      <c r="K387" t="str">
        <f>IFERROR(__xludf.DUMMYFUNCTION("""COMPUTED_VALUE"""),"17ft Skiff (Marsha) FL0642GW DEP07239")</f>
        <v>17ft Skiff (Marsha) FL0642GW DEP07239</v>
      </c>
      <c r="M387" t="str">
        <f>IFERROR(__xludf.DUMMYFUNCTION("""COMPUTED_VALUE"""),"Ford F150 2015 (White) - DEP21448")</f>
        <v>Ford F150 2015 (White) - DEP21448</v>
      </c>
      <c r="N387" t="str">
        <f>IFERROR(__xludf.DUMMYFUNCTION("""COMPUTED_VALUE"""),"Pam Marcum, (480) 332-5414")</f>
        <v>Pam Marcum, (480) 332-5414</v>
      </c>
      <c r="O387" t="str">
        <f>IFERROR(__xludf.DUMMYFUNCTION("""COMPUTED_VALUE"""),"Alee Knoell, (619) 750-4833")</f>
        <v>Alee Knoell, (619) 750-4833</v>
      </c>
      <c r="P387" t="str">
        <f>IFERROR(__xludf.DUMMYFUNCTION("""COMPUTED_VALUE"""),"Pam marcum")</f>
        <v>Pam marcum</v>
      </c>
      <c r="Q387" t="str">
        <f>IFERROR(__xludf.DUMMYFUNCTION("""COMPUTED_VALUE"""),"By checking here, you certify that you have checked all of the items listed")</f>
        <v>By checking here, you certify that you have checked all of the items listed</v>
      </c>
      <c r="AE387" s="11"/>
      <c r="AF387" t="s">
        <v>218</v>
      </c>
      <c r="AG387" s="17" t="s">
        <v>1114</v>
      </c>
      <c r="AH387" s="12">
        <v>1402.0</v>
      </c>
      <c r="AI387" s="12" t="s">
        <v>1115</v>
      </c>
      <c r="AJ387" s="19" t="s">
        <v>1116</v>
      </c>
      <c r="AK387" s="20" t="str">
        <f>HYPERLINK("https://docs.google.com/document/d/1LTJH8ulRvbXzhhYPuyDroEp7Q2546Kpw3GyUZ3Rj3OQ/edit?usp=drivesdk","&lt;&lt;YOUR NAME&gt;&gt; - &lt;&lt;Date you plan to launch&gt;&gt; &lt;&lt;Time you plan to launch&gt;&gt;")</f>
        <v>&lt;&lt;YOUR NAME&gt;&gt; - &lt;&lt;Date you plan to launch&gt;&gt; &lt;&lt;Time you plan to launch&gt;&gt;</v>
      </c>
      <c r="AL387" s="12" t="s">
        <v>1117</v>
      </c>
    </row>
    <row r="388">
      <c r="A388" s="10">
        <f>IFERROR(__xludf.DUMMYFUNCTION("""COMPUTED_VALUE"""),43741.46477439815)</f>
        <v>43741.46477</v>
      </c>
      <c r="B388" s="11" t="str">
        <f>IFERROR(__xludf.DUMMYFUNCTION("""COMPUTED_VALUE"""),"Pam Marcum")</f>
        <v>Pam Marcum</v>
      </c>
      <c r="C388" t="str">
        <f>IFERROR(__xludf.DUMMYFUNCTION("""COMPUTED_VALUE"""),"pamela.marcum@floridadep.gov")</f>
        <v>pamela.marcum@floridadep.gov</v>
      </c>
      <c r="D388" t="str">
        <f>IFERROR(__xludf.DUMMYFUNCTION("""COMPUTED_VALUE"""),"Research/Nikki")</f>
        <v>Research/Nikki</v>
      </c>
      <c r="E388" t="str">
        <f>IFERROR(__xludf.DUMMYFUNCTION("""COMPUTED_VALUE"""),"Faver Dykes")</f>
        <v>Faver Dykes</v>
      </c>
      <c r="F388" s="13">
        <f>IFERROR(__xludf.DUMMYFUNCTION("""COMPUTED_VALUE"""),0.46875)</f>
        <v>0.46875</v>
      </c>
      <c r="G388" s="14">
        <f>IFERROR(__xludf.DUMMYFUNCTION("""COMPUTED_VALUE"""),43741.0)</f>
        <v>43741</v>
      </c>
      <c r="H388" t="str">
        <f>IFERROR(__xludf.DUMMYFUNCTION("""COMPUTED_VALUE"""),"Pellicer Creek")</f>
        <v>Pellicer Creek</v>
      </c>
      <c r="I388" s="15">
        <f>IFERROR(__xludf.DUMMYFUNCTION("""COMPUTED_VALUE"""),0.625)</f>
        <v>0.625</v>
      </c>
      <c r="J388" s="16">
        <f>IFERROR(__xludf.DUMMYFUNCTION("""COMPUTED_VALUE"""),43741.6875)</f>
        <v>43741.6875</v>
      </c>
      <c r="K388" t="str">
        <f>IFERROR(__xludf.DUMMYFUNCTION("""COMPUTED_VALUE"""),"17ft Skiff (Marsha) FL0642GW DEP07239")</f>
        <v>17ft Skiff (Marsha) FL0642GW DEP07239</v>
      </c>
      <c r="M388" t="str">
        <f>IFERROR(__xludf.DUMMYFUNCTION("""COMPUTED_VALUE"""),"Ford F150 2015 (White) - DEP21448")</f>
        <v>Ford F150 2015 (White) - DEP21448</v>
      </c>
      <c r="N388" t="str">
        <f>IFERROR(__xludf.DUMMYFUNCTION("""COMPUTED_VALUE"""),"Pam Marcum, (480) 332-5414")</f>
        <v>Pam Marcum, (480) 332-5414</v>
      </c>
      <c r="O388" t="str">
        <f>IFERROR(__xludf.DUMMYFUNCTION("""COMPUTED_VALUE"""),"Alee Knoell, (619) 750-4833")</f>
        <v>Alee Knoell, (619) 750-4833</v>
      </c>
      <c r="P388" t="str">
        <f>IFERROR(__xludf.DUMMYFUNCTION("""COMPUTED_VALUE"""),"Pam")</f>
        <v>Pam</v>
      </c>
      <c r="Q388" t="str">
        <f>IFERROR(__xludf.DUMMYFUNCTION("""COMPUTED_VALUE"""),"By checking here, you certify that you have checked all of the items listed")</f>
        <v>By checking here, you certify that you have checked all of the items listed</v>
      </c>
      <c r="AE388" s="11"/>
      <c r="AF388" t="s">
        <v>218</v>
      </c>
      <c r="AG388" s="17" t="s">
        <v>1114</v>
      </c>
      <c r="AH388" s="12">
        <v>1402.0</v>
      </c>
      <c r="AI388" s="12" t="s">
        <v>1118</v>
      </c>
      <c r="AJ388" s="19" t="s">
        <v>1119</v>
      </c>
      <c r="AK388" s="20" t="str">
        <f>HYPERLINK("https://docs.google.com/document/d/1CnmyIB1CMEK3y8oTsG8VVvIk28_ZM3rcS_hbz0BaXpM/edit?usp=drivesdk","&lt;&lt;YOUR NAME&gt;&gt; - &lt;&lt;Date you plan to launch&gt;&gt; &lt;&lt;Time you plan to launch&gt;&gt;")</f>
        <v>&lt;&lt;YOUR NAME&gt;&gt; - &lt;&lt;Date you plan to launch&gt;&gt; &lt;&lt;Time you plan to launch&gt;&gt;</v>
      </c>
      <c r="AL388" s="12" t="s">
        <v>1120</v>
      </c>
    </row>
    <row r="389">
      <c r="A389" s="10">
        <f>IFERROR(__xludf.DUMMYFUNCTION("""COMPUTED_VALUE"""),43741.4851649537)</f>
        <v>43741.48516</v>
      </c>
      <c r="B389" s="11" t="str">
        <f>IFERROR(__xludf.DUMMYFUNCTION("""COMPUTED_VALUE"""),"Silas Tanner")</f>
        <v>Silas Tanner</v>
      </c>
      <c r="C389" t="str">
        <f>IFERROR(__xludf.DUMMYFUNCTION("""COMPUTED_VALUE"""),"silas.tanner@floridadep.gov")</f>
        <v>silas.tanner@floridadep.gov</v>
      </c>
      <c r="D389" t="str">
        <f>IFERROR(__xludf.DUMMYFUNCTION("""COMPUTED_VALUE"""),"Research/Nikki")</f>
        <v>Research/Nikki</v>
      </c>
      <c r="E389" t="str">
        <f>IFERROR(__xludf.DUMMYFUNCTION("""COMPUTED_VALUE"""),"Palm Valley 210")</f>
        <v>Palm Valley 210</v>
      </c>
      <c r="F389" s="13">
        <f>IFERROR(__xludf.DUMMYFUNCTION("""COMPUTED_VALUE"""),0.3229166666678793)</f>
        <v>0.3229166667</v>
      </c>
      <c r="G389" s="14">
        <f>IFERROR(__xludf.DUMMYFUNCTION("""COMPUTED_VALUE"""),43741.0)</f>
        <v>43741</v>
      </c>
      <c r="H389" t="str">
        <f>IFERROR(__xludf.DUMMYFUNCTION("""COMPUTED_VALUE"""),"Pine Island platforms")</f>
        <v>Pine Island platforms</v>
      </c>
      <c r="I389" s="15">
        <f>IFERROR(__xludf.DUMMYFUNCTION("""COMPUTED_VALUE"""),0.5006944444430701)</f>
        <v>0.5006944444</v>
      </c>
      <c r="J389" s="16">
        <f>IFERROR(__xludf.DUMMYFUNCTION("""COMPUTED_VALUE"""),43741.52083333333)</f>
        <v>43741.52083</v>
      </c>
      <c r="K389" t="str">
        <f>IFERROR(__xludf.DUMMYFUNCTION("""COMPUTED_VALUE"""),"20ft Sea Ark FL5351SJ UNF 2015")</f>
        <v>20ft Sea Ark FL5351SJ UNF 2015</v>
      </c>
      <c r="M389" t="str">
        <f>IFERROR(__xludf.DUMMYFUNCTION("""COMPUTED_VALUE"""),"Ford F250 2017 (Moby Dix) - DEP0021578")</f>
        <v>Ford F250 2017 (Moby Dix) - DEP0021578</v>
      </c>
      <c r="N389" t="str">
        <f>IFERROR(__xludf.DUMMYFUNCTION("""COMPUTED_VALUE"""),"Shannon Dunnigan, (803) 727-5734, Silas Tanner, (904) 483-8423")</f>
        <v>Shannon Dunnigan, (803) 727-5734, Silas Tanner, (904) 483-8423</v>
      </c>
      <c r="O389" t="str">
        <f>IFERROR(__xludf.DUMMYFUNCTION("""COMPUTED_VALUE"""),"Abby Kuhn")</f>
        <v>Abby Kuhn</v>
      </c>
      <c r="P389" t="str">
        <f>IFERROR(__xludf.DUMMYFUNCTION("""COMPUTED_VALUE"""),"S Dunnigan")</f>
        <v>S Dunnigan</v>
      </c>
      <c r="Q389" t="str">
        <f>IFERROR(__xludf.DUMMYFUNCTION("""COMPUTED_VALUE"""),"By checking here, you certify that you have checked all of the items listed")</f>
        <v>By checking here, you certify that you have checked all of the items listed</v>
      </c>
      <c r="AE389" s="11"/>
      <c r="AF389" t="s">
        <v>218</v>
      </c>
      <c r="AG389" s="17" t="s">
        <v>18</v>
      </c>
      <c r="AH389" s="12">
        <v>1220.0</v>
      </c>
      <c r="AI389" s="12" t="s">
        <v>1121</v>
      </c>
      <c r="AJ389" s="19" t="s">
        <v>1122</v>
      </c>
      <c r="AK389" s="20" t="str">
        <f>HYPERLINK("https://docs.google.com/document/d/1qxj8kHphmaIWg1tKrIOUvKkGlR3JL7DkmWriw0FlSr0/edit?usp=drivesdk","&lt;&lt;YOUR NAME&gt;&gt; - &lt;&lt;Date you plan to launch&gt;&gt; &lt;&lt;Time you plan to launch&gt;&gt;")</f>
        <v>&lt;&lt;YOUR NAME&gt;&gt; - &lt;&lt;Date you plan to launch&gt;&gt; &lt;&lt;Time you plan to launch&gt;&gt;</v>
      </c>
      <c r="AL389" s="12" t="s">
        <v>1123</v>
      </c>
    </row>
    <row r="390">
      <c r="A390" s="10">
        <f>IFERROR(__xludf.DUMMYFUNCTION("""COMPUTED_VALUE"""),43741.71352362268)</f>
        <v>43741.71352</v>
      </c>
      <c r="B390" s="11" t="str">
        <f>IFERROR(__xludf.DUMMYFUNCTION("""COMPUTED_VALUE"""),"Pamela Marcum")</f>
        <v>Pamela Marcum</v>
      </c>
      <c r="C390" t="str">
        <f>IFERROR(__xludf.DUMMYFUNCTION("""COMPUTED_VALUE"""),"Pamela.Marcum@floridadep.gov")</f>
        <v>Pamela.Marcum@floridadep.gov</v>
      </c>
      <c r="D390" t="str">
        <f>IFERROR(__xludf.DUMMYFUNCTION("""COMPUTED_VALUE"""),"Research/Nikki")</f>
        <v>Research/Nikki</v>
      </c>
      <c r="E390" t="str">
        <f>IFERROR(__xludf.DUMMYFUNCTION("""COMPUTED_VALUE"""),"Moses Creek Dock")</f>
        <v>Moses Creek Dock</v>
      </c>
      <c r="F390" s="13">
        <f>IFERROR(__xludf.DUMMYFUNCTION("""COMPUTED_VALUE"""),0.3333333333321207)</f>
        <v>0.3333333333</v>
      </c>
      <c r="G390" s="14">
        <f>IFERROR(__xludf.DUMMYFUNCTION("""COMPUTED_VALUE"""),43742.0)</f>
        <v>43742</v>
      </c>
      <c r="H390" t="str">
        <f>IFERROR(__xludf.DUMMYFUNCTION("""COMPUTED_VALUE"""),"Moses Creek")</f>
        <v>Moses Creek</v>
      </c>
      <c r="I390" s="15">
        <f>IFERROR(__xludf.DUMMYFUNCTION("""COMPUTED_VALUE"""),0.5833333333321207)</f>
        <v>0.5833333333</v>
      </c>
      <c r="J390" s="16">
        <f>IFERROR(__xludf.DUMMYFUNCTION("""COMPUTED_VALUE"""),43742.625)</f>
        <v>43742.625</v>
      </c>
      <c r="K390" t="str">
        <f>IFERROR(__xludf.DUMMYFUNCTION("""COMPUTED_VALUE"""),"Canoe(s), Kayak(s)")</f>
        <v>Canoe(s), Kayak(s)</v>
      </c>
      <c r="L390">
        <f>IFERROR(__xludf.DUMMYFUNCTION("""COMPUTED_VALUE"""),3.0)</f>
        <v>3</v>
      </c>
      <c r="M390" t="str">
        <f>IFERROR(__xludf.DUMMYFUNCTION("""COMPUTED_VALUE"""),"Ford F250 2017 (Moby Dix) - DEP0021578")</f>
        <v>Ford F250 2017 (Moby Dix) - DEP0021578</v>
      </c>
      <c r="N390" t="str">
        <f>IFERROR(__xludf.DUMMYFUNCTION("""COMPUTED_VALUE"""),"Pam Marcum, (480) 332-5414, Shannon Dunnigan, (803) 727-5734, Silas Tanner, (904) 483-8423, Alee Knoell")</f>
        <v>Pam Marcum, (480) 332-5414, Shannon Dunnigan, (803) 727-5734, Silas Tanner, (904) 483-8423, Alee Knoell</v>
      </c>
      <c r="P390" t="str">
        <f>IFERROR(__xludf.DUMMYFUNCTION("""COMPUTED_VALUE"""),"Silas")</f>
        <v>Silas</v>
      </c>
      <c r="Q390" t="str">
        <f>IFERROR(__xludf.DUMMYFUNCTION("""COMPUTED_VALUE"""),"By checking here, you certify that you have checked all of the items listed")</f>
        <v>By checking here, you certify that you have checked all of the items listed</v>
      </c>
      <c r="AE390" s="11"/>
      <c r="AF390" t="s">
        <v>218</v>
      </c>
      <c r="AG390" s="17" t="s">
        <v>60</v>
      </c>
      <c r="AH390" s="12">
        <v>1403.0</v>
      </c>
      <c r="AI390" s="12" t="s">
        <v>1124</v>
      </c>
      <c r="AJ390" s="19" t="s">
        <v>1125</v>
      </c>
      <c r="AK390" s="20" t="str">
        <f>HYPERLINK("https://docs.google.com/document/d/1a_HZ0U1E4XkOCKRPrQgoKZZY19dqXs-pCBV4X0YTWX8/edit?usp=drivesdk","Pamela Marcum - 10/4/2019 8:00 AM")</f>
        <v>Pamela Marcum - 10/4/2019 8:00 AM</v>
      </c>
      <c r="AL390" s="12" t="s">
        <v>1126</v>
      </c>
    </row>
    <row r="391">
      <c r="A391" s="10">
        <f>IFERROR(__xludf.DUMMYFUNCTION("""COMPUTED_VALUE"""),43742.26729585648)</f>
        <v>43742.2673</v>
      </c>
      <c r="B391" s="11" t="str">
        <f>IFERROR(__xludf.DUMMYFUNCTION("""COMPUTED_VALUE"""),"Silas Tanner")</f>
        <v>Silas Tanner</v>
      </c>
      <c r="C391" t="str">
        <f>IFERROR(__xludf.DUMMYFUNCTION("""COMPUTED_VALUE"""),"silas.tanner@floridadep.gov")</f>
        <v>silas.tanner@floridadep.gov</v>
      </c>
      <c r="D391" t="str">
        <f>IFERROR(__xludf.DUMMYFUNCTION("""COMPUTED_VALUE"""),"Research/Nikki")</f>
        <v>Research/Nikki</v>
      </c>
      <c r="E391" t="str">
        <f>IFERROR(__xludf.DUMMYFUNCTION("""COMPUTED_VALUE"""),"Moses Creek floating dock")</f>
        <v>Moses Creek floating dock</v>
      </c>
      <c r="F391" s="13">
        <f>IFERROR(__xludf.DUMMYFUNCTION("""COMPUTED_VALUE"""),0.3333333333321207)</f>
        <v>0.3333333333</v>
      </c>
      <c r="G391" s="14">
        <f>IFERROR(__xludf.DUMMYFUNCTION("""COMPUTED_VALUE"""),43742.0)</f>
        <v>43742</v>
      </c>
      <c r="H391" t="str">
        <f>IFERROR(__xludf.DUMMYFUNCTION("""COMPUTED_VALUE"""),"Moses Creek SWMP platforms")</f>
        <v>Moses Creek SWMP platforms</v>
      </c>
      <c r="I391" s="15">
        <f>IFERROR(__xludf.DUMMYFUNCTION("""COMPUTED_VALUE"""),0.5625)</f>
        <v>0.5625</v>
      </c>
      <c r="J391" s="16">
        <f>IFERROR(__xludf.DUMMYFUNCTION("""COMPUTED_VALUE"""),43742.60416666667)</f>
        <v>43742.60417</v>
      </c>
      <c r="K391" t="str">
        <f>IFERROR(__xludf.DUMMYFUNCTION("""COMPUTED_VALUE"""),"Canoe(s), Kayak(s), Canoe/Kayak Trailer DEP06086")</f>
        <v>Canoe(s), Kayak(s), Canoe/Kayak Trailer DEP06086</v>
      </c>
      <c r="L391">
        <f>IFERROR(__xludf.DUMMYFUNCTION("""COMPUTED_VALUE"""),3.0)</f>
        <v>3</v>
      </c>
      <c r="M391" t="str">
        <f>IFERROR(__xludf.DUMMYFUNCTION("""COMPUTED_VALUE"""),"Ford F250 2017 (Moby Dix) - DEP0021578")</f>
        <v>Ford F250 2017 (Moby Dix) - DEP0021578</v>
      </c>
      <c r="N391" t="str">
        <f>IFERROR(__xludf.DUMMYFUNCTION("""COMPUTED_VALUE"""),"Pam Marcum, (480) 332-5414, Shannon Dunnigan, (803) 727-5734, Silas Tanner, (904) 483-8423")</f>
        <v>Pam Marcum, (480) 332-5414, Shannon Dunnigan, (803) 727-5734, Silas Tanner, (904) 483-8423</v>
      </c>
      <c r="O391" t="str">
        <f>IFERROR(__xludf.DUMMYFUNCTION("""COMPUTED_VALUE"""),"Alee Knoell, (619) 750-4833, Casey McClure")</f>
        <v>Alee Knoell, (619) 750-4833, Casey McClure</v>
      </c>
      <c r="P391" t="str">
        <f>IFERROR(__xludf.DUMMYFUNCTION("""COMPUTED_VALUE"""),"S. Dunnigan")</f>
        <v>S. Dunnigan</v>
      </c>
      <c r="Q391" t="str">
        <f>IFERROR(__xludf.DUMMYFUNCTION("""COMPUTED_VALUE"""),"By checking here, you certify that you have checked all of the items listed")</f>
        <v>By checking here, you certify that you have checked all of the items listed</v>
      </c>
      <c r="AE391" s="11"/>
      <c r="AF391" t="s">
        <v>218</v>
      </c>
      <c r="AG391" s="17" t="s">
        <v>18</v>
      </c>
      <c r="AH391" s="12">
        <v>1430.0</v>
      </c>
      <c r="AI391" s="12" t="s">
        <v>1127</v>
      </c>
      <c r="AJ391" s="19" t="s">
        <v>1128</v>
      </c>
      <c r="AK391" s="20" t="str">
        <f>HYPERLINK("https://docs.google.com/document/d/1JowoqJjlGGOkTTrpZAL3e8PWLUS-yZZHWCQCIh7zT0w/edit?usp=drivesdk","Silas Tanner - 10/4/2019 8:00 AM")</f>
        <v>Silas Tanner - 10/4/2019 8:00 AM</v>
      </c>
      <c r="AL391" s="12" t="s">
        <v>1129</v>
      </c>
    </row>
    <row r="392">
      <c r="A392" s="10">
        <f>IFERROR(__xludf.DUMMYFUNCTION("""COMPUTED_VALUE"""),43746.367207662035)</f>
        <v>43746.36721</v>
      </c>
      <c r="B392" s="11" t="str">
        <f>IFERROR(__xludf.DUMMYFUNCTION("""COMPUTED_VALUE"""),"Silas Tanner")</f>
        <v>Silas Tanner</v>
      </c>
      <c r="C392" t="str">
        <f>IFERROR(__xludf.DUMMYFUNCTION("""COMPUTED_VALUE"""),"silas.tanner@floridadep.gov")</f>
        <v>silas.tanner@floridadep.gov</v>
      </c>
      <c r="D392" t="str">
        <f>IFERROR(__xludf.DUMMYFUNCTION("""COMPUTED_VALUE"""),"Research/Nikki")</f>
        <v>Research/Nikki</v>
      </c>
      <c r="E392" t="str">
        <f>IFERROR(__xludf.DUMMYFUNCTION("""COMPUTED_VALUE"""),"Usina Ramp - Aunt Kate's")</f>
        <v>Usina Ramp - Aunt Kate's</v>
      </c>
      <c r="F392" s="13">
        <f>IFERROR(__xludf.DUMMYFUNCTION("""COMPUTED_VALUE"""),0.3854166666678793)</f>
        <v>0.3854166667</v>
      </c>
      <c r="G392" s="14">
        <f>IFERROR(__xludf.DUMMYFUNCTION("""COMPUTED_VALUE"""),43746.0)</f>
        <v>43746</v>
      </c>
      <c r="H392" t="str">
        <f>IFERROR(__xludf.DUMMYFUNCTION("""COMPUTED_VALUE"""),"Hat Island monitoring platforms")</f>
        <v>Hat Island monitoring platforms</v>
      </c>
      <c r="I392" s="15">
        <f>IFERROR(__xludf.DUMMYFUNCTION("""COMPUTED_VALUE"""),0.6145833333321207)</f>
        <v>0.6145833333</v>
      </c>
      <c r="J392" s="16">
        <f>IFERROR(__xludf.DUMMYFUNCTION("""COMPUTED_VALUE"""),43746.625)</f>
        <v>43746.625</v>
      </c>
      <c r="K392" t="str">
        <f>IFERROR(__xludf.DUMMYFUNCTION("""COMPUTED_VALUE"""),"20ft Sea Ark FL5351SJ UNF 2015")</f>
        <v>20ft Sea Ark FL5351SJ UNF 2015</v>
      </c>
      <c r="M392" t="str">
        <f>IFERROR(__xludf.DUMMYFUNCTION("""COMPUTED_VALUE"""),"Ford F250 2017 (Moby Dix) - DEP0021578")</f>
        <v>Ford F250 2017 (Moby Dix) - DEP0021578</v>
      </c>
      <c r="N392" t="str">
        <f>IFERROR(__xludf.DUMMYFUNCTION("""COMPUTED_VALUE"""),"Shannon Dunnigan, (803) 727-5734, Silas Tanner, (904) 483-8423")</f>
        <v>Shannon Dunnigan, (803) 727-5734, Silas Tanner, (904) 483-8423</v>
      </c>
      <c r="O392" t="str">
        <f>IFERROR(__xludf.DUMMYFUNCTION("""COMPUTED_VALUE"""),"Casey McClure")</f>
        <v>Casey McClure</v>
      </c>
      <c r="P392" t="str">
        <f>IFERROR(__xludf.DUMMYFUNCTION("""COMPUTED_VALUE"""),"S. Dunnigan")</f>
        <v>S. Dunnigan</v>
      </c>
      <c r="Q392" t="str">
        <f>IFERROR(__xludf.DUMMYFUNCTION("""COMPUTED_VALUE"""),"By checking here, you certify that you have checked all of the items listed")</f>
        <v>By checking here, you certify that you have checked all of the items listed</v>
      </c>
      <c r="AD392" t="str">
        <f>IFERROR(__xludf.DUMMYFUNCTION("""COMPUTED_VALUE"""),"not great")</f>
        <v>not great</v>
      </c>
      <c r="AE392" s="11"/>
      <c r="AF392" t="s">
        <v>218</v>
      </c>
      <c r="AG392" s="17" t="s">
        <v>43</v>
      </c>
      <c r="AH392" s="12">
        <v>1530.0</v>
      </c>
      <c r="AI392" s="12" t="s">
        <v>1130</v>
      </c>
      <c r="AJ392" s="19" t="s">
        <v>1131</v>
      </c>
      <c r="AK392" s="20" t="str">
        <f>HYPERLINK("https://docs.google.com/document/d/1Weo71KyE42pJv6eQho_VuZl_I_N1oT_tQDYaPUWJgXg/edit?usp=drivesdk","Silas Tanner - 10/8/2019 9:15 AM")</f>
        <v>Silas Tanner - 10/8/2019 9:15 AM</v>
      </c>
      <c r="AL392" s="12" t="s">
        <v>1132</v>
      </c>
    </row>
    <row r="393">
      <c r="A393" s="10">
        <f>IFERROR(__xludf.DUMMYFUNCTION("""COMPUTED_VALUE"""),43747.420042743055)</f>
        <v>43747.42004</v>
      </c>
      <c r="B393" s="11" t="str">
        <f>IFERROR(__xludf.DUMMYFUNCTION("""COMPUTED_VALUE"""),"Shannon Dunnigan")</f>
        <v>Shannon Dunnigan</v>
      </c>
      <c r="C393" t="str">
        <f>IFERROR(__xludf.DUMMYFUNCTION("""COMPUTED_VALUE"""),"shannon.dunnigan@floridadep.gov")</f>
        <v>shannon.dunnigan@floridadep.gov</v>
      </c>
      <c r="D393" t="str">
        <f>IFERROR(__xludf.DUMMYFUNCTION("""COMPUTED_VALUE"""),"Research/Nikki")</f>
        <v>Research/Nikki</v>
      </c>
      <c r="E393" t="str">
        <f>IFERROR(__xludf.DUMMYFUNCTION("""COMPUTED_VALUE"""),"Aunt Kate’s")</f>
        <v>Aunt Kate’s</v>
      </c>
      <c r="F393" s="13">
        <f>IFERROR(__xludf.DUMMYFUNCTION("""COMPUTED_VALUE"""),0.4375)</f>
        <v>0.4375</v>
      </c>
      <c r="G393" s="14">
        <f>IFERROR(__xludf.DUMMYFUNCTION("""COMPUTED_VALUE"""),43747.0)</f>
        <v>43747</v>
      </c>
      <c r="H393" t="str">
        <f>IFERROR(__xludf.DUMMYFUNCTION("""COMPUTED_VALUE"""),"Hat Island veg platforms")</f>
        <v>Hat Island veg platforms</v>
      </c>
      <c r="I393" s="15">
        <f>IFERROR(__xludf.DUMMYFUNCTION("""COMPUTED_VALUE"""),0.625)</f>
        <v>0.625</v>
      </c>
      <c r="J393" s="16">
        <f>IFERROR(__xludf.DUMMYFUNCTION("""COMPUTED_VALUE"""),43747.66666666667)</f>
        <v>43747.66667</v>
      </c>
      <c r="K393" t="str">
        <f>IFERROR(__xludf.DUMMYFUNCTION("""COMPUTED_VALUE"""),"20ft Sea Ark FL5351SJ UNF 2015")</f>
        <v>20ft Sea Ark FL5351SJ UNF 2015</v>
      </c>
      <c r="M393" t="str">
        <f>IFERROR(__xludf.DUMMYFUNCTION("""COMPUTED_VALUE"""),"Ford F250 2017 (Moby Dix) - DEP0021578")</f>
        <v>Ford F250 2017 (Moby Dix) - DEP0021578</v>
      </c>
      <c r="N393" t="str">
        <f>IFERROR(__xludf.DUMMYFUNCTION("""COMPUTED_VALUE"""),"Shannon Dunnigan, (803) 727-5734, Silas Tanner, (904) 483-8423")</f>
        <v>Shannon Dunnigan, (803) 727-5734, Silas Tanner, (904) 483-8423</v>
      </c>
      <c r="P393" t="str">
        <f>IFERROR(__xludf.DUMMYFUNCTION("""COMPUTED_VALUE"""),"Shannon ")</f>
        <v>Shannon </v>
      </c>
      <c r="Q393" t="str">
        <f>IFERROR(__xludf.DUMMYFUNCTION("""COMPUTED_VALUE"""),"All items in working order")</f>
        <v>All items in working order</v>
      </c>
      <c r="AE393" s="11"/>
      <c r="AF393" t="s">
        <v>218</v>
      </c>
      <c r="AG393" s="17" t="s">
        <v>60</v>
      </c>
      <c r="AH393" s="12">
        <v>1314.0</v>
      </c>
      <c r="AI393" s="12" t="s">
        <v>1133</v>
      </c>
      <c r="AJ393" s="19" t="s">
        <v>1134</v>
      </c>
      <c r="AK393" s="20" t="str">
        <f>HYPERLINK("https://docs.google.com/document/d/1Nkj7T_FeDiyVW9nQImrjvRaLtq2W7lwf3wsxD_brvdg/edit?usp=drivesdk","Shannon Dunnigan - 10/9/2019 10:30 AM")</f>
        <v>Shannon Dunnigan - 10/9/2019 10:30 AM</v>
      </c>
      <c r="AL393" s="12" t="s">
        <v>1135</v>
      </c>
    </row>
    <row r="394">
      <c r="A394" s="10">
        <f>IFERROR(__xludf.DUMMYFUNCTION("""COMPUTED_VALUE"""),43748.28780870371)</f>
        <v>43748.28781</v>
      </c>
      <c r="B394" s="11" t="str">
        <f>IFERROR(__xludf.DUMMYFUNCTION("""COMPUTED_VALUE"""),"Pam Marcum")</f>
        <v>Pam Marcum</v>
      </c>
      <c r="C394" t="str">
        <f>IFERROR(__xludf.DUMMYFUNCTION("""COMPUTED_VALUE"""),"Pamela.Marcum@dep.state.fl.us")</f>
        <v>Pamela.Marcum@dep.state.fl.us</v>
      </c>
      <c r="D394" t="str">
        <f>IFERROR(__xludf.DUMMYFUNCTION("""COMPUTED_VALUE"""),"Research/Nikki")</f>
        <v>Research/Nikki</v>
      </c>
      <c r="E394" t="str">
        <f>IFERROR(__xludf.DUMMYFUNCTION("""COMPUTED_VALUE"""),"Faver-Dykes State Park")</f>
        <v>Faver-Dykes State Park</v>
      </c>
      <c r="F394" s="13">
        <f>IFERROR(__xludf.DUMMYFUNCTION("""COMPUTED_VALUE"""),0.34375)</f>
        <v>0.34375</v>
      </c>
      <c r="G394" s="14">
        <f>IFERROR(__xludf.DUMMYFUNCTION("""COMPUTED_VALUE"""),43748.0)</f>
        <v>43748</v>
      </c>
      <c r="H394" t="str">
        <f>IFERROR(__xludf.DUMMYFUNCTION("""COMPUTED_VALUE"""),"Pellicer Creek mouth")</f>
        <v>Pellicer Creek mouth</v>
      </c>
      <c r="I394" s="15">
        <f>IFERROR(__xludf.DUMMYFUNCTION("""COMPUTED_VALUE"""),0.5416666666678793)</f>
        <v>0.5416666667</v>
      </c>
      <c r="J394" s="16">
        <f>IFERROR(__xludf.DUMMYFUNCTION("""COMPUTED_VALUE"""),43748.58333333333)</f>
        <v>43748.58333</v>
      </c>
      <c r="K394" t="str">
        <f>IFERROR(__xludf.DUMMYFUNCTION("""COMPUTED_VALUE"""),"17ft Skiff (Marsha) FL0642GW DEP07239")</f>
        <v>17ft Skiff (Marsha) FL0642GW DEP07239</v>
      </c>
      <c r="M394" t="str">
        <f>IFERROR(__xludf.DUMMYFUNCTION("""COMPUTED_VALUE"""),"Ford F150 2010 (4 Door) - DEP07668")</f>
        <v>Ford F150 2010 (4 Door) - DEP07668</v>
      </c>
      <c r="N394" t="str">
        <f>IFERROR(__xludf.DUMMYFUNCTION("""COMPUTED_VALUE"""),"Pam Marcum, (480) 332-5414")</f>
        <v>Pam Marcum, (480) 332-5414</v>
      </c>
      <c r="O394" t="str">
        <f>IFERROR(__xludf.DUMMYFUNCTION("""COMPUTED_VALUE"""),"Vincent McClure")</f>
        <v>Vincent McClure</v>
      </c>
      <c r="P394" t="str">
        <f>IFERROR(__xludf.DUMMYFUNCTION("""COMPUTED_VALUE"""),"Pam")</f>
        <v>Pam</v>
      </c>
      <c r="Q394" t="str">
        <f>IFERROR(__xludf.DUMMYFUNCTION("""COMPUTED_VALUE"""),"All items in working order")</f>
        <v>All items in working order</v>
      </c>
      <c r="AE394" s="11"/>
      <c r="AF394" t="s">
        <v>218</v>
      </c>
      <c r="AG394" s="17" t="s">
        <v>18</v>
      </c>
      <c r="AH394" s="12">
        <v>1400.0</v>
      </c>
      <c r="AI394" s="12" t="s">
        <v>1136</v>
      </c>
      <c r="AJ394" s="19" t="s">
        <v>1137</v>
      </c>
      <c r="AK394" s="20" t="str">
        <f>HYPERLINK("https://docs.google.com/document/d/1R67aWa6YbeD9LJQCyYhLFFgo-n7BFuc4yGofXLj2i4s/edit?usp=drivesdk","Pam Marcum - 10/10/2019 8:15 AM")</f>
        <v>Pam Marcum - 10/10/2019 8:15 AM</v>
      </c>
      <c r="AL394" s="12" t="s">
        <v>1138</v>
      </c>
    </row>
    <row r="395">
      <c r="A395" s="10">
        <f>IFERROR(__xludf.DUMMYFUNCTION("""COMPUTED_VALUE"""),43748.63852334491)</f>
        <v>43748.63852</v>
      </c>
      <c r="B395" s="11" t="str">
        <f>IFERROR(__xludf.DUMMYFUNCTION("""COMPUTED_VALUE"""),"Silas Tanner")</f>
        <v>Silas Tanner</v>
      </c>
      <c r="C395" t="str">
        <f>IFERROR(__xludf.DUMMYFUNCTION("""COMPUTED_VALUE"""),"silas.tanner@floridadep.gov")</f>
        <v>silas.tanner@floridadep.gov</v>
      </c>
      <c r="D395" t="str">
        <f>IFERROR(__xludf.DUMMYFUNCTION("""COMPUTED_VALUE"""),"Research/Nikki")</f>
        <v>Research/Nikki</v>
      </c>
      <c r="E395" t="str">
        <f>IFERROR(__xludf.DUMMYFUNCTION("""COMPUTED_VALUE"""),"Faver Dykes dock")</f>
        <v>Faver Dykes dock</v>
      </c>
      <c r="F395" s="13">
        <f>IFERROR(__xludf.DUMMYFUNCTION("""COMPUTED_VALUE"""),0.6388888888905058)</f>
        <v>0.6388888889</v>
      </c>
      <c r="G395" s="14">
        <f>IFERROR(__xludf.DUMMYFUNCTION("""COMPUTED_VALUE"""),43748.0)</f>
        <v>43748</v>
      </c>
      <c r="H395" t="str">
        <f>IFERROR(__xludf.DUMMYFUNCTION("""COMPUTED_VALUE"""),"Pellicer Creek platforms")</f>
        <v>Pellicer Creek platforms</v>
      </c>
      <c r="I395" s="15">
        <f>IFERROR(__xludf.DUMMYFUNCTION("""COMPUTED_VALUE"""),0.6979166666678793)</f>
        <v>0.6979166667</v>
      </c>
      <c r="J395" s="16">
        <f>IFERROR(__xludf.DUMMYFUNCTION("""COMPUTED_VALUE"""),43748.73958333333)</f>
        <v>43748.73958</v>
      </c>
      <c r="K395" t="str">
        <f>IFERROR(__xludf.DUMMYFUNCTION("""COMPUTED_VALUE"""),"20ft Sea Ark FL5351SJ UNF 2015")</f>
        <v>20ft Sea Ark FL5351SJ UNF 2015</v>
      </c>
      <c r="M395" t="str">
        <f>IFERROR(__xludf.DUMMYFUNCTION("""COMPUTED_VALUE"""),"Ford F250 2017 (Moby Dix) - DEP0021578")</f>
        <v>Ford F250 2017 (Moby Dix) - DEP0021578</v>
      </c>
      <c r="N395" t="str">
        <f>IFERROR(__xludf.DUMMYFUNCTION("""COMPUTED_VALUE"""),"Shannon Dunnigan, (803) 727-5734, Silas Tanner, (904) 483-8423")</f>
        <v>Shannon Dunnigan, (803) 727-5734, Silas Tanner, (904) 483-8423</v>
      </c>
      <c r="P395" t="str">
        <f>IFERROR(__xludf.DUMMYFUNCTION("""COMPUTED_VALUE"""),"Dunnigan")</f>
        <v>Dunnigan</v>
      </c>
      <c r="Q395" t="str">
        <f>IFERROR(__xludf.DUMMYFUNCTION("""COMPUTED_VALUE"""),"All items in working order")</f>
        <v>All items in working order</v>
      </c>
      <c r="AE395" s="11"/>
      <c r="AF395" t="s">
        <v>218</v>
      </c>
      <c r="AG395" s="17" t="s">
        <v>18</v>
      </c>
      <c r="AH395" s="12">
        <v>1615.0</v>
      </c>
      <c r="AI395" s="12" t="s">
        <v>1139</v>
      </c>
      <c r="AJ395" s="19" t="s">
        <v>1140</v>
      </c>
      <c r="AK395" s="20" t="str">
        <f>HYPERLINK("https://docs.google.com/document/d/1i0dCUy4yeQ9EZHTLMk-Eqs7L_Kd-gV0olElUP-cbPpQ/edit?usp=drivesdk","Silas Tanner - 10/10/2019 3:20 PM")</f>
        <v>Silas Tanner - 10/10/2019 3:20 PM</v>
      </c>
      <c r="AL395" s="12" t="s">
        <v>1141</v>
      </c>
    </row>
    <row r="396">
      <c r="A396" s="10">
        <f>IFERROR(__xludf.DUMMYFUNCTION("""COMPUTED_VALUE"""),43752.375165254634)</f>
        <v>43752.37517</v>
      </c>
      <c r="B396" s="11" t="str">
        <f>IFERROR(__xludf.DUMMYFUNCTION("""COMPUTED_VALUE"""),"Jimmy Tomazinis")</f>
        <v>Jimmy Tomazinis</v>
      </c>
      <c r="C396" t="str">
        <f>IFERROR(__xludf.DUMMYFUNCTION("""COMPUTED_VALUE"""),"james.tomazinis@floridadep.gov")</f>
        <v>james.tomazinis@floridadep.gov</v>
      </c>
      <c r="D396" t="str">
        <f>IFERROR(__xludf.DUMMYFUNCTION("""COMPUTED_VALUE"""),"Stewardship (Aquatic)")</f>
        <v>Stewardship (Aquatic)</v>
      </c>
      <c r="E396" t="str">
        <f>IFERROR(__xludf.DUMMYFUNCTION("""COMPUTED_VALUE"""),"Dee Dee Bartels and Goffinsville Park")</f>
        <v>Dee Dee Bartels and Goffinsville Park</v>
      </c>
      <c r="F396" s="13">
        <f>IFERROR(__xludf.DUMMYFUNCTION("""COMPUTED_VALUE"""),0.4166666666678793)</f>
        <v>0.4166666667</v>
      </c>
      <c r="G396" s="14">
        <f>IFERROR(__xludf.DUMMYFUNCTION("""COMPUTED_VALUE"""),43752.0)</f>
        <v>43752</v>
      </c>
      <c r="H396" t="str">
        <f>IFERROR(__xludf.DUMMYFUNCTION("""COMPUTED_VALUE"""),"NEAP WQ sites")</f>
        <v>NEAP WQ sites</v>
      </c>
      <c r="I396" s="15">
        <f>IFERROR(__xludf.DUMMYFUNCTION("""COMPUTED_VALUE"""),0.625)</f>
        <v>0.625</v>
      </c>
      <c r="J396" s="16"/>
      <c r="K396" t="str">
        <f>IFERROR(__xludf.DUMMYFUNCTION("""COMPUTED_VALUE"""),"17ft Skiff (Marsha) FL0642GW DEP07239")</f>
        <v>17ft Skiff (Marsha) FL0642GW DEP07239</v>
      </c>
      <c r="M396" t="str">
        <f>IFERROR(__xludf.DUMMYFUNCTION("""COMPUTED_VALUE"""),"Ford F150 2008 (SWMP Thing) - DEP18041")</f>
        <v>Ford F150 2008 (SWMP Thing) - DEP18041</v>
      </c>
      <c r="N396" t="str">
        <f>IFERROR(__xludf.DUMMYFUNCTION("""COMPUTED_VALUE"""),"Jimmy Tomazinis, (904) 547-0094")</f>
        <v>Jimmy Tomazinis, (904) 547-0094</v>
      </c>
      <c r="O396" t="str">
        <f>IFERROR(__xludf.DUMMYFUNCTION("""COMPUTED_VALUE"""),"Suzi")</f>
        <v>Suzi</v>
      </c>
      <c r="P396" t="str">
        <f>IFERROR(__xludf.DUMMYFUNCTION("""COMPUTED_VALUE"""),"Jimmy")</f>
        <v>Jimmy</v>
      </c>
      <c r="Q396" t="str">
        <f>IFERROR(__xludf.DUMMYFUNCTION("""COMPUTED_VALUE"""),"All items in working order")</f>
        <v>All items in working order</v>
      </c>
      <c r="AE396" s="11"/>
      <c r="AF396" t="s">
        <v>32</v>
      </c>
      <c r="AG396" s="17" t="s">
        <v>18</v>
      </c>
      <c r="AH396" s="12">
        <v>1445.0</v>
      </c>
      <c r="AI396" s="12" t="s">
        <v>1142</v>
      </c>
      <c r="AJ396" s="19" t="s">
        <v>1143</v>
      </c>
      <c r="AK396" s="20" t="str">
        <f>HYPERLINK("https://docs.google.com/document/d/1_OnavftpgaDV9tNWiIoIvKJWpdcg19g3rscONyVRkDo/edit?usp=drivesdk","Jimmy Tomazinis - 10/14/2019 10:00 AM")</f>
        <v>Jimmy Tomazinis - 10/14/2019 10:00 AM</v>
      </c>
      <c r="AL396" s="12" t="s">
        <v>1144</v>
      </c>
    </row>
    <row r="397">
      <c r="A397" s="10">
        <f>IFERROR(__xludf.DUMMYFUNCTION("""COMPUTED_VALUE"""),43752.37637513889)</f>
        <v>43752.37638</v>
      </c>
      <c r="B397" s="11" t="str">
        <f>IFERROR(__xludf.DUMMYFUNCTION("""COMPUTED_VALUE"""),"Scott Eastman")</f>
        <v>Scott Eastman</v>
      </c>
      <c r="C397" t="str">
        <f>IFERROR(__xludf.DUMMYFUNCTION("""COMPUTED_VALUE"""),"scott.eastman@floridadep.gov")</f>
        <v>scott.eastman@floridadep.gov</v>
      </c>
      <c r="D397" t="str">
        <f>IFERROR(__xludf.DUMMYFUNCTION("""COMPUTED_VALUE"""),"Stewardship (Aquatic)")</f>
        <v>Stewardship (Aquatic)</v>
      </c>
      <c r="E397" t="str">
        <f>IFERROR(__xludf.DUMMYFUNCTION("""COMPUTED_VALUE"""),"Guana Dam")</f>
        <v>Guana Dam</v>
      </c>
      <c r="F397" s="13">
        <f>IFERROR(__xludf.DUMMYFUNCTION("""COMPUTED_VALUE"""),0.4375)</f>
        <v>0.4375</v>
      </c>
      <c r="G397" s="14">
        <f>IFERROR(__xludf.DUMMYFUNCTION("""COMPUTED_VALUE"""),43752.0)</f>
        <v>43752</v>
      </c>
      <c r="H397" t="str">
        <f>IFERROR(__xludf.DUMMYFUNCTION("""COMPUTED_VALUE"""),"Guana River WQ sites")</f>
        <v>Guana River WQ sites</v>
      </c>
      <c r="I397" s="15">
        <f>IFERROR(__xludf.DUMMYFUNCTION("""COMPUTED_VALUE"""),0.5)</f>
        <v>0.5</v>
      </c>
      <c r="J397" s="16"/>
      <c r="K397" t="str">
        <f>IFERROR(__xludf.DUMMYFUNCTION("""COMPUTED_VALUE"""),"Jon Boat FL0484NP DEP06819")</f>
        <v>Jon Boat FL0484NP DEP06819</v>
      </c>
      <c r="M397" t="str">
        <f>IFERROR(__xludf.DUMMYFUNCTION("""COMPUTED_VALUE"""),"Ford F150 2015 (White) - DEP21448")</f>
        <v>Ford F150 2015 (White) - DEP21448</v>
      </c>
      <c r="N397" t="str">
        <f>IFERROR(__xludf.DUMMYFUNCTION("""COMPUTED_VALUE"""),"Scott Eastman, (904) 501-9267")</f>
        <v>Scott Eastman, (904) 501-9267</v>
      </c>
      <c r="O397" t="str">
        <f>IFERROR(__xludf.DUMMYFUNCTION("""COMPUTED_VALUE"""),"Jessica Lee")</f>
        <v>Jessica Lee</v>
      </c>
      <c r="P397" t="str">
        <f>IFERROR(__xludf.DUMMYFUNCTION("""COMPUTED_VALUE"""),"Scott")</f>
        <v>Scott</v>
      </c>
      <c r="Q397" t="str">
        <f>IFERROR(__xludf.DUMMYFUNCTION("""COMPUTED_VALUE"""),"All items in working order")</f>
        <v>All items in working order</v>
      </c>
      <c r="AE397" s="11"/>
      <c r="AF397" t="s">
        <v>32</v>
      </c>
      <c r="AG397" s="25" t="s">
        <v>18</v>
      </c>
      <c r="AH397" s="12">
        <v>1200.0</v>
      </c>
      <c r="AI397" s="12" t="s">
        <v>1145</v>
      </c>
      <c r="AJ397" s="19" t="s">
        <v>1146</v>
      </c>
      <c r="AK397" s="20" t="str">
        <f>HYPERLINK("https://docs.google.com/document/d/1T1xgt2ahMRDccE_WEFm_45PLgPC27Ub_s2m5i78_c2Q/edit?usp=drivesdk","Scott Eastman - 10/14/2019 10:30 AM")</f>
        <v>Scott Eastman - 10/14/2019 10:30 AM</v>
      </c>
      <c r="AL397" s="12" t="s">
        <v>1147</v>
      </c>
    </row>
    <row r="398">
      <c r="A398" s="10">
        <f>IFERROR(__xludf.DUMMYFUNCTION("""COMPUTED_VALUE"""),43753.36580854166)</f>
        <v>43753.36581</v>
      </c>
      <c r="B398" s="11" t="str">
        <f>IFERROR(__xludf.DUMMYFUNCTION("""COMPUTED_VALUE"""),"Silas Tanner")</f>
        <v>Silas Tanner</v>
      </c>
      <c r="C398" t="str">
        <f>IFERROR(__xludf.DUMMYFUNCTION("""COMPUTED_VALUE"""),"silas.tanner@floridadep.gov")</f>
        <v>silas.tanner@floridadep.gov</v>
      </c>
      <c r="D398" t="str">
        <f>IFERROR(__xludf.DUMMYFUNCTION("""COMPUTED_VALUE"""),"Research/Nikki")</f>
        <v>Research/Nikki</v>
      </c>
      <c r="E398" t="str">
        <f>IFERROR(__xludf.DUMMYFUNCTION("""COMPUTED_VALUE"""),"Vilano Landing")</f>
        <v>Vilano Landing</v>
      </c>
      <c r="F398" s="13">
        <f>IFERROR(__xludf.DUMMYFUNCTION("""COMPUTED_VALUE"""),0.3958333333321207)</f>
        <v>0.3958333333</v>
      </c>
      <c r="G398" s="14">
        <f>IFERROR(__xludf.DUMMYFUNCTION("""COMPUTED_VALUE"""),43753.0)</f>
        <v>43753</v>
      </c>
      <c r="H398" t="str">
        <f>IFERROR(__xludf.DUMMYFUNCTION("""COMPUTED_VALUE"""),"ICW SWMP sites")</f>
        <v>ICW SWMP sites</v>
      </c>
      <c r="I398" s="15">
        <f>IFERROR(__xludf.DUMMYFUNCTION("""COMPUTED_VALUE"""),0.6041666666678793)</f>
        <v>0.6041666667</v>
      </c>
      <c r="J398" s="16">
        <f>IFERROR(__xludf.DUMMYFUNCTION("""COMPUTED_VALUE"""),43753.625)</f>
        <v>43753.625</v>
      </c>
      <c r="K398" t="str">
        <f>IFERROR(__xludf.DUMMYFUNCTION("""COMPUTED_VALUE"""),"23ft Skiff (Bertha) FL7972LJ DEP07613")</f>
        <v>23ft Skiff (Bertha) FL7972LJ DEP07613</v>
      </c>
      <c r="M398" t="str">
        <f>IFERROR(__xludf.DUMMYFUNCTION("""COMPUTED_VALUE"""),"Ford F150 2015 (White) - DEP21448")</f>
        <v>Ford F150 2015 (White) - DEP21448</v>
      </c>
      <c r="N398" t="str">
        <f>IFERROR(__xludf.DUMMYFUNCTION("""COMPUTED_VALUE"""),"Silas Tanner, (904) 483-8423")</f>
        <v>Silas Tanner, (904) 483-8423</v>
      </c>
      <c r="O398" t="str">
        <f>IFERROR(__xludf.DUMMYFUNCTION("""COMPUTED_VALUE"""),"Alee Knoell, (619) 750-4833, Sloane Stephens, Esther Duffy")</f>
        <v>Alee Knoell, (619) 750-4833, Sloane Stephens, Esther Duffy</v>
      </c>
      <c r="P398" t="str">
        <f>IFERROR(__xludf.DUMMYFUNCTION("""COMPUTED_VALUE"""),"Silas Tanner")</f>
        <v>Silas Tanner</v>
      </c>
      <c r="Q398" t="str">
        <f>IFERROR(__xludf.DUMMYFUNCTION("""COMPUTED_VALUE"""),"All items in working order")</f>
        <v>All items in working order</v>
      </c>
      <c r="AE398" s="11"/>
      <c r="AF398" t="s">
        <v>218</v>
      </c>
      <c r="AG398" s="17" t="s">
        <v>43</v>
      </c>
      <c r="AH398" s="12">
        <v>1436.0</v>
      </c>
      <c r="AI398" s="12" t="s">
        <v>1148</v>
      </c>
      <c r="AJ398" s="19" t="s">
        <v>1149</v>
      </c>
      <c r="AK398" s="20" t="str">
        <f>HYPERLINK("https://docs.google.com/document/d/13H-CpRkpjg-LceS1ZdSkL48440YBkAfc0YrhA4v9dnk/edit?usp=drivesdk","Silas Tanner - 10/15/2019 9:30 AM")</f>
        <v>Silas Tanner - 10/15/2019 9:30 AM</v>
      </c>
      <c r="AL398" s="12" t="s">
        <v>1150</v>
      </c>
    </row>
    <row r="399">
      <c r="A399" s="10">
        <f>IFERROR(__xludf.DUMMYFUNCTION("""COMPUTED_VALUE"""),43753.575940162045)</f>
        <v>43753.57594</v>
      </c>
      <c r="B399" s="11" t="str">
        <f>IFERROR(__xludf.DUMMYFUNCTION("""COMPUTED_VALUE"""),"Jessica Lee")</f>
        <v>Jessica Lee</v>
      </c>
      <c r="C399" t="str">
        <f>IFERROR(__xludf.DUMMYFUNCTION("""COMPUTED_VALUE"""),"jessica.lee@dep.state.fl.us")</f>
        <v>jessica.lee@dep.state.fl.us</v>
      </c>
      <c r="D399" t="str">
        <f>IFERROR(__xludf.DUMMYFUNCTION("""COMPUTED_VALUE"""),"Research/Shannon")</f>
        <v>Research/Shannon</v>
      </c>
      <c r="E399" t="str">
        <f>IFERROR(__xludf.DUMMYFUNCTION("""COMPUTED_VALUE"""),"Guana River Rd")</f>
        <v>Guana River Rd</v>
      </c>
      <c r="F399" s="13">
        <f>IFERROR(__xludf.DUMMYFUNCTION("""COMPUTED_VALUE"""),0.5)</f>
        <v>0.5</v>
      </c>
      <c r="G399" s="14">
        <f>IFERROR(__xludf.DUMMYFUNCTION("""COMPUTED_VALUE"""),43754.0)</f>
        <v>43754</v>
      </c>
      <c r="H399" t="str">
        <f>IFERROR(__xludf.DUMMYFUNCTION("""COMPUTED_VALUE"""),"Guana River")</f>
        <v>Guana River</v>
      </c>
      <c r="I399" s="15">
        <f>IFERROR(__xludf.DUMMYFUNCTION("""COMPUTED_VALUE"""),0.5625)</f>
        <v>0.5625</v>
      </c>
      <c r="J399" s="16">
        <f>IFERROR(__xludf.DUMMYFUNCTION("""COMPUTED_VALUE"""),43754.57291666667)</f>
        <v>43754.57292</v>
      </c>
      <c r="K399" t="str">
        <f>IFERROR(__xludf.DUMMYFUNCTION("""COMPUTED_VALUE"""),"Jon Boat FL0484NP DEP06819")</f>
        <v>Jon Boat FL0484NP DEP06819</v>
      </c>
      <c r="M399" t="str">
        <f>IFERROR(__xludf.DUMMYFUNCTION("""COMPUTED_VALUE"""),"Ford F150 2015 (White) - DEP21448")</f>
        <v>Ford F150 2015 (White) - DEP21448</v>
      </c>
      <c r="N399" t="str">
        <f>IFERROR(__xludf.DUMMYFUNCTION("""COMPUTED_VALUE"""),"Nikki Dix, (352) 219-4079")</f>
        <v>Nikki Dix, (352) 219-4079</v>
      </c>
      <c r="P399" t="str">
        <f>IFERROR(__xludf.DUMMYFUNCTION("""COMPUTED_VALUE"""),"Nikki")</f>
        <v>Nikki</v>
      </c>
      <c r="Q399" t="str">
        <f>IFERROR(__xludf.DUMMYFUNCTION("""COMPUTED_VALUE"""),"All items in working order")</f>
        <v>All items in working order</v>
      </c>
      <c r="AE399" s="11"/>
      <c r="AF399" t="s">
        <v>269</v>
      </c>
      <c r="AG399" s="18"/>
      <c r="AI399" s="12" t="s">
        <v>1151</v>
      </c>
      <c r="AJ399" s="19" t="s">
        <v>1152</v>
      </c>
      <c r="AK399" s="20" t="str">
        <f>HYPERLINK("https://docs.google.com/document/d/1QYU0K6Bg_b60Qb0JUgvwx83i12Fa5B9QcOUKDlg8KR4/edit?usp=drivesdk","Jessica Lee - 10/16/2019 12:00 PM")</f>
        <v>Jessica Lee - 10/16/2019 12:00 PM</v>
      </c>
      <c r="AL399" s="12" t="s">
        <v>1153</v>
      </c>
    </row>
    <row r="400">
      <c r="A400" s="10">
        <f>IFERROR(__xludf.DUMMYFUNCTION("""COMPUTED_VALUE"""),43755.28520549768)</f>
        <v>43755.28521</v>
      </c>
      <c r="B400" s="11" t="str">
        <f>IFERROR(__xludf.DUMMYFUNCTION("""COMPUTED_VALUE"""),"Pam Marcum")</f>
        <v>Pam Marcum</v>
      </c>
      <c r="C400" t="str">
        <f>IFERROR(__xludf.DUMMYFUNCTION("""COMPUTED_VALUE"""),"Pamela.Marcum@dep.state.fl.us")</f>
        <v>Pamela.Marcum@dep.state.fl.us</v>
      </c>
      <c r="D400" t="str">
        <f>IFERROR(__xludf.DUMMYFUNCTION("""COMPUTED_VALUE"""),"Research/Nikki")</f>
        <v>Research/Nikki</v>
      </c>
      <c r="E400" t="str">
        <f>IFERROR(__xludf.DUMMYFUNCTION("""COMPUTED_VALUE"""),"Faver Dykes State Park")</f>
        <v>Faver Dykes State Park</v>
      </c>
      <c r="F400" s="13">
        <f>IFERROR(__xludf.DUMMYFUNCTION("""COMPUTED_VALUE"""),0.34375)</f>
        <v>0.34375</v>
      </c>
      <c r="G400" s="14">
        <f>IFERROR(__xludf.DUMMYFUNCTION("""COMPUTED_VALUE"""),43755.0)</f>
        <v>43755</v>
      </c>
      <c r="H400" t="str">
        <f>IFERROR(__xludf.DUMMYFUNCTION("""COMPUTED_VALUE"""),"Pellicer Mouth")</f>
        <v>Pellicer Mouth</v>
      </c>
      <c r="I400" s="15">
        <f>IFERROR(__xludf.DUMMYFUNCTION("""COMPUTED_VALUE"""),0.5833333333321207)</f>
        <v>0.5833333333</v>
      </c>
      <c r="J400" s="16">
        <f>IFERROR(__xludf.DUMMYFUNCTION("""COMPUTED_VALUE"""),43755.64583333333)</f>
        <v>43755.64583</v>
      </c>
      <c r="K400" t="str">
        <f>IFERROR(__xludf.DUMMYFUNCTION("""COMPUTED_VALUE"""),"17ft Skiff (Marsha) FL0642GW DEP07239")</f>
        <v>17ft Skiff (Marsha) FL0642GW DEP07239</v>
      </c>
      <c r="M400" t="str">
        <f>IFERROR(__xludf.DUMMYFUNCTION("""COMPUTED_VALUE"""),"Ford F150 2008 (SWMP Thing) - DEP18041")</f>
        <v>Ford F150 2008 (SWMP Thing) - DEP18041</v>
      </c>
      <c r="N400" t="str">
        <f>IFERROR(__xludf.DUMMYFUNCTION("""COMPUTED_VALUE"""),"Pam Marcum, (480) 332-5414")</f>
        <v>Pam Marcum, (480) 332-5414</v>
      </c>
      <c r="O400" t="str">
        <f>IFERROR(__xludf.DUMMYFUNCTION("""COMPUTED_VALUE"""),"Alee Knoell, (619) 750-4833")</f>
        <v>Alee Knoell, (619) 750-4833</v>
      </c>
      <c r="P400" t="str">
        <f>IFERROR(__xludf.DUMMYFUNCTION("""COMPUTED_VALUE"""),"Pam")</f>
        <v>Pam</v>
      </c>
      <c r="Q400" t="str">
        <f>IFERROR(__xludf.DUMMYFUNCTION("""COMPUTED_VALUE"""),"All items in working order")</f>
        <v>All items in working order</v>
      </c>
      <c r="AE400" s="11"/>
      <c r="AF400" t="s">
        <v>218</v>
      </c>
      <c r="AG400" s="17" t="s">
        <v>18</v>
      </c>
      <c r="AH400" s="12">
        <v>1230.0</v>
      </c>
      <c r="AI400" s="12" t="s">
        <v>1154</v>
      </c>
      <c r="AJ400" s="19" t="s">
        <v>1155</v>
      </c>
      <c r="AK400" s="20" t="str">
        <f>HYPERLINK("https://docs.google.com/document/d/1al6pBTAEsUyBSpAntmTSWLZzNIag_kw43aas-BmHQso/edit?usp=drivesdk","Pam Marcum - 10/17/2019 8:15 AM")</f>
        <v>Pam Marcum - 10/17/2019 8:15 AM</v>
      </c>
      <c r="AL400" s="12" t="s">
        <v>1156</v>
      </c>
    </row>
    <row r="401">
      <c r="A401" s="10">
        <f>IFERROR(__xludf.DUMMYFUNCTION("""COMPUTED_VALUE"""),43759.34439630787)</f>
        <v>43759.3444</v>
      </c>
      <c r="B401" s="11" t="str">
        <f>IFERROR(__xludf.DUMMYFUNCTION("""COMPUTED_VALUE"""),"Silas Tanner")</f>
        <v>Silas Tanner</v>
      </c>
      <c r="C401" t="str">
        <f>IFERROR(__xludf.DUMMYFUNCTION("""COMPUTED_VALUE"""),"silas.tanner@floridadep.gov")</f>
        <v>silas.tanner@floridadep.gov</v>
      </c>
      <c r="D401" t="str">
        <f>IFERROR(__xludf.DUMMYFUNCTION("""COMPUTED_VALUE"""),"Research/Nikki")</f>
        <v>Research/Nikki</v>
      </c>
      <c r="E401" t="str">
        <f>IFERROR(__xludf.DUMMYFUNCTION("""COMPUTED_VALUE"""),"Faver Dykes State Park")</f>
        <v>Faver Dykes State Park</v>
      </c>
      <c r="F401" s="13">
        <f>IFERROR(__xludf.DUMMYFUNCTION("""COMPUTED_VALUE"""),0.4583333333321207)</f>
        <v>0.4583333333</v>
      </c>
      <c r="G401" s="14">
        <f>IFERROR(__xludf.DUMMYFUNCTION("""COMPUTED_VALUE"""),43759.0)</f>
        <v>43759</v>
      </c>
      <c r="H401" t="str">
        <f>IFERROR(__xludf.DUMMYFUNCTION("""COMPUTED_VALUE"""),"Pellicer Creek SWMP platforms")</f>
        <v>Pellicer Creek SWMP platforms</v>
      </c>
      <c r="I401" s="15">
        <f>IFERROR(__xludf.DUMMYFUNCTION("""COMPUTED_VALUE"""),0.5833333333321207)</f>
        <v>0.5833333333</v>
      </c>
      <c r="J401" s="16">
        <f>IFERROR(__xludf.DUMMYFUNCTION("""COMPUTED_VALUE"""),43759.64583333333)</f>
        <v>43759.64583</v>
      </c>
      <c r="K401" t="str">
        <f>IFERROR(__xludf.DUMMYFUNCTION("""COMPUTED_VALUE"""),"20ft Sea Ark FL5351SJ UNF 2015")</f>
        <v>20ft Sea Ark FL5351SJ UNF 2015</v>
      </c>
      <c r="M401" t="str">
        <f>IFERROR(__xludf.DUMMYFUNCTION("""COMPUTED_VALUE"""),"Ford F250 2017 (Moby Dix) - DEP0021578")</f>
        <v>Ford F250 2017 (Moby Dix) - DEP0021578</v>
      </c>
      <c r="N401" t="str">
        <f>IFERROR(__xludf.DUMMYFUNCTION("""COMPUTED_VALUE"""),"Shannon Dunnigan, (803) 727-5734, Silas Tanner, (904) 483-8423")</f>
        <v>Shannon Dunnigan, (803) 727-5734, Silas Tanner, (904) 483-8423</v>
      </c>
      <c r="O401" t="str">
        <f>IFERROR(__xludf.DUMMYFUNCTION("""COMPUTED_VALUE"""),"Casey McClure")</f>
        <v>Casey McClure</v>
      </c>
      <c r="P401" t="str">
        <f>IFERROR(__xludf.DUMMYFUNCTION("""COMPUTED_VALUE"""),"S. Dunnigan")</f>
        <v>S. Dunnigan</v>
      </c>
      <c r="Q401" t="str">
        <f>IFERROR(__xludf.DUMMYFUNCTION("""COMPUTED_VALUE"""),"All items in working order")</f>
        <v>All items in working order</v>
      </c>
      <c r="AE401" s="11"/>
      <c r="AF401" t="s">
        <v>218</v>
      </c>
      <c r="AG401" s="17" t="s">
        <v>18</v>
      </c>
      <c r="AH401" s="12">
        <v>1320.0</v>
      </c>
      <c r="AI401" s="12" t="s">
        <v>1157</v>
      </c>
      <c r="AJ401" s="19" t="s">
        <v>1158</v>
      </c>
      <c r="AK401" s="20" t="str">
        <f>HYPERLINK("https://docs.google.com/document/d/1n-LG2HTy2qCWVs8L1YdkpPeRR8p2QgvCem4gUFsY-ls/edit?usp=drivesdk","Silas Tanner - 10/21/2019 11:00 AM")</f>
        <v>Silas Tanner - 10/21/2019 11:00 AM</v>
      </c>
      <c r="AL401" s="12" t="s">
        <v>1159</v>
      </c>
    </row>
    <row r="402">
      <c r="A402" s="10">
        <f>IFERROR(__xludf.DUMMYFUNCTION("""COMPUTED_VALUE"""),43760.405569386574)</f>
        <v>43760.40557</v>
      </c>
      <c r="B402" s="11" t="str">
        <f>IFERROR(__xludf.DUMMYFUNCTION("""COMPUTED_VALUE"""),"Pam Marcum")</f>
        <v>Pam Marcum</v>
      </c>
      <c r="C402" t="str">
        <f>IFERROR(__xludf.DUMMYFUNCTION("""COMPUTED_VALUE"""),"Pamela.Marcum@FloridaDEP.gov")</f>
        <v>Pamela.Marcum@FloridaDEP.gov</v>
      </c>
      <c r="D402" t="str">
        <f>IFERROR(__xludf.DUMMYFUNCTION("""COMPUTED_VALUE"""),"Research/Nikki")</f>
        <v>Research/Nikki</v>
      </c>
      <c r="E402" t="str">
        <f>IFERROR(__xludf.DUMMYFUNCTION("""COMPUTED_VALUE"""),"Faver-Dykes")</f>
        <v>Faver-Dykes</v>
      </c>
      <c r="F402" s="13">
        <f>IFERROR(__xludf.DUMMYFUNCTION("""COMPUTED_VALUE"""),0.4791666666678793)</f>
        <v>0.4791666667</v>
      </c>
      <c r="G402" s="14">
        <f>IFERROR(__xludf.DUMMYFUNCTION("""COMPUTED_VALUE"""),43760.0)</f>
        <v>43760</v>
      </c>
      <c r="H402" t="str">
        <f>IFERROR(__xludf.DUMMYFUNCTION("""COMPUTED_VALUE"""),"Pellicer Middle")</f>
        <v>Pellicer Middle</v>
      </c>
      <c r="I402" s="15">
        <f>IFERROR(__xludf.DUMMYFUNCTION("""COMPUTED_VALUE"""),0.625)</f>
        <v>0.625</v>
      </c>
      <c r="J402" s="16">
        <f>IFERROR(__xludf.DUMMYFUNCTION("""COMPUTED_VALUE"""),43760.6875)</f>
        <v>43760.6875</v>
      </c>
      <c r="K402" t="str">
        <f>IFERROR(__xludf.DUMMYFUNCTION("""COMPUTED_VALUE"""),"17ft Skiff (Marsha) FL0642GW DEP07239")</f>
        <v>17ft Skiff (Marsha) FL0642GW DEP07239</v>
      </c>
      <c r="M402" t="str">
        <f>IFERROR(__xludf.DUMMYFUNCTION("""COMPUTED_VALUE"""),"Ford F150 2008 (SWMP Thing) - DEP18041")</f>
        <v>Ford F150 2008 (SWMP Thing) - DEP18041</v>
      </c>
      <c r="N402" t="str">
        <f>IFERROR(__xludf.DUMMYFUNCTION("""COMPUTED_VALUE"""),"Pam Marcum, (480) 332-5414")</f>
        <v>Pam Marcum, (480) 332-5414</v>
      </c>
      <c r="O402" t="str">
        <f>IFERROR(__xludf.DUMMYFUNCTION("""COMPUTED_VALUE"""),"Stephen Brown")</f>
        <v>Stephen Brown</v>
      </c>
      <c r="P402" t="str">
        <f>IFERROR(__xludf.DUMMYFUNCTION("""COMPUTED_VALUE"""),"Pam")</f>
        <v>Pam</v>
      </c>
      <c r="Q402" t="str">
        <f>IFERROR(__xludf.DUMMYFUNCTION("""COMPUTED_VALUE"""),"All items in working order")</f>
        <v>All items in working order</v>
      </c>
      <c r="AE402" s="11"/>
      <c r="AF402" t="s">
        <v>218</v>
      </c>
      <c r="AG402" s="17" t="s">
        <v>60</v>
      </c>
      <c r="AH402" s="12">
        <v>1426.0</v>
      </c>
      <c r="AI402" s="12" t="s">
        <v>1160</v>
      </c>
      <c r="AJ402" s="19" t="s">
        <v>1161</v>
      </c>
      <c r="AK402" s="20" t="str">
        <f>HYPERLINK("https://docs.google.com/document/d/1Y7vwOzLhn0eXI5u7d9d732R4pzu7_c-q0K5-TwlcbW0/edit?usp=drivesdk","Pam Marcum - 10/22/2019 11:30 AM")</f>
        <v>Pam Marcum - 10/22/2019 11:30 AM</v>
      </c>
      <c r="AL402" s="12" t="s">
        <v>1162</v>
      </c>
    </row>
    <row r="403">
      <c r="A403" s="10">
        <f>IFERROR(__xludf.DUMMYFUNCTION("""COMPUTED_VALUE"""),43761.51098082176)</f>
        <v>43761.51098</v>
      </c>
      <c r="B403" s="11" t="str">
        <f>IFERROR(__xludf.DUMMYFUNCTION("""COMPUTED_VALUE"""),"Pam Marcum")</f>
        <v>Pam Marcum</v>
      </c>
      <c r="C403" t="str">
        <f>IFERROR(__xludf.DUMMYFUNCTION("""COMPUTED_VALUE"""),"pamela.marcum@floridadep.gov")</f>
        <v>pamela.marcum@floridadep.gov</v>
      </c>
      <c r="D403" t="str">
        <f>IFERROR(__xludf.DUMMYFUNCTION("""COMPUTED_VALUE"""),"Research/Nikki")</f>
        <v>Research/Nikki</v>
      </c>
      <c r="E403" t="str">
        <f>IFERROR(__xludf.DUMMYFUNCTION("""COMPUTED_VALUE"""),"Faver dykes")</f>
        <v>Faver dykes</v>
      </c>
      <c r="F403" s="13">
        <f>IFERROR(__xludf.DUMMYFUNCTION("""COMPUTED_VALUE"""),0.5208333333321207)</f>
        <v>0.5208333333</v>
      </c>
      <c r="G403" s="14">
        <f>IFERROR(__xludf.DUMMYFUNCTION("""COMPUTED_VALUE"""),43761.0)</f>
        <v>43761</v>
      </c>
      <c r="H403" t="str">
        <f>IFERROR(__xludf.DUMMYFUNCTION("""COMPUTED_VALUE"""),"Upper pellicer creek")</f>
        <v>Upper pellicer creek</v>
      </c>
      <c r="I403" s="15">
        <f>IFERROR(__xludf.DUMMYFUNCTION("""COMPUTED_VALUE"""),0.625)</f>
        <v>0.625</v>
      </c>
      <c r="J403" s="16">
        <f>IFERROR(__xludf.DUMMYFUNCTION("""COMPUTED_VALUE"""),43761.66666666667)</f>
        <v>43761.66667</v>
      </c>
      <c r="K403" t="str">
        <f>IFERROR(__xludf.DUMMYFUNCTION("""COMPUTED_VALUE"""),"17ft Skiff (Marsha) FL0642GW DEP07239")</f>
        <v>17ft Skiff (Marsha) FL0642GW DEP07239</v>
      </c>
      <c r="M403" t="str">
        <f>IFERROR(__xludf.DUMMYFUNCTION("""COMPUTED_VALUE"""),"Ford F150 2008 (SWMP Thing) - DEP18041")</f>
        <v>Ford F150 2008 (SWMP Thing) - DEP18041</v>
      </c>
      <c r="N403" t="str">
        <f>IFERROR(__xludf.DUMMYFUNCTION("""COMPUTED_VALUE"""),"Pam Marcum, (480) 332-5414")</f>
        <v>Pam Marcum, (480) 332-5414</v>
      </c>
      <c r="O403" t="str">
        <f>IFERROR(__xludf.DUMMYFUNCTION("""COMPUTED_VALUE"""),"Alee Knoell, (619) 750-4833, Esther duffy")</f>
        <v>Alee Knoell, (619) 750-4833, Esther duffy</v>
      </c>
      <c r="P403" t="str">
        <f>IFERROR(__xludf.DUMMYFUNCTION("""COMPUTED_VALUE"""),"Pam")</f>
        <v>Pam</v>
      </c>
      <c r="Q403" t="str">
        <f>IFERROR(__xludf.DUMMYFUNCTION("""COMPUTED_VALUE"""),"All items in working order")</f>
        <v>All items in working order</v>
      </c>
      <c r="AE403" s="11"/>
      <c r="AF403" t="s">
        <v>218</v>
      </c>
      <c r="AG403" s="17" t="s">
        <v>18</v>
      </c>
      <c r="AH403" s="12">
        <v>1500.0</v>
      </c>
      <c r="AI403" s="12" t="s">
        <v>1163</v>
      </c>
      <c r="AJ403" s="19" t="s">
        <v>1164</v>
      </c>
      <c r="AK403" s="20" t="str">
        <f>HYPERLINK("https://docs.google.com/document/d/1yjeYvgPYir5ZjPhpr6dgyr3QLWQtzniq9SwDgTcD6K4/edit?usp=drivesdk","Pam Marcum - 10/23/2019 12:30 PM")</f>
        <v>Pam Marcum - 10/23/2019 12:30 PM</v>
      </c>
      <c r="AL403" s="12" t="s">
        <v>1165</v>
      </c>
    </row>
    <row r="404">
      <c r="A404" s="10">
        <f>IFERROR(__xludf.DUMMYFUNCTION("""COMPUTED_VALUE"""),43762.365408518526)</f>
        <v>43762.36541</v>
      </c>
      <c r="B404" s="11" t="str">
        <f>IFERROR(__xludf.DUMMYFUNCTION("""COMPUTED_VALUE"""),"Jimmy Tomazinis")</f>
        <v>Jimmy Tomazinis</v>
      </c>
      <c r="C404" t="str">
        <f>IFERROR(__xludf.DUMMYFUNCTION("""COMPUTED_VALUE"""),"james.tomazinis@floridadep.gov")</f>
        <v>james.tomazinis@floridadep.gov</v>
      </c>
      <c r="D404" t="str">
        <f>IFERROR(__xludf.DUMMYFUNCTION("""COMPUTED_VALUE"""),"Stewardship (Aquatic)")</f>
        <v>Stewardship (Aquatic)</v>
      </c>
      <c r="E404" t="str">
        <f>IFERROR(__xludf.DUMMYFUNCTION("""COMPUTED_VALUE"""),"Vilano")</f>
        <v>Vilano</v>
      </c>
      <c r="F404" s="13">
        <f>IFERROR(__xludf.DUMMYFUNCTION("""COMPUTED_VALUE"""),0.3854166666678793)</f>
        <v>0.3854166667</v>
      </c>
      <c r="G404" s="14">
        <f>IFERROR(__xludf.DUMMYFUNCTION("""COMPUTED_VALUE"""),43762.0)</f>
        <v>43762</v>
      </c>
      <c r="H404" t="str">
        <f>IFERROR(__xludf.DUMMYFUNCTION("""COMPUTED_VALUE"""),"Tolomato nekton sites")</f>
        <v>Tolomato nekton sites</v>
      </c>
      <c r="I404" s="15">
        <f>IFERROR(__xludf.DUMMYFUNCTION("""COMPUTED_VALUE"""),0.6666666666678793)</f>
        <v>0.6666666667</v>
      </c>
      <c r="J404" s="16"/>
      <c r="K404" t="str">
        <f>IFERROR(__xludf.DUMMYFUNCTION("""COMPUTED_VALUE"""),"23ft Skiff (Bertha) FL7972LJ DEP07613")</f>
        <v>23ft Skiff (Bertha) FL7972LJ DEP07613</v>
      </c>
      <c r="M404" t="str">
        <f>IFERROR(__xludf.DUMMYFUNCTION("""COMPUTED_VALUE"""),"Ford F150 2015 (White) - DEP21448")</f>
        <v>Ford F150 2015 (White) - DEP21448</v>
      </c>
      <c r="N404" t="str">
        <f>IFERROR(__xludf.DUMMYFUNCTION("""COMPUTED_VALUE"""),"Jimmy Tomazinis, (904) 547-0094")</f>
        <v>Jimmy Tomazinis, (904) 547-0094</v>
      </c>
      <c r="O404" t="str">
        <f>IFERROR(__xludf.DUMMYFUNCTION("""COMPUTED_VALUE"""),"Suzi, Carl, Zach, Alex, Brian")</f>
        <v>Suzi, Carl, Zach, Alex, Brian</v>
      </c>
      <c r="P404" t="str">
        <f>IFERROR(__xludf.DUMMYFUNCTION("""COMPUTED_VALUE"""),"Jimmy")</f>
        <v>Jimmy</v>
      </c>
      <c r="Q404" t="str">
        <f>IFERROR(__xludf.DUMMYFUNCTION("""COMPUTED_VALUE"""),"All items in working order")</f>
        <v>All items in working order</v>
      </c>
      <c r="AE404" s="11"/>
      <c r="AF404" t="s">
        <v>32</v>
      </c>
      <c r="AG404" s="17" t="s">
        <v>43</v>
      </c>
      <c r="AH404" s="12">
        <v>1630.0</v>
      </c>
      <c r="AI404" s="12" t="s">
        <v>1166</v>
      </c>
      <c r="AJ404" s="19" t="s">
        <v>1167</v>
      </c>
      <c r="AK404" s="20" t="str">
        <f>HYPERLINK("https://docs.google.com/document/d/1_FZkLDX6cpRq0sc7kubw9q1L4r-RNeHr1SqbZ9kcYEw/edit?usp=drivesdk","Jimmy Tomazinis - 10/24/2019 9:15 AM")</f>
        <v>Jimmy Tomazinis - 10/24/2019 9:15 AM</v>
      </c>
      <c r="AL404" s="12" t="s">
        <v>1168</v>
      </c>
    </row>
    <row r="405">
      <c r="A405" s="10">
        <f>IFERROR(__xludf.DUMMYFUNCTION("""COMPUTED_VALUE"""),43762.62601968751)</f>
        <v>43762.62602</v>
      </c>
      <c r="B405" s="11" t="str">
        <f>IFERROR(__xludf.DUMMYFUNCTION("""COMPUTED_VALUE"""),"Pam Marcum")</f>
        <v>Pam Marcum</v>
      </c>
      <c r="C405" t="str">
        <f>IFERROR(__xludf.DUMMYFUNCTION("""COMPUTED_VALUE"""),"pamela.marcum@floridadep.gov")</f>
        <v>pamela.marcum@floridadep.gov</v>
      </c>
      <c r="D405" t="str">
        <f>IFERROR(__xludf.DUMMYFUNCTION("""COMPUTED_VALUE"""),"Research/Nikki")</f>
        <v>Research/Nikki</v>
      </c>
      <c r="E405" t="str">
        <f>IFERROR(__xludf.DUMMYFUNCTION("""COMPUTED_VALUE"""),"Faver dykes")</f>
        <v>Faver dykes</v>
      </c>
      <c r="F405" s="13">
        <f>IFERROR(__xludf.DUMMYFUNCTION("""COMPUTED_VALUE"""),0.6041666666678793)</f>
        <v>0.6041666667</v>
      </c>
      <c r="G405" s="14">
        <f>IFERROR(__xludf.DUMMYFUNCTION("""COMPUTED_VALUE"""),43762.0)</f>
        <v>43762</v>
      </c>
      <c r="H405" t="str">
        <f>IFERROR(__xludf.DUMMYFUNCTION("""COMPUTED_VALUE"""),"Lower pellicer creek")</f>
        <v>Lower pellicer creek</v>
      </c>
      <c r="I405" s="15">
        <f>IFERROR(__xludf.DUMMYFUNCTION("""COMPUTED_VALUE"""),0.7083333333321207)</f>
        <v>0.7083333333</v>
      </c>
      <c r="J405" s="16">
        <f>IFERROR(__xludf.DUMMYFUNCTION("""COMPUTED_VALUE"""),43762.75)</f>
        <v>43762.75</v>
      </c>
      <c r="K405" t="str">
        <f>IFERROR(__xludf.DUMMYFUNCTION("""COMPUTED_VALUE"""),"17ft Skiff (Marsha) FL0642GW DEP07239")</f>
        <v>17ft Skiff (Marsha) FL0642GW DEP07239</v>
      </c>
      <c r="M405" t="str">
        <f>IFERROR(__xludf.DUMMYFUNCTION("""COMPUTED_VALUE"""),"Ford F150 2008 (SWMP Thing) - DEP18041")</f>
        <v>Ford F150 2008 (SWMP Thing) - DEP18041</v>
      </c>
      <c r="N405" t="str">
        <f>IFERROR(__xludf.DUMMYFUNCTION("""COMPUTED_VALUE"""),"Pam Marcum, (480) 332-5414")</f>
        <v>Pam Marcum, (480) 332-5414</v>
      </c>
      <c r="O405" t="str">
        <f>IFERROR(__xludf.DUMMYFUNCTION("""COMPUTED_VALUE"""),"Alee Knoell, (619) 750-4833, Summer Manestar")</f>
        <v>Alee Knoell, (619) 750-4833, Summer Manestar</v>
      </c>
      <c r="P405" t="str">
        <f>IFERROR(__xludf.DUMMYFUNCTION("""COMPUTED_VALUE"""),"Pam")</f>
        <v>Pam</v>
      </c>
      <c r="Q405" t="str">
        <f>IFERROR(__xludf.DUMMYFUNCTION("""COMPUTED_VALUE"""),"All items in working order")</f>
        <v>All items in working order</v>
      </c>
      <c r="AE405" s="11"/>
      <c r="AF405" t="s">
        <v>218</v>
      </c>
      <c r="AG405" s="17" t="s">
        <v>43</v>
      </c>
      <c r="AH405" s="12">
        <v>1815.0</v>
      </c>
      <c r="AI405" s="12" t="s">
        <v>1169</v>
      </c>
      <c r="AJ405" s="19" t="s">
        <v>1170</v>
      </c>
      <c r="AK405" s="20" t="str">
        <f>HYPERLINK("https://docs.google.com/document/d/1tSD6e648rzgMuzDP9hhqwOSc2wFY4LzC4gX0xMLr3mM/edit?usp=drivesdk","Pam Marcum - 10/24/2019 2:30 PM")</f>
        <v>Pam Marcum - 10/24/2019 2:30 PM</v>
      </c>
      <c r="AL405" s="12" t="s">
        <v>1171</v>
      </c>
    </row>
    <row r="406">
      <c r="A406" s="10">
        <f>IFERROR(__xludf.DUMMYFUNCTION("""COMPUTED_VALUE"""),43767.32580607639)</f>
        <v>43767.32581</v>
      </c>
      <c r="B406" s="11" t="str">
        <f>IFERROR(__xludf.DUMMYFUNCTION("""COMPUTED_VALUE"""),"Pam Marcum")</f>
        <v>Pam Marcum</v>
      </c>
      <c r="C406" t="str">
        <f>IFERROR(__xludf.DUMMYFUNCTION("""COMPUTED_VALUE"""),"pamela.marcum@floridadep.gov")</f>
        <v>pamela.marcum@floridadep.gov</v>
      </c>
      <c r="D406" t="str">
        <f>IFERROR(__xludf.DUMMYFUNCTION("""COMPUTED_VALUE"""),"Research/Nikki")</f>
        <v>Research/Nikki</v>
      </c>
      <c r="E406" t="str">
        <f>IFERROR(__xludf.DUMMYFUNCTION("""COMPUTED_VALUE"""),"Faver Dukes")</f>
        <v>Faver Dukes</v>
      </c>
      <c r="F406" s="13">
        <f>IFERROR(__xludf.DUMMYFUNCTION("""COMPUTED_VALUE"""),0.3229166666678793)</f>
        <v>0.3229166667</v>
      </c>
      <c r="G406" s="14">
        <f>IFERROR(__xludf.DUMMYFUNCTION("""COMPUTED_VALUE"""),43767.0)</f>
        <v>43767</v>
      </c>
      <c r="H406" t="str">
        <f>IFERROR(__xludf.DUMMYFUNCTION("""COMPUTED_VALUE"""),"Pellicer Creek mouth")</f>
        <v>Pellicer Creek mouth</v>
      </c>
      <c r="I406" s="15">
        <f>IFERROR(__xludf.DUMMYFUNCTION("""COMPUTED_VALUE"""),0.5)</f>
        <v>0.5</v>
      </c>
      <c r="J406" s="16">
        <f>IFERROR(__xludf.DUMMYFUNCTION("""COMPUTED_VALUE"""),43767.54166666667)</f>
        <v>43767.54167</v>
      </c>
      <c r="K406" t="str">
        <f>IFERROR(__xludf.DUMMYFUNCTION("""COMPUTED_VALUE"""),"17ft Skiff (Marsha) FL0642GW DEP07239")</f>
        <v>17ft Skiff (Marsha) FL0642GW DEP07239</v>
      </c>
      <c r="M406" t="str">
        <f>IFERROR(__xludf.DUMMYFUNCTION("""COMPUTED_VALUE"""),"Ford F150 2015 (White) - DEP21448")</f>
        <v>Ford F150 2015 (White) - DEP21448</v>
      </c>
      <c r="N406" t="str">
        <f>IFERROR(__xludf.DUMMYFUNCTION("""COMPUTED_VALUE"""),"Pam Marcum, (480) 332-5414")</f>
        <v>Pam Marcum, (480) 332-5414</v>
      </c>
      <c r="O406" t="str">
        <f>IFERROR(__xludf.DUMMYFUNCTION("""COMPUTED_VALUE"""),"Jeff Finnan")</f>
        <v>Jeff Finnan</v>
      </c>
      <c r="P406" t="str">
        <f>IFERROR(__xludf.DUMMYFUNCTION("""COMPUTED_VALUE"""),"Pam")</f>
        <v>Pam</v>
      </c>
      <c r="Q406" t="str">
        <f>IFERROR(__xludf.DUMMYFUNCTION("""COMPUTED_VALUE"""),"All items in working order")</f>
        <v>All items in working order</v>
      </c>
      <c r="AE406" s="11"/>
      <c r="AF406" t="s">
        <v>218</v>
      </c>
      <c r="AG406" s="17" t="s">
        <v>18</v>
      </c>
      <c r="AH406" s="12">
        <v>1015.0</v>
      </c>
      <c r="AI406" s="12" t="s">
        <v>1172</v>
      </c>
      <c r="AJ406" s="19" t="s">
        <v>1173</v>
      </c>
      <c r="AK406" s="20" t="str">
        <f>HYPERLINK("https://docs.google.com/document/d/1W0MUnKo0pddoDkyInqukilZfM2lV6gT-z8ANRIvhfzc/edit?usp=drivesdk","Pam Marcum - 10/29/2019 7:45 AM")</f>
        <v>Pam Marcum - 10/29/2019 7:45 AM</v>
      </c>
      <c r="AL406" s="12" t="s">
        <v>1174</v>
      </c>
    </row>
    <row r="407">
      <c r="A407" s="10">
        <f>IFERROR(__xludf.DUMMYFUNCTION("""COMPUTED_VALUE"""),43767.33928335649)</f>
        <v>43767.33928</v>
      </c>
      <c r="B407" s="11" t="str">
        <f>IFERROR(__xludf.DUMMYFUNCTION("""COMPUTED_VALUE"""),"Silas Tanner")</f>
        <v>Silas Tanner</v>
      </c>
      <c r="C407" t="str">
        <f>IFERROR(__xludf.DUMMYFUNCTION("""COMPUTED_VALUE"""),"Silas.tanner@Floridadep.gov")</f>
        <v>Silas.tanner@Floridadep.gov</v>
      </c>
      <c r="D407" t="str">
        <f>IFERROR(__xludf.DUMMYFUNCTION("""COMPUTED_VALUE"""),"Research/Nikki")</f>
        <v>Research/Nikki</v>
      </c>
      <c r="E407" t="str">
        <f>IFERROR(__xludf.DUMMYFUNCTION("""COMPUTED_VALUE"""),"Crane ramp")</f>
        <v>Crane ramp</v>
      </c>
      <c r="F407" s="13">
        <f>IFERROR(__xludf.DUMMYFUNCTION("""COMPUTED_VALUE"""),0.3541666666678793)</f>
        <v>0.3541666667</v>
      </c>
      <c r="G407" s="14">
        <f>IFERROR(__xludf.DUMMYFUNCTION("""COMPUTED_VALUE"""),43767.0)</f>
        <v>43767</v>
      </c>
      <c r="H407" t="str">
        <f>IFERROR(__xludf.DUMMYFUNCTION("""COMPUTED_VALUE"""),"Icw SWMP sites")</f>
        <v>Icw SWMP sites</v>
      </c>
      <c r="I407" s="15">
        <f>IFERROR(__xludf.DUMMYFUNCTION("""COMPUTED_VALUE"""),0.5625)</f>
        <v>0.5625</v>
      </c>
      <c r="J407" s="16">
        <f>IFERROR(__xludf.DUMMYFUNCTION("""COMPUTED_VALUE"""),43767.58333333333)</f>
        <v>43767.58333</v>
      </c>
      <c r="K407" t="str">
        <f>IFERROR(__xludf.DUMMYFUNCTION("""COMPUTED_VALUE"""),"23ft Skiff (Bertha) FL7972LJ DEP07613")</f>
        <v>23ft Skiff (Bertha) FL7972LJ DEP07613</v>
      </c>
      <c r="M407" t="str">
        <f>IFERROR(__xludf.DUMMYFUNCTION("""COMPUTED_VALUE"""),"Ford F250 2017 (Moby Dix) - DEP0021578")</f>
        <v>Ford F250 2017 (Moby Dix) - DEP0021578</v>
      </c>
      <c r="N407" t="str">
        <f>IFERROR(__xludf.DUMMYFUNCTION("""COMPUTED_VALUE"""),"Silas Tanner, (904) 483-8423, Remo Mondazzi")</f>
        <v>Silas Tanner, (904) 483-8423, Remo Mondazzi</v>
      </c>
      <c r="P407" t="str">
        <f>IFERROR(__xludf.DUMMYFUNCTION("""COMPUTED_VALUE"""),"S. Tanner")</f>
        <v>S. Tanner</v>
      </c>
      <c r="Q407" t="str">
        <f>IFERROR(__xludf.DUMMYFUNCTION("""COMPUTED_VALUE"""),"All items in working order")</f>
        <v>All items in working order</v>
      </c>
      <c r="AE407" s="11"/>
      <c r="AF407" t="s">
        <v>218</v>
      </c>
      <c r="AG407" s="17" t="s">
        <v>18</v>
      </c>
      <c r="AH407" s="12">
        <v>1220.0</v>
      </c>
      <c r="AI407" s="12" t="s">
        <v>1175</v>
      </c>
      <c r="AJ407" s="19" t="s">
        <v>1176</v>
      </c>
      <c r="AK407" s="20" t="str">
        <f>HYPERLINK("https://docs.google.com/document/d/1lEUCZ8jzWthvDEXI6Yb01Db7gioIfBmZbkRci61BKvw/edit?usp=drivesdk","Silas Tanner - 10/29/2019 8:30 AM")</f>
        <v>Silas Tanner - 10/29/2019 8:30 AM</v>
      </c>
      <c r="AL407" s="12" t="s">
        <v>1177</v>
      </c>
    </row>
    <row r="408">
      <c r="A408" s="10">
        <f>IFERROR(__xludf.DUMMYFUNCTION("""COMPUTED_VALUE"""),43768.34480842592)</f>
        <v>43768.34481</v>
      </c>
      <c r="B408" s="11" t="str">
        <f>IFERROR(__xludf.DUMMYFUNCTION("""COMPUTED_VALUE"""),"Alexandria Knoell")</f>
        <v>Alexandria Knoell</v>
      </c>
      <c r="C408" t="str">
        <f>IFERROR(__xludf.DUMMYFUNCTION("""COMPUTED_VALUE"""),"alee.knoell@floridadep.gov")</f>
        <v>alee.knoell@floridadep.gov</v>
      </c>
      <c r="D408" t="str">
        <f>IFERROR(__xludf.DUMMYFUNCTION("""COMPUTED_VALUE"""),"Research/Nikki")</f>
        <v>Research/Nikki</v>
      </c>
      <c r="E408" t="str">
        <f>IFERROR(__xludf.DUMMYFUNCTION("""COMPUTED_VALUE"""),"Pellicer")</f>
        <v>Pellicer</v>
      </c>
      <c r="F408" s="13">
        <f>IFERROR(__xludf.DUMMYFUNCTION("""COMPUTED_VALUE"""),0.34375)</f>
        <v>0.34375</v>
      </c>
      <c r="G408" s="14">
        <f>IFERROR(__xludf.DUMMYFUNCTION("""COMPUTED_VALUE"""),43768.0)</f>
        <v>43768</v>
      </c>
      <c r="H408" t="str">
        <f>IFERROR(__xludf.DUMMYFUNCTION("""COMPUTED_VALUE"""),"Pellicer")</f>
        <v>Pellicer</v>
      </c>
      <c r="I408" s="15">
        <f>IFERROR(__xludf.DUMMYFUNCTION("""COMPUTED_VALUE"""),0.5625)</f>
        <v>0.5625</v>
      </c>
      <c r="J408" s="16">
        <f>IFERROR(__xludf.DUMMYFUNCTION("""COMPUTED_VALUE"""),43768.625)</f>
        <v>43768.625</v>
      </c>
      <c r="K408" t="str">
        <f>IFERROR(__xludf.DUMMYFUNCTION("""COMPUTED_VALUE"""),"F 20ft Sea Ark (Easy 200) FL8534PY DEP21451")</f>
        <v>F 20ft Sea Ark (Easy 200) FL8534PY DEP21451</v>
      </c>
      <c r="M408" t="str">
        <f>IFERROR(__xludf.DUMMYFUNCTION("""COMPUTED_VALUE"""),"Ford F150 2015 (White) - DEP21448")</f>
        <v>Ford F150 2015 (White) - DEP21448</v>
      </c>
      <c r="N408" t="str">
        <f>IFERROR(__xludf.DUMMYFUNCTION("""COMPUTED_VALUE"""),"Pam Marcum, (480) 332-5414")</f>
        <v>Pam Marcum, (480) 332-5414</v>
      </c>
      <c r="O408" t="str">
        <f>IFERROR(__xludf.DUMMYFUNCTION("""COMPUTED_VALUE"""),"Alee Knoell, (619) 750-4833, Zack Lepera")</f>
        <v>Alee Knoell, (619) 750-4833, Zack Lepera</v>
      </c>
      <c r="P408" t="str">
        <f>IFERROR(__xludf.DUMMYFUNCTION("""COMPUTED_VALUE"""),"Pam Marcum")</f>
        <v>Pam Marcum</v>
      </c>
      <c r="Q408" t="str">
        <f>IFERROR(__xludf.DUMMYFUNCTION("""COMPUTED_VALUE"""),"All items in working order")</f>
        <v>All items in working order</v>
      </c>
      <c r="AE408" s="11"/>
      <c r="AF408" t="s">
        <v>218</v>
      </c>
      <c r="AG408" s="17" t="s">
        <v>448</v>
      </c>
      <c r="AH408" s="12">
        <v>1153.0</v>
      </c>
      <c r="AI408" s="12" t="s">
        <v>1178</v>
      </c>
      <c r="AJ408" s="19" t="s">
        <v>1179</v>
      </c>
      <c r="AK408" s="20" t="str">
        <f>HYPERLINK("https://docs.google.com/document/d/1h83vbiy0qIUMEJu9na-S6xILq_JKNVe8nRk6se4XBmI/edit?usp=drivesdk","Alexandria Knoell - 10/30/2019 8:15 AM")</f>
        <v>Alexandria Knoell - 10/30/2019 8:15 AM</v>
      </c>
      <c r="AL408" s="12" t="s">
        <v>1180</v>
      </c>
    </row>
    <row r="409">
      <c r="A409" s="10">
        <f>IFERROR(__xludf.DUMMYFUNCTION("""COMPUTED_VALUE"""),43768.37417189815)</f>
        <v>43768.37417</v>
      </c>
      <c r="B409" s="11" t="str">
        <f>IFERROR(__xludf.DUMMYFUNCTION("""COMPUTED_VALUE"""),"Jimmy Tomazinis")</f>
        <v>Jimmy Tomazinis</v>
      </c>
      <c r="C409" t="str">
        <f>IFERROR(__xludf.DUMMYFUNCTION("""COMPUTED_VALUE"""),"james.tomazinis@floridadep.gov")</f>
        <v>james.tomazinis@floridadep.gov</v>
      </c>
      <c r="D409" t="str">
        <f>IFERROR(__xludf.DUMMYFUNCTION("""COMPUTED_VALUE"""),"Stewardship (Aquatic)")</f>
        <v>Stewardship (Aquatic)</v>
      </c>
      <c r="E409" t="str">
        <f>IFERROR(__xludf.DUMMYFUNCTION("""COMPUTED_VALUE"""),"Vilano")</f>
        <v>Vilano</v>
      </c>
      <c r="F409" s="13">
        <f>IFERROR(__xludf.DUMMYFUNCTION("""COMPUTED_VALUE"""),0.3854166666678793)</f>
        <v>0.3854166667</v>
      </c>
      <c r="G409" s="14">
        <f>IFERROR(__xludf.DUMMYFUNCTION("""COMPUTED_VALUE"""),43768.0)</f>
        <v>43768</v>
      </c>
      <c r="H409" t="str">
        <f>IFERROR(__xludf.DUMMYFUNCTION("""COMPUTED_VALUE"""),"Matanzas Nekton sites")</f>
        <v>Matanzas Nekton sites</v>
      </c>
      <c r="I409" s="15">
        <f>IFERROR(__xludf.DUMMYFUNCTION("""COMPUTED_VALUE"""),0.6666666666678793)</f>
        <v>0.6666666667</v>
      </c>
      <c r="J409" s="16"/>
      <c r="K409" t="str">
        <f>IFERROR(__xludf.DUMMYFUNCTION("""COMPUTED_VALUE"""),"23ft Skiff (Bertha) FL7972LJ DEP07613")</f>
        <v>23ft Skiff (Bertha) FL7972LJ DEP07613</v>
      </c>
      <c r="M409" t="str">
        <f>IFERROR(__xludf.DUMMYFUNCTION("""COMPUTED_VALUE"""),"Ford F250 2017 (Moby Dix) - DEP0021578")</f>
        <v>Ford F250 2017 (Moby Dix) - DEP0021578</v>
      </c>
      <c r="N409" t="str">
        <f>IFERROR(__xludf.DUMMYFUNCTION("""COMPUTED_VALUE"""),"Jimmy Tomazinis, (904) 547-0094, Ruben Allen")</f>
        <v>Jimmy Tomazinis, (904) 547-0094, Ruben Allen</v>
      </c>
      <c r="O409" t="str">
        <f>IFERROR(__xludf.DUMMYFUNCTION("""COMPUTED_VALUE"""),"Suzi, Adrienne, Steve, Scott at some point")</f>
        <v>Suzi, Adrienne, Steve, Scott at some point</v>
      </c>
      <c r="P409" t="str">
        <f>IFERROR(__xludf.DUMMYFUNCTION("""COMPUTED_VALUE"""),"Jimmy")</f>
        <v>Jimmy</v>
      </c>
      <c r="Q409" t="str">
        <f>IFERROR(__xludf.DUMMYFUNCTION("""COMPUTED_VALUE"""),"All items in working order")</f>
        <v>All items in working order</v>
      </c>
      <c r="AE409" s="11"/>
      <c r="AF409" t="s">
        <v>32</v>
      </c>
      <c r="AG409" s="18"/>
      <c r="AI409" s="12" t="s">
        <v>1181</v>
      </c>
      <c r="AJ409" s="19" t="s">
        <v>1182</v>
      </c>
      <c r="AK409" s="20" t="str">
        <f>HYPERLINK("https://docs.google.com/document/d/15j64OI3l-9JOaYM-CSUcSma3Xa3KxC0IETHE3a7jyMY/edit?usp=drivesdk","Jimmy Tomazinis - 10/30/2019 9:15 AM")</f>
        <v>Jimmy Tomazinis - 10/30/2019 9:15 AM</v>
      </c>
      <c r="AL409" s="12" t="s">
        <v>1183</v>
      </c>
    </row>
    <row r="410">
      <c r="A410" s="10">
        <f>IFERROR(__xludf.DUMMYFUNCTION("""COMPUTED_VALUE"""),43768.69496842592)</f>
        <v>43768.69497</v>
      </c>
      <c r="B410" s="11" t="str">
        <f>IFERROR(__xludf.DUMMYFUNCTION("""COMPUTED_VALUE"""),"Jimmy Tomazinis")</f>
        <v>Jimmy Tomazinis</v>
      </c>
      <c r="C410" t="str">
        <f>IFERROR(__xludf.DUMMYFUNCTION("""COMPUTED_VALUE"""),"james.tomazinis@floridadep.gov")</f>
        <v>james.tomazinis@floridadep.gov</v>
      </c>
      <c r="D410" t="str">
        <f>IFERROR(__xludf.DUMMYFUNCTION("""COMPUTED_VALUE"""),"Stewardship (Aquatic)")</f>
        <v>Stewardship (Aquatic)</v>
      </c>
      <c r="E410" t="str">
        <f>IFERROR(__xludf.DUMMYFUNCTION("""COMPUTED_VALUE"""),"Bings")</f>
        <v>Bings</v>
      </c>
      <c r="F410" s="13">
        <f>IFERROR(__xludf.DUMMYFUNCTION("""COMPUTED_VALUE"""),0.4166666666678793)</f>
        <v>0.4166666667</v>
      </c>
      <c r="G410" s="14">
        <f>IFERROR(__xludf.DUMMYFUNCTION("""COMPUTED_VALUE"""),43769.0)</f>
        <v>43769</v>
      </c>
      <c r="H410" t="str">
        <f>IFERROR(__xludf.DUMMYFUNCTION("""COMPUTED_VALUE"""),"Matanzas nekton sites")</f>
        <v>Matanzas nekton sites</v>
      </c>
      <c r="I410" s="15">
        <f>IFERROR(__xludf.DUMMYFUNCTION("""COMPUTED_VALUE"""),0.5416666666678793)</f>
        <v>0.5416666667</v>
      </c>
      <c r="J410" s="16"/>
      <c r="K410" t="str">
        <f>IFERROR(__xludf.DUMMYFUNCTION("""COMPUTED_VALUE"""),"23ft Skiff (Bertha) FL7972LJ DEP07613")</f>
        <v>23ft Skiff (Bertha) FL7972LJ DEP07613</v>
      </c>
      <c r="M410" t="str">
        <f>IFERROR(__xludf.DUMMYFUNCTION("""COMPUTED_VALUE"""),"Ford F250 2017 (Moby Dix) - DEP0021578")</f>
        <v>Ford F250 2017 (Moby Dix) - DEP0021578</v>
      </c>
      <c r="N410" t="str">
        <f>IFERROR(__xludf.DUMMYFUNCTION("""COMPUTED_VALUE"""),"Jimmy Tomazinis, (904) 547-0094")</f>
        <v>Jimmy Tomazinis, (904) 547-0094</v>
      </c>
      <c r="O410" t="str">
        <f>IFERROR(__xludf.DUMMYFUNCTION("""COMPUTED_VALUE"""),"Scott, Suzi, Adrienne")</f>
        <v>Scott, Suzi, Adrienne</v>
      </c>
      <c r="P410" t="str">
        <f>IFERROR(__xludf.DUMMYFUNCTION("""COMPUTED_VALUE"""),"Jimmy")</f>
        <v>Jimmy</v>
      </c>
      <c r="Q410" t="str">
        <f>IFERROR(__xludf.DUMMYFUNCTION("""COMPUTED_VALUE"""),"All items in working order")</f>
        <v>All items in working order</v>
      </c>
      <c r="AE410" s="11"/>
      <c r="AF410" t="s">
        <v>32</v>
      </c>
      <c r="AG410" s="17" t="s">
        <v>60</v>
      </c>
      <c r="AH410" s="12">
        <v>1423.0</v>
      </c>
      <c r="AI410" s="12" t="s">
        <v>1184</v>
      </c>
      <c r="AJ410" s="19" t="s">
        <v>1185</v>
      </c>
      <c r="AK410" s="20" t="str">
        <f>HYPERLINK("https://docs.google.com/document/d/1BjOP-8VPoeoJ2NRkI-tiC7P49H282nx17wHC2CG2JIc/edit?usp=drivesdk","Jimmy Tomazinis - 10/31/2019 10:00 AM")</f>
        <v>Jimmy Tomazinis - 10/31/2019 10:00 AM</v>
      </c>
      <c r="AL410" s="12" t="s">
        <v>1186</v>
      </c>
    </row>
    <row r="411">
      <c r="A411" s="10">
        <f>IFERROR(__xludf.DUMMYFUNCTION("""COMPUTED_VALUE"""),43769.40224134259)</f>
        <v>43769.40224</v>
      </c>
      <c r="B411" s="11" t="str">
        <f>IFERROR(__xludf.DUMMYFUNCTION("""COMPUTED_VALUE"""),"Pam Marcum")</f>
        <v>Pam Marcum</v>
      </c>
      <c r="C411" t="str">
        <f>IFERROR(__xludf.DUMMYFUNCTION("""COMPUTED_VALUE"""),"pamela.marcum@floridadep.gov")</f>
        <v>pamela.marcum@floridadep.gov</v>
      </c>
      <c r="D411" t="str">
        <f>IFERROR(__xludf.DUMMYFUNCTION("""COMPUTED_VALUE"""),"Research/Nikki")</f>
        <v>Research/Nikki</v>
      </c>
      <c r="E411" t="str">
        <f>IFERROR(__xludf.DUMMYFUNCTION("""COMPUTED_VALUE"""),"Faver dykes")</f>
        <v>Faver dykes</v>
      </c>
      <c r="F411" s="13">
        <f>IFERROR(__xludf.DUMMYFUNCTION("""COMPUTED_VALUE"""),0.3958333333321207)</f>
        <v>0.3958333333</v>
      </c>
      <c r="G411" s="14">
        <f>IFERROR(__xludf.DUMMYFUNCTION("""COMPUTED_VALUE"""),43769.0)</f>
        <v>43769</v>
      </c>
      <c r="H411" t="str">
        <f>IFERROR(__xludf.DUMMYFUNCTION("""COMPUTED_VALUE"""),"Pellicer transects")</f>
        <v>Pellicer transects</v>
      </c>
      <c r="I411" s="15">
        <f>IFERROR(__xludf.DUMMYFUNCTION("""COMPUTED_VALUE"""),0.5833333333321207)</f>
        <v>0.5833333333</v>
      </c>
      <c r="J411" s="16">
        <f>IFERROR(__xludf.DUMMYFUNCTION("""COMPUTED_VALUE"""),43769.64583333333)</f>
        <v>43769.64583</v>
      </c>
      <c r="K411" t="str">
        <f>IFERROR(__xludf.DUMMYFUNCTION("""COMPUTED_VALUE"""),"F 20ft Sea Ark (Easy 200) FL8534PY DEP21451")</f>
        <v>F 20ft Sea Ark (Easy 200) FL8534PY DEP21451</v>
      </c>
      <c r="M411" t="str">
        <f>IFERROR(__xludf.DUMMYFUNCTION("""COMPUTED_VALUE"""),"Ford F150 2015 (White) - DEP21448")</f>
        <v>Ford F150 2015 (White) - DEP21448</v>
      </c>
      <c r="N411" t="str">
        <f>IFERROR(__xludf.DUMMYFUNCTION("""COMPUTED_VALUE"""),"Pam Marcum, (480) 332-5414")</f>
        <v>Pam Marcum, (480) 332-5414</v>
      </c>
      <c r="O411" t="str">
        <f>IFERROR(__xludf.DUMMYFUNCTION("""COMPUTED_VALUE"""),"Alee Knoell, (619) 750-4833, Steve Brown")</f>
        <v>Alee Knoell, (619) 750-4833, Steve Brown</v>
      </c>
      <c r="P411" t="str">
        <f>IFERROR(__xludf.DUMMYFUNCTION("""COMPUTED_VALUE"""),"Pam")</f>
        <v>Pam</v>
      </c>
      <c r="Q411" t="str">
        <f>IFERROR(__xludf.DUMMYFUNCTION("""COMPUTED_VALUE"""),"All items in working order")</f>
        <v>All items in working order</v>
      </c>
      <c r="AE411" s="11"/>
      <c r="AF411" t="s">
        <v>218</v>
      </c>
      <c r="AG411" s="17" t="s">
        <v>60</v>
      </c>
      <c r="AH411" s="12">
        <v>1320.0</v>
      </c>
      <c r="AI411" s="12" t="s">
        <v>1187</v>
      </c>
      <c r="AJ411" s="19" t="s">
        <v>1188</v>
      </c>
      <c r="AK411" s="20" t="str">
        <f>HYPERLINK("https://docs.google.com/document/d/1_d5fECny22GGiNZdf1tqjhG5JV1OTtPAjBfXMp_UcRA/edit?usp=drivesdk","Pam Marcum - 10/31/2019 9:30 AM")</f>
        <v>Pam Marcum - 10/31/2019 9:30 AM</v>
      </c>
      <c r="AL411" s="12" t="s">
        <v>1189</v>
      </c>
    </row>
    <row r="412">
      <c r="A412" s="10">
        <f>IFERROR(__xludf.DUMMYFUNCTION("""COMPUTED_VALUE"""),43770.357981747686)</f>
        <v>43770.35798</v>
      </c>
      <c r="B412" s="11" t="str">
        <f>IFERROR(__xludf.DUMMYFUNCTION("""COMPUTED_VALUE"""),"Gabriela Canas")</f>
        <v>Gabriela Canas</v>
      </c>
      <c r="C412" t="str">
        <f>IFERROR(__xludf.DUMMYFUNCTION("""COMPUTED_VALUE"""),"n00836133@unf.edu")</f>
        <v>n00836133@unf.edu</v>
      </c>
      <c r="D412" t="str">
        <f>IFERROR(__xludf.DUMMYFUNCTION("""COMPUTED_VALUE"""),"Research/Nikki")</f>
        <v>Research/Nikki</v>
      </c>
      <c r="E412" t="str">
        <f>IFERROR(__xludf.DUMMYFUNCTION("""COMPUTED_VALUE"""),"Douglas crane")</f>
        <v>Douglas crane</v>
      </c>
      <c r="F412" s="13">
        <f>IFERROR(__xludf.DUMMYFUNCTION("""COMPUTED_VALUE"""),0.375)</f>
        <v>0.375</v>
      </c>
      <c r="G412" s="14">
        <f>IFERROR(__xludf.DUMMYFUNCTION("""COMPUTED_VALUE"""),43770.0)</f>
        <v>43770</v>
      </c>
      <c r="H412" t="str">
        <f>IFERROR(__xludf.DUMMYFUNCTION("""COMPUTED_VALUE"""),"WETFEET middle site")</f>
        <v>WETFEET middle site</v>
      </c>
      <c r="I412" s="15">
        <f>IFERROR(__xludf.DUMMYFUNCTION("""COMPUTED_VALUE"""),0.625)</f>
        <v>0.625</v>
      </c>
      <c r="J412" s="16">
        <f>IFERROR(__xludf.DUMMYFUNCTION("""COMPUTED_VALUE"""),43770.66666666667)</f>
        <v>43770.66667</v>
      </c>
      <c r="K412" t="str">
        <f>IFERROR(__xludf.DUMMYFUNCTION("""COMPUTED_VALUE"""),"23ft Skiff (Bertha) FL7972LJ DEP07613")</f>
        <v>23ft Skiff (Bertha) FL7972LJ DEP07613</v>
      </c>
      <c r="M412" t="str">
        <f>IFERROR(__xludf.DUMMYFUNCTION("""COMPUTED_VALUE"""),"Ford F250 2017 (Moby Dix) - DEP0021578")</f>
        <v>Ford F250 2017 (Moby Dix) - DEP0021578</v>
      </c>
      <c r="N412" t="str">
        <f>IFERROR(__xludf.DUMMYFUNCTION("""COMPUTED_VALUE"""),"Pam Marcum, (480) 332-5414")</f>
        <v>Pam Marcum, (480) 332-5414</v>
      </c>
      <c r="O412" t="str">
        <f>IFERROR(__xludf.DUMMYFUNCTION("""COMPUTED_VALUE"""),"Gabriela Canas, (904) 891-9743")</f>
        <v>Gabriela Canas, (904) 891-9743</v>
      </c>
      <c r="P412" t="str">
        <f>IFERROR(__xludf.DUMMYFUNCTION("""COMPUTED_VALUE"""),"Pam")</f>
        <v>Pam</v>
      </c>
      <c r="Q412" t="str">
        <f>IFERROR(__xludf.DUMMYFUNCTION("""COMPUTED_VALUE"""),"All items in working order")</f>
        <v>All items in working order</v>
      </c>
      <c r="AE412" s="11"/>
      <c r="AF412" t="s">
        <v>218</v>
      </c>
      <c r="AG412" s="17" t="s">
        <v>60</v>
      </c>
      <c r="AH412" s="12">
        <v>1230.0</v>
      </c>
      <c r="AI412" s="12" t="s">
        <v>1190</v>
      </c>
      <c r="AJ412" s="19" t="s">
        <v>1191</v>
      </c>
      <c r="AK412" s="20" t="str">
        <f>HYPERLINK("https://docs.google.com/document/d/1prWMueONgldddFzfRPQ9ygSaRH4jgTMVx9qL2sHIQOE/edit?usp=drivesdk","Gabriela Canas - 11/1/2019 9:00 AM")</f>
        <v>Gabriela Canas - 11/1/2019 9:00 AM</v>
      </c>
      <c r="AL412" s="12" t="s">
        <v>1192</v>
      </c>
    </row>
    <row r="413">
      <c r="A413" s="10">
        <f>IFERROR(__xludf.DUMMYFUNCTION("""COMPUTED_VALUE"""),43772.294793506946)</f>
        <v>43772.29479</v>
      </c>
      <c r="B413" s="11" t="str">
        <f>IFERROR(__xludf.DUMMYFUNCTION("""COMPUTED_VALUE"""),"Ruben Allen")</f>
        <v>Ruben Allen</v>
      </c>
      <c r="C413" t="str">
        <f>IFERROR(__xludf.DUMMYFUNCTION("""COMPUTED_VALUE"""),"rubeall57@gmail.com")</f>
        <v>rubeall57@gmail.com</v>
      </c>
      <c r="D413" t="str">
        <f>IFERROR(__xludf.DUMMYFUNCTION("""COMPUTED_VALUE"""),"Administration")</f>
        <v>Administration</v>
      </c>
      <c r="E413" t="str">
        <f>IFERROR(__xludf.DUMMYFUNCTION("""COMPUTED_VALUE"""),"Vilano")</f>
        <v>Vilano</v>
      </c>
      <c r="F413" s="13">
        <f>IFERROR(__xludf.DUMMYFUNCTION("""COMPUTED_VALUE"""),0.3125)</f>
        <v>0.3125</v>
      </c>
      <c r="G413" s="14">
        <f>IFERROR(__xludf.DUMMYFUNCTION("""COMPUTED_VALUE"""),43773.0)</f>
        <v>43773</v>
      </c>
      <c r="H413" t="str">
        <f>IFERROR(__xludf.DUMMYFUNCTION("""COMPUTED_VALUE"""),"Spat Run")</f>
        <v>Spat Run</v>
      </c>
      <c r="I413" s="15">
        <f>IFERROR(__xludf.DUMMYFUNCTION("""COMPUTED_VALUE"""),0.625)</f>
        <v>0.625</v>
      </c>
      <c r="J413" s="16">
        <f>IFERROR(__xludf.DUMMYFUNCTION("""COMPUTED_VALUE"""),43773.64583333333)</f>
        <v>43773.64583</v>
      </c>
      <c r="K413" t="str">
        <f>IFERROR(__xludf.DUMMYFUNCTION("""COMPUTED_VALUE"""),"F 20ft Sea Ark (Easy 200) FL8534PY DEP21451")</f>
        <v>F 20ft Sea Ark (Easy 200) FL8534PY DEP21451</v>
      </c>
      <c r="M413" t="str">
        <f>IFERROR(__xludf.DUMMYFUNCTION("""COMPUTED_VALUE"""),"Ford F150 2015 (White) - DEP21448")</f>
        <v>Ford F150 2015 (White) - DEP21448</v>
      </c>
      <c r="N413" t="str">
        <f>IFERROR(__xludf.DUMMYFUNCTION("""COMPUTED_VALUE"""),"Ruben Allen")</f>
        <v>Ruben Allen</v>
      </c>
      <c r="O413" t="str">
        <f>IFERROR(__xludf.DUMMYFUNCTION("""COMPUTED_VALUE"""),"Alee Knoell, (619) 750-4833")</f>
        <v>Alee Knoell, (619) 750-4833</v>
      </c>
      <c r="P413" t="str">
        <f>IFERROR(__xludf.DUMMYFUNCTION("""COMPUTED_VALUE"""),"Ruben Allen")</f>
        <v>Ruben Allen</v>
      </c>
      <c r="Q413" t="str">
        <f>IFERROR(__xludf.DUMMYFUNCTION("""COMPUTED_VALUE"""),"All items in working order")</f>
        <v>All items in working order</v>
      </c>
      <c r="AD413" t="str">
        <f>IFERROR(__xludf.DUMMYFUNCTION("""COMPUTED_VALUE"""),"Partly to mostly cloudy")</f>
        <v>Partly to mostly cloudy</v>
      </c>
      <c r="AE413" s="11" t="str">
        <f>IFERROR(__xludf.DUMMYFUNCTION("""COMPUTED_VALUE"""),"Tides good")</f>
        <v>Tides good</v>
      </c>
      <c r="AF413" t="s">
        <v>668</v>
      </c>
      <c r="AG413" s="18"/>
      <c r="AI413" s="12" t="s">
        <v>1193</v>
      </c>
      <c r="AJ413" s="19" t="s">
        <v>1194</v>
      </c>
      <c r="AK413" s="20" t="str">
        <f>HYPERLINK("https://docs.google.com/document/d/15IRTJxlG3VjfsXhPDtxtYTDiALUXkRoyVsHI6xd9aOE/edit?usp=drivesdk","Ruben Allen - 11/4/2019 7:30 AM")</f>
        <v>Ruben Allen - 11/4/2019 7:30 AM</v>
      </c>
      <c r="AL413" s="12" t="s">
        <v>1195</v>
      </c>
    </row>
    <row r="414">
      <c r="A414" s="10">
        <f>IFERROR(__xludf.DUMMYFUNCTION("""COMPUTED_VALUE"""),43773.30928537038)</f>
        <v>43773.30929</v>
      </c>
      <c r="B414" s="11" t="str">
        <f>IFERROR(__xludf.DUMMYFUNCTION("""COMPUTED_VALUE"""),"Pam Marcum")</f>
        <v>Pam Marcum</v>
      </c>
      <c r="C414" t="str">
        <f>IFERROR(__xludf.DUMMYFUNCTION("""COMPUTED_VALUE"""),"pamela.marcum@floridadep.gov")</f>
        <v>pamela.marcum@floridadep.gov</v>
      </c>
      <c r="D414" t="str">
        <f>IFERROR(__xludf.DUMMYFUNCTION("""COMPUTED_VALUE"""),"Administration")</f>
        <v>Administration</v>
      </c>
      <c r="E414" t="str">
        <f>IFERROR(__xludf.DUMMYFUNCTION("""COMPUTED_VALUE"""),"Aunt Kate's")</f>
        <v>Aunt Kate's</v>
      </c>
      <c r="F414" s="13">
        <f>IFERROR(__xludf.DUMMYFUNCTION("""COMPUTED_VALUE"""),0.3055555555547471)</f>
        <v>0.3055555556</v>
      </c>
      <c r="G414" s="14">
        <f>IFERROR(__xludf.DUMMYFUNCTION("""COMPUTED_VALUE"""),43773.0)</f>
        <v>43773</v>
      </c>
      <c r="H414" t="str">
        <f>IFERROR(__xludf.DUMMYFUNCTION("""COMPUTED_VALUE"""),"Tolomato and Guana Rivers")</f>
        <v>Tolomato and Guana Rivers</v>
      </c>
      <c r="I414" s="15">
        <f>IFERROR(__xludf.DUMMYFUNCTION("""COMPUTED_VALUE"""),0.5833333333321207)</f>
        <v>0.5833333333</v>
      </c>
      <c r="J414" s="16">
        <f>IFERROR(__xludf.DUMMYFUNCTION("""COMPUTED_VALUE"""),43773.60416666667)</f>
        <v>43773.60417</v>
      </c>
      <c r="K414" t="str">
        <f>IFERROR(__xludf.DUMMYFUNCTION("""COMPUTED_VALUE"""),"23ft Skiff (Bertha) FL7972LJ DEP07613")</f>
        <v>23ft Skiff (Bertha) FL7972LJ DEP07613</v>
      </c>
      <c r="M414" t="str">
        <f>IFERROR(__xludf.DUMMYFUNCTION("""COMPUTED_VALUE"""),"Ford F250 2017 (Moby Dix) - DEP0021578")</f>
        <v>Ford F250 2017 (Moby Dix) - DEP0021578</v>
      </c>
      <c r="N414" t="str">
        <f>IFERROR(__xludf.DUMMYFUNCTION("""COMPUTED_VALUE"""),"Pam Marcum, (480) 332-5414")</f>
        <v>Pam Marcum, (480) 332-5414</v>
      </c>
      <c r="O414" t="str">
        <f>IFERROR(__xludf.DUMMYFUNCTION("""COMPUTED_VALUE"""),"Adrienne Breef-Pilz")</f>
        <v>Adrienne Breef-Pilz</v>
      </c>
      <c r="P414" t="str">
        <f>IFERROR(__xludf.DUMMYFUNCTION("""COMPUTED_VALUE"""),"Pam")</f>
        <v>Pam</v>
      </c>
      <c r="Q414" t="str">
        <f>IFERROR(__xludf.DUMMYFUNCTION("""COMPUTED_VALUE"""),"All items in working order")</f>
        <v>All items in working order</v>
      </c>
      <c r="AE414" s="11"/>
      <c r="AF414" t="s">
        <v>668</v>
      </c>
      <c r="AG414" s="17" t="s">
        <v>18</v>
      </c>
      <c r="AH414" s="12">
        <v>1135.0</v>
      </c>
      <c r="AI414" s="12" t="s">
        <v>1196</v>
      </c>
      <c r="AJ414" s="19" t="s">
        <v>1197</v>
      </c>
      <c r="AK414" s="20" t="str">
        <f>HYPERLINK("https://docs.google.com/document/d/1M7xpibvSmVbgcBf-KshDdhZJdbWlKw_O9smFLdfK_xY/edit?usp=drivesdk","Pam Marcum - 11/4/2019 7:20 AM")</f>
        <v>Pam Marcum - 11/4/2019 7:20 AM</v>
      </c>
      <c r="AL414" s="12" t="s">
        <v>1198</v>
      </c>
    </row>
    <row r="415">
      <c r="A415" s="10">
        <f>IFERROR(__xludf.DUMMYFUNCTION("""COMPUTED_VALUE"""),43773.7043937037)</f>
        <v>43773.70439</v>
      </c>
      <c r="B415" s="11" t="str">
        <f>IFERROR(__xludf.DUMMYFUNCTION("""COMPUTED_VALUE"""),"Jimmy Tomazinis")</f>
        <v>Jimmy Tomazinis</v>
      </c>
      <c r="C415" t="str">
        <f>IFERROR(__xludf.DUMMYFUNCTION("""COMPUTED_VALUE"""),"james.tomazinis@floridadep.gov")</f>
        <v>james.tomazinis@floridadep.gov</v>
      </c>
      <c r="D415" t="str">
        <f>IFERROR(__xludf.DUMMYFUNCTION("""COMPUTED_VALUE"""),"Stewardship (Aquatic)")</f>
        <v>Stewardship (Aquatic)</v>
      </c>
      <c r="E415" t="str">
        <f>IFERROR(__xludf.DUMMYFUNCTION("""COMPUTED_VALUE"""),"Vilano")</f>
        <v>Vilano</v>
      </c>
      <c r="F415" s="13">
        <f>IFERROR(__xludf.DUMMYFUNCTION("""COMPUTED_VALUE"""),0.3854166666678793)</f>
        <v>0.3854166667</v>
      </c>
      <c r="G415" s="14">
        <f>IFERROR(__xludf.DUMMYFUNCTION("""COMPUTED_VALUE"""),43774.0)</f>
        <v>43774</v>
      </c>
      <c r="H415" t="str">
        <f>IFERROR(__xludf.DUMMYFUNCTION("""COMPUTED_VALUE"""),"Tolomato Nekton")</f>
        <v>Tolomato Nekton</v>
      </c>
      <c r="I415" s="15">
        <f>IFERROR(__xludf.DUMMYFUNCTION("""COMPUTED_VALUE"""),0.6666666666678793)</f>
        <v>0.6666666667</v>
      </c>
      <c r="J415" s="16"/>
      <c r="K415" t="str">
        <f>IFERROR(__xludf.DUMMYFUNCTION("""COMPUTED_VALUE"""),"23ft Skiff (Bertha) FL7972LJ DEP07613")</f>
        <v>23ft Skiff (Bertha) FL7972LJ DEP07613</v>
      </c>
      <c r="M415" t="str">
        <f>IFERROR(__xludf.DUMMYFUNCTION("""COMPUTED_VALUE"""),"Ford F150 2015 (White) - DEP21448")</f>
        <v>Ford F150 2015 (White) - DEP21448</v>
      </c>
      <c r="N415" t="str">
        <f>IFERROR(__xludf.DUMMYFUNCTION("""COMPUTED_VALUE"""),"Jimmy Tomazinis, (904) 547-0094")</f>
        <v>Jimmy Tomazinis, (904) 547-0094</v>
      </c>
      <c r="O415" t="str">
        <f>IFERROR(__xludf.DUMMYFUNCTION("""COMPUTED_VALUE"""),"Suzi, Carl, Jeff, Pam")</f>
        <v>Suzi, Carl, Jeff, Pam</v>
      </c>
      <c r="P415" t="str">
        <f>IFERROR(__xludf.DUMMYFUNCTION("""COMPUTED_VALUE"""),"Jimmy")</f>
        <v>Jimmy</v>
      </c>
      <c r="Q415" t="str">
        <f>IFERROR(__xludf.DUMMYFUNCTION("""COMPUTED_VALUE"""),"All items in working order")</f>
        <v>All items in working order</v>
      </c>
      <c r="AE415" s="11"/>
      <c r="AF415" t="s">
        <v>32</v>
      </c>
      <c r="AG415" s="17" t="s">
        <v>18</v>
      </c>
      <c r="AH415" s="12">
        <v>1616.0</v>
      </c>
      <c r="AI415" s="12" t="s">
        <v>1199</v>
      </c>
      <c r="AJ415" s="19" t="s">
        <v>1200</v>
      </c>
      <c r="AK415" s="20" t="str">
        <f>HYPERLINK("https://docs.google.com/document/d/1CRc4j6HLo0xqlKMTTNdvh8YrHb0mUQt_MH11cR4wB04/edit?usp=drivesdk","Jimmy Tomazinis - 11/5/2019 9:15 AM")</f>
        <v>Jimmy Tomazinis - 11/5/2019 9:15 AM</v>
      </c>
      <c r="AL415" s="12" t="s">
        <v>1201</v>
      </c>
    </row>
    <row r="416">
      <c r="A416" s="10">
        <f>IFERROR(__xludf.DUMMYFUNCTION("""COMPUTED_VALUE"""),43774.34510162037)</f>
        <v>43774.3451</v>
      </c>
      <c r="B416" s="11" t="str">
        <f>IFERROR(__xludf.DUMMYFUNCTION("""COMPUTED_VALUE"""),"Pam Marcum")</f>
        <v>Pam Marcum</v>
      </c>
      <c r="C416" t="str">
        <f>IFERROR(__xludf.DUMMYFUNCTION("""COMPUTED_VALUE"""),"Pamela.Marcum@FloridaDEP.gov")</f>
        <v>Pamela.Marcum@FloridaDEP.gov</v>
      </c>
      <c r="D416" t="str">
        <f>IFERROR(__xludf.DUMMYFUNCTION("""COMPUTED_VALUE"""),"Administration")</f>
        <v>Administration</v>
      </c>
      <c r="E416" t="str">
        <f>IFERROR(__xludf.DUMMYFUNCTION("""COMPUTED_VALUE"""),"Shore Drive")</f>
        <v>Shore Drive</v>
      </c>
      <c r="F416" s="13">
        <f>IFERROR(__xludf.DUMMYFUNCTION("""COMPUTED_VALUE"""),0.375)</f>
        <v>0.375</v>
      </c>
      <c r="G416" s="14">
        <f>IFERROR(__xludf.DUMMYFUNCTION("""COMPUTED_VALUE"""),43774.0)</f>
        <v>43774</v>
      </c>
      <c r="H416" t="str">
        <f>IFERROR(__xludf.DUMMYFUNCTION("""COMPUTED_VALUE"""),"312 Bridge")</f>
        <v>312 Bridge</v>
      </c>
      <c r="I416" s="15">
        <f>IFERROR(__xludf.DUMMYFUNCTION("""COMPUTED_VALUE"""),0.3958333333321207)</f>
        <v>0.3958333333</v>
      </c>
      <c r="J416" s="16">
        <f>IFERROR(__xludf.DUMMYFUNCTION("""COMPUTED_VALUE"""),43774.41666666667)</f>
        <v>43774.41667</v>
      </c>
      <c r="K416" t="str">
        <f>IFERROR(__xludf.DUMMYFUNCTION("""COMPUTED_VALUE"""),"Jon Boat FL FL5992RR DEP21634")</f>
        <v>Jon Boat FL FL5992RR DEP21634</v>
      </c>
      <c r="M416" t="str">
        <f>IFERROR(__xludf.DUMMYFUNCTION("""COMPUTED_VALUE"""),"Ford F150 2008 (SWMP Thing) - DEP18041")</f>
        <v>Ford F150 2008 (SWMP Thing) - DEP18041</v>
      </c>
      <c r="N416" t="str">
        <f>IFERROR(__xludf.DUMMYFUNCTION("""COMPUTED_VALUE"""),"Pam Marcum, (480) 332-5414")</f>
        <v>Pam Marcum, (480) 332-5414</v>
      </c>
      <c r="O416" t="str">
        <f>IFERROR(__xludf.DUMMYFUNCTION("""COMPUTED_VALUE"""),"Alee Knoell, (619) 750-4833")</f>
        <v>Alee Knoell, (619) 750-4833</v>
      </c>
      <c r="P416" t="str">
        <f>IFERROR(__xludf.DUMMYFUNCTION("""COMPUTED_VALUE"""),"Pam")</f>
        <v>Pam</v>
      </c>
      <c r="Q416" t="str">
        <f>IFERROR(__xludf.DUMMYFUNCTION("""COMPUTED_VALUE"""),"All items in working order")</f>
        <v>All items in working order</v>
      </c>
      <c r="AE416" s="11"/>
      <c r="AF416" t="s">
        <v>668</v>
      </c>
      <c r="AG416" s="17" t="s">
        <v>18</v>
      </c>
      <c r="AH416" s="12">
        <v>955.0</v>
      </c>
      <c r="AI416" s="12" t="s">
        <v>1202</v>
      </c>
      <c r="AJ416" s="19" t="s">
        <v>1203</v>
      </c>
      <c r="AK416" s="20" t="str">
        <f>HYPERLINK("https://docs.google.com/document/d/18_-rvKQZAj4zj-xu5XIOunNjjc1B25_eNVm9KFoW9Dk/edit?usp=drivesdk","Pam Marcum - 11/5/2019 9:00 AM")</f>
        <v>Pam Marcum - 11/5/2019 9:00 AM</v>
      </c>
      <c r="AL416" s="12" t="s">
        <v>1204</v>
      </c>
    </row>
    <row r="417">
      <c r="A417" s="10">
        <f>IFERROR(__xludf.DUMMYFUNCTION("""COMPUTED_VALUE"""),43775.39863881944)</f>
        <v>43775.39864</v>
      </c>
      <c r="B417" s="11" t="str">
        <f>IFERROR(__xludf.DUMMYFUNCTION("""COMPUTED_VALUE"""),"Jimmy Tomazinis")</f>
        <v>Jimmy Tomazinis</v>
      </c>
      <c r="C417" t="str">
        <f>IFERROR(__xludf.DUMMYFUNCTION("""COMPUTED_VALUE"""),"james.tomazinis@floridadep.gov")</f>
        <v>james.tomazinis@floridadep.gov</v>
      </c>
      <c r="D417" t="str">
        <f>IFERROR(__xludf.DUMMYFUNCTION("""COMPUTED_VALUE"""),"Stewardship (Aquatic)")</f>
        <v>Stewardship (Aquatic)</v>
      </c>
      <c r="E417" t="str">
        <f>IFERROR(__xludf.DUMMYFUNCTION("""COMPUTED_VALUE"""),"Vilano")</f>
        <v>Vilano</v>
      </c>
      <c r="F417" s="13">
        <f>IFERROR(__xludf.DUMMYFUNCTION("""COMPUTED_VALUE"""),0.3958333333321207)</f>
        <v>0.3958333333</v>
      </c>
      <c r="G417" s="14">
        <f>IFERROR(__xludf.DUMMYFUNCTION("""COMPUTED_VALUE"""),43775.0)</f>
        <v>43775</v>
      </c>
      <c r="H417" t="str">
        <f>IFERROR(__xludf.DUMMYFUNCTION("""COMPUTED_VALUE"""),"Nekton sites")</f>
        <v>Nekton sites</v>
      </c>
      <c r="I417" s="15">
        <f>IFERROR(__xludf.DUMMYFUNCTION("""COMPUTED_VALUE"""),0.6666666666678793)</f>
        <v>0.6666666667</v>
      </c>
      <c r="J417" s="16"/>
      <c r="K417" t="str">
        <f>IFERROR(__xludf.DUMMYFUNCTION("""COMPUTED_VALUE"""),"23ft Skiff (Bertha) FL7972LJ DEP07613")</f>
        <v>23ft Skiff (Bertha) FL7972LJ DEP07613</v>
      </c>
      <c r="M417" t="str">
        <f>IFERROR(__xludf.DUMMYFUNCTION("""COMPUTED_VALUE"""),"Ford F150 2015 (White) - DEP21448")</f>
        <v>Ford F150 2015 (White) - DEP21448</v>
      </c>
      <c r="N417" t="str">
        <f>IFERROR(__xludf.DUMMYFUNCTION("""COMPUTED_VALUE"""),"Jimmy Tomazinis, (904) 547-0094")</f>
        <v>Jimmy Tomazinis, (904) 547-0094</v>
      </c>
      <c r="O417" t="str">
        <f>IFERROR(__xludf.DUMMYFUNCTION("""COMPUTED_VALUE"""),"Suzi, Guenter, Alex, Jeff")</f>
        <v>Suzi, Guenter, Alex, Jeff</v>
      </c>
      <c r="P417" t="str">
        <f>IFERROR(__xludf.DUMMYFUNCTION("""COMPUTED_VALUE"""),"Jimmy")</f>
        <v>Jimmy</v>
      </c>
      <c r="Q417" t="str">
        <f>IFERROR(__xludf.DUMMYFUNCTION("""COMPUTED_VALUE"""),"All items in working order")</f>
        <v>All items in working order</v>
      </c>
      <c r="AE417" s="11"/>
      <c r="AF417" t="s">
        <v>32</v>
      </c>
      <c r="AG417" s="17" t="s">
        <v>18</v>
      </c>
      <c r="AH417" s="12">
        <v>1600.0</v>
      </c>
      <c r="AI417" s="12" t="s">
        <v>1205</v>
      </c>
      <c r="AJ417" s="19" t="s">
        <v>1206</v>
      </c>
      <c r="AK417" s="20" t="str">
        <f>HYPERLINK("https://docs.google.com/document/d/1hRHCgSxbnv7hu6DeHUy5JI5pBcEgXO0l_jaGUl_e9dU/edit?usp=drivesdk","Jimmy Tomazinis - 11/6/2019 9:30 AM")</f>
        <v>Jimmy Tomazinis - 11/6/2019 9:30 AM</v>
      </c>
      <c r="AL417" s="12" t="s">
        <v>1207</v>
      </c>
    </row>
    <row r="418">
      <c r="A418" s="10">
        <f>IFERROR(__xludf.DUMMYFUNCTION("""COMPUTED_VALUE"""),43776.35515723379)</f>
        <v>43776.35516</v>
      </c>
      <c r="B418" s="11" t="str">
        <f>IFERROR(__xludf.DUMMYFUNCTION("""COMPUTED_VALUE"""),"Jimmy Tomazinis")</f>
        <v>Jimmy Tomazinis</v>
      </c>
      <c r="C418" t="str">
        <f>IFERROR(__xludf.DUMMYFUNCTION("""COMPUTED_VALUE"""),"james.tomazinis@floridadep.gov")</f>
        <v>james.tomazinis@floridadep.gov</v>
      </c>
      <c r="D418" t="str">
        <f>IFERROR(__xludf.DUMMYFUNCTION("""COMPUTED_VALUE"""),"Stewardship (Aquatic)")</f>
        <v>Stewardship (Aquatic)</v>
      </c>
      <c r="E418" t="str">
        <f>IFERROR(__xludf.DUMMYFUNCTION("""COMPUTED_VALUE"""),"Bings")</f>
        <v>Bings</v>
      </c>
      <c r="F418" s="13">
        <f>IFERROR(__xludf.DUMMYFUNCTION("""COMPUTED_VALUE"""),0.4270833333321207)</f>
        <v>0.4270833333</v>
      </c>
      <c r="G418" s="14">
        <f>IFERROR(__xludf.DUMMYFUNCTION("""COMPUTED_VALUE"""),43776.0)</f>
        <v>43776</v>
      </c>
      <c r="H418" t="str">
        <f>IFERROR(__xludf.DUMMYFUNCTION("""COMPUTED_VALUE"""),"Matanzas nekton")</f>
        <v>Matanzas nekton</v>
      </c>
      <c r="I418" s="15">
        <f>IFERROR(__xludf.DUMMYFUNCTION("""COMPUTED_VALUE"""),0.625)</f>
        <v>0.625</v>
      </c>
      <c r="J418" s="16"/>
      <c r="K418" t="str">
        <f>IFERROR(__xludf.DUMMYFUNCTION("""COMPUTED_VALUE"""),"23ft Skiff (Bertha) FL7972LJ DEP07613")</f>
        <v>23ft Skiff (Bertha) FL7972LJ DEP07613</v>
      </c>
      <c r="M418" t="str">
        <f>IFERROR(__xludf.DUMMYFUNCTION("""COMPUTED_VALUE"""),"Ford F150 2015 (White) - DEP21448")</f>
        <v>Ford F150 2015 (White) - DEP21448</v>
      </c>
      <c r="N418" t="str">
        <f>IFERROR(__xludf.DUMMYFUNCTION("""COMPUTED_VALUE"""),"Pam Marcum, (480) 332-5414, Jimmy Tomazinis, (904) 547-0094")</f>
        <v>Pam Marcum, (480) 332-5414, Jimmy Tomazinis, (904) 547-0094</v>
      </c>
      <c r="O418" t="str">
        <f>IFERROR(__xludf.DUMMYFUNCTION("""COMPUTED_VALUE"""),"Suzi, Alicia, Jackie, Diane, Alex")</f>
        <v>Suzi, Alicia, Jackie, Diane, Alex</v>
      </c>
      <c r="P418" t="str">
        <f>IFERROR(__xludf.DUMMYFUNCTION("""COMPUTED_VALUE"""),"Jimmy")</f>
        <v>Jimmy</v>
      </c>
      <c r="Q418" t="str">
        <f>IFERROR(__xludf.DUMMYFUNCTION("""COMPUTED_VALUE"""),"All items in working order")</f>
        <v>All items in working order</v>
      </c>
      <c r="AE418" s="11"/>
      <c r="AF418" t="s">
        <v>32</v>
      </c>
      <c r="AG418" s="17" t="s">
        <v>128</v>
      </c>
      <c r="AH418" s="12">
        <v>1535.0</v>
      </c>
      <c r="AI418" s="12" t="s">
        <v>1208</v>
      </c>
      <c r="AJ418" s="19" t="s">
        <v>1209</v>
      </c>
      <c r="AK418" s="20" t="str">
        <f>HYPERLINK("https://docs.google.com/document/d/1Sf_4ILjN5K-5V3F6cTF8vBnLuPZyBmGl95mM0XiRX78/edit?usp=drivesdk","Jimmy Tomazinis - 11/7/2019 10:15 AM")</f>
        <v>Jimmy Tomazinis - 11/7/2019 10:15 AM</v>
      </c>
      <c r="AL418" s="12" t="s">
        <v>1210</v>
      </c>
    </row>
    <row r="419">
      <c r="A419" s="10">
        <f>IFERROR(__xludf.DUMMYFUNCTION("""COMPUTED_VALUE"""),43781.307208680555)</f>
        <v>43781.30721</v>
      </c>
      <c r="B419" s="11" t="str">
        <f>IFERROR(__xludf.DUMMYFUNCTION("""COMPUTED_VALUE"""),"Silas Tanner")</f>
        <v>Silas Tanner</v>
      </c>
      <c r="C419" t="str">
        <f>IFERROR(__xludf.DUMMYFUNCTION("""COMPUTED_VALUE"""),"silas.tanner@floridadep.gov")</f>
        <v>silas.tanner@floridadep.gov</v>
      </c>
      <c r="D419" t="str">
        <f>IFERROR(__xludf.DUMMYFUNCTION("""COMPUTED_VALUE"""),"Research/Nikki")</f>
        <v>Research/Nikki</v>
      </c>
      <c r="E419" t="str">
        <f>IFERROR(__xludf.DUMMYFUNCTION("""COMPUTED_VALUE"""),"Vilano Landing")</f>
        <v>Vilano Landing</v>
      </c>
      <c r="F419" s="13">
        <f>IFERROR(__xludf.DUMMYFUNCTION("""COMPUTED_VALUE"""),0.34375)</f>
        <v>0.34375</v>
      </c>
      <c r="G419" s="14">
        <f>IFERROR(__xludf.DUMMYFUNCTION("""COMPUTED_VALUE"""),43781.0)</f>
        <v>43781</v>
      </c>
      <c r="H419" t="str">
        <f>IFERROR(__xludf.DUMMYFUNCTION("""COMPUTED_VALUE"""),"ICW SWMP sites")</f>
        <v>ICW SWMP sites</v>
      </c>
      <c r="I419" s="15">
        <f>IFERROR(__xludf.DUMMYFUNCTION("""COMPUTED_VALUE"""),0.5625)</f>
        <v>0.5625</v>
      </c>
      <c r="J419" s="16">
        <f>IFERROR(__xludf.DUMMYFUNCTION("""COMPUTED_VALUE"""),43781.58333333333)</f>
        <v>43781.58333</v>
      </c>
      <c r="K419" t="str">
        <f>IFERROR(__xludf.DUMMYFUNCTION("""COMPUTED_VALUE"""),"23ft Skiff (Bertha) FL7972LJ DEP07613")</f>
        <v>23ft Skiff (Bertha) FL7972LJ DEP07613</v>
      </c>
      <c r="M419" t="str">
        <f>IFERROR(__xludf.DUMMYFUNCTION("""COMPUTED_VALUE"""),"Ford F150 2015 (White) - DEP21448")</f>
        <v>Ford F150 2015 (White) - DEP21448</v>
      </c>
      <c r="N419" t="str">
        <f>IFERROR(__xludf.DUMMYFUNCTION("""COMPUTED_VALUE"""),"Silas Tanner, (904) 483-8423")</f>
        <v>Silas Tanner, (904) 483-8423</v>
      </c>
      <c r="O419" t="str">
        <f>IFERROR(__xludf.DUMMYFUNCTION("""COMPUTED_VALUE"""),"Alee Knoell, (619) 750-4833, Jeff Finnan")</f>
        <v>Alee Knoell, (619) 750-4833, Jeff Finnan</v>
      </c>
      <c r="P419" t="str">
        <f>IFERROR(__xludf.DUMMYFUNCTION("""COMPUTED_VALUE"""),"Silas Tanner")</f>
        <v>Silas Tanner</v>
      </c>
      <c r="Q419" t="str">
        <f>IFERROR(__xludf.DUMMYFUNCTION("""COMPUTED_VALUE"""),"All items in working order")</f>
        <v>All items in working order</v>
      </c>
      <c r="AE419" s="11"/>
      <c r="AF419" t="s">
        <v>218</v>
      </c>
      <c r="AG419" s="17" t="s">
        <v>18</v>
      </c>
      <c r="AH419" s="12">
        <v>1305.0</v>
      </c>
      <c r="AI419" s="12" t="s">
        <v>1211</v>
      </c>
      <c r="AJ419" s="19" t="s">
        <v>1212</v>
      </c>
      <c r="AK419" s="20" t="str">
        <f>HYPERLINK("https://docs.google.com/document/d/1TTDgJwN76xiXWyDlFbbKJxZHE_M1_FnRC9jx-Hp0QS4/edit?usp=drivesdk","Silas Tanner - 11/12/2019 8:15 AM")</f>
        <v>Silas Tanner - 11/12/2019 8:15 AM</v>
      </c>
      <c r="AL419" s="12" t="s">
        <v>1213</v>
      </c>
    </row>
    <row r="420">
      <c r="A420" s="10">
        <f>IFERROR(__xludf.DUMMYFUNCTION("""COMPUTED_VALUE"""),43781.3447200463)</f>
        <v>43781.34472</v>
      </c>
      <c r="B420" s="11" t="str">
        <f>IFERROR(__xludf.DUMMYFUNCTION("""COMPUTED_VALUE"""),"Jimmy Tomazinis")</f>
        <v>Jimmy Tomazinis</v>
      </c>
      <c r="C420" t="str">
        <f>IFERROR(__xludf.DUMMYFUNCTION("""COMPUTED_VALUE"""),"james.tomazinis@floridadep.gov")</f>
        <v>james.tomazinis@floridadep.gov</v>
      </c>
      <c r="D420" t="str">
        <f>IFERROR(__xludf.DUMMYFUNCTION("""COMPUTED_VALUE"""),"Stewardship (Aquatic)")</f>
        <v>Stewardship (Aquatic)</v>
      </c>
      <c r="E420" t="str">
        <f>IFERROR(__xludf.DUMMYFUNCTION("""COMPUTED_VALUE"""),"Dam")</f>
        <v>Dam</v>
      </c>
      <c r="F420" s="13">
        <f>IFERROR(__xludf.DUMMYFUNCTION("""COMPUTED_VALUE"""),0.3645833333321207)</f>
        <v>0.3645833333</v>
      </c>
      <c r="G420" s="14">
        <f>IFERROR(__xludf.DUMMYFUNCTION("""COMPUTED_VALUE"""),43781.0)</f>
        <v>43781</v>
      </c>
      <c r="H420" t="str">
        <f>IFERROR(__xludf.DUMMYFUNCTION("""COMPUTED_VALUE"""),"Guana WQ sites")</f>
        <v>Guana WQ sites</v>
      </c>
      <c r="I420" s="15">
        <f>IFERROR(__xludf.DUMMYFUNCTION("""COMPUTED_VALUE"""),0.4375)</f>
        <v>0.4375</v>
      </c>
      <c r="J420" s="16"/>
      <c r="K420" t="str">
        <f>IFERROR(__xludf.DUMMYFUNCTION("""COMPUTED_VALUE"""),"Jon Boat FL0484NP DEP06819")</f>
        <v>Jon Boat FL0484NP DEP06819</v>
      </c>
      <c r="M420" t="str">
        <f>IFERROR(__xludf.DUMMYFUNCTION("""COMPUTED_VALUE"""),"TBD")</f>
        <v>TBD</v>
      </c>
      <c r="N420" t="str">
        <f>IFERROR(__xludf.DUMMYFUNCTION("""COMPUTED_VALUE"""),"Jimmy Tomazinis, (904) 547-0094")</f>
        <v>Jimmy Tomazinis, (904) 547-0094</v>
      </c>
      <c r="O420" t="str">
        <f>IFERROR(__xludf.DUMMYFUNCTION("""COMPUTED_VALUE"""),"Jessica Lee")</f>
        <v>Jessica Lee</v>
      </c>
      <c r="P420" t="str">
        <f>IFERROR(__xludf.DUMMYFUNCTION("""COMPUTED_VALUE"""),"Jimmy")</f>
        <v>Jimmy</v>
      </c>
      <c r="Q420" t="str">
        <f>IFERROR(__xludf.DUMMYFUNCTION("""COMPUTED_VALUE"""),"All items in working order")</f>
        <v>All items in working order</v>
      </c>
      <c r="AE420" s="11"/>
      <c r="AF420" t="s">
        <v>32</v>
      </c>
      <c r="AG420" s="17" t="s">
        <v>18</v>
      </c>
      <c r="AH420" s="12">
        <v>1030.0</v>
      </c>
      <c r="AI420" s="12" t="s">
        <v>1214</v>
      </c>
      <c r="AJ420" s="19" t="s">
        <v>1215</v>
      </c>
      <c r="AK420" s="20" t="str">
        <f>HYPERLINK("https://docs.google.com/document/d/1osvIdgKYUEM3b9J7rEXHR3TOqEWzRRqJwFNEr4ZGZwk/edit?usp=drivesdk","Jimmy Tomazinis - 11/12/2019 8:45 AM")</f>
        <v>Jimmy Tomazinis - 11/12/2019 8:45 AM</v>
      </c>
      <c r="AL420" s="12" t="s">
        <v>1216</v>
      </c>
    </row>
    <row r="421">
      <c r="A421" s="10">
        <f>IFERROR(__xludf.DUMMYFUNCTION("""COMPUTED_VALUE"""),43781.7121816088)</f>
        <v>43781.71218</v>
      </c>
      <c r="B421" s="11" t="str">
        <f>IFERROR(__xludf.DUMMYFUNCTION("""COMPUTED_VALUE"""),"Jimmy Tomazinis")</f>
        <v>Jimmy Tomazinis</v>
      </c>
      <c r="C421" t="str">
        <f>IFERROR(__xludf.DUMMYFUNCTION("""COMPUTED_VALUE"""),"james.tomazinis@floridadep.gov")</f>
        <v>james.tomazinis@floridadep.gov</v>
      </c>
      <c r="D421" t="str">
        <f>IFERROR(__xludf.DUMMYFUNCTION("""COMPUTED_VALUE"""),"Stewardship (Aquatic)")</f>
        <v>Stewardship (Aquatic)</v>
      </c>
      <c r="E421" t="str">
        <f>IFERROR(__xludf.DUMMYFUNCTION("""COMPUTED_VALUE"""),"Dee Dee Bartels and Nassauville")</f>
        <v>Dee Dee Bartels and Nassauville</v>
      </c>
      <c r="F421" s="13">
        <f>IFERROR(__xludf.DUMMYFUNCTION("""COMPUTED_VALUE"""),0.3958333333321207)</f>
        <v>0.3958333333</v>
      </c>
      <c r="G421" s="14">
        <f>IFERROR(__xludf.DUMMYFUNCTION("""COMPUTED_VALUE"""),43782.0)</f>
        <v>43782</v>
      </c>
      <c r="H421" t="str">
        <f>IFERROR(__xludf.DUMMYFUNCTION("""COMPUTED_VALUE"""),"NEAP WQ sites")</f>
        <v>NEAP WQ sites</v>
      </c>
      <c r="I421" s="15">
        <f>IFERROR(__xludf.DUMMYFUNCTION("""COMPUTED_VALUE"""),0.625)</f>
        <v>0.625</v>
      </c>
      <c r="J421" s="16"/>
      <c r="K421" t="str">
        <f>IFERROR(__xludf.DUMMYFUNCTION("""COMPUTED_VALUE"""),"17ft Skiff (Marsha) FL0642GW DEP07239")</f>
        <v>17ft Skiff (Marsha) FL0642GW DEP07239</v>
      </c>
      <c r="M421" t="str">
        <f>IFERROR(__xludf.DUMMYFUNCTION("""COMPUTED_VALUE"""),"Ford F150 2015 (White) - DEP21448")</f>
        <v>Ford F150 2015 (White) - DEP21448</v>
      </c>
      <c r="N421" t="str">
        <f>IFERROR(__xludf.DUMMYFUNCTION("""COMPUTED_VALUE"""),"Scott Eastman, (904) 501-9267, Jimmy Tomazinis, (904) 547-0094")</f>
        <v>Scott Eastman, (904) 501-9267, Jimmy Tomazinis, (904) 547-0094</v>
      </c>
      <c r="P421" t="str">
        <f>IFERROR(__xludf.DUMMYFUNCTION("""COMPUTED_VALUE"""),"Jimmy")</f>
        <v>Jimmy</v>
      </c>
      <c r="Q421" t="str">
        <f>IFERROR(__xludf.DUMMYFUNCTION("""COMPUTED_VALUE"""),"All items in working order")</f>
        <v>All items in working order</v>
      </c>
      <c r="AE421" s="11"/>
      <c r="AF421" t="s">
        <v>32</v>
      </c>
      <c r="AG421" s="17" t="s">
        <v>18</v>
      </c>
      <c r="AH421" s="12">
        <v>1030.0</v>
      </c>
      <c r="AI421" s="12" t="s">
        <v>1217</v>
      </c>
      <c r="AJ421" s="19" t="s">
        <v>1218</v>
      </c>
      <c r="AK421" s="20" t="str">
        <f>HYPERLINK("https://docs.google.com/document/d/1Fqg_cuyQPGZb6fNX36CPl90RsxTwCIBXz0rmsCxC0Bw/edit?usp=drivesdk","Jimmy Tomazinis - 11/13/2019 9:30 AM")</f>
        <v>Jimmy Tomazinis - 11/13/2019 9:30 AM</v>
      </c>
      <c r="AL421" s="12" t="s">
        <v>1219</v>
      </c>
    </row>
    <row r="422">
      <c r="A422" s="10">
        <f>IFERROR(__xludf.DUMMYFUNCTION("""COMPUTED_VALUE"""),43788.587120509255)</f>
        <v>43788.58712</v>
      </c>
      <c r="B422" s="11" t="str">
        <f>IFERROR(__xludf.DUMMYFUNCTION("""COMPUTED_VALUE"""),"Jessica Lee")</f>
        <v>Jessica Lee</v>
      </c>
      <c r="C422" t="str">
        <f>IFERROR(__xludf.DUMMYFUNCTION("""COMPUTED_VALUE"""),"jmcupp099@gmail.com")</f>
        <v>jmcupp099@gmail.com</v>
      </c>
      <c r="D422" t="str">
        <f>IFERROR(__xludf.DUMMYFUNCTION("""COMPUTED_VALUE"""),"Research/Nikki")</f>
        <v>Research/Nikki</v>
      </c>
      <c r="E422" t="str">
        <f>IFERROR(__xludf.DUMMYFUNCTION("""COMPUTED_VALUE"""),"Guana River")</f>
        <v>Guana River</v>
      </c>
      <c r="F422" s="13">
        <f>IFERROR(__xludf.DUMMYFUNCTION("""COMPUTED_VALUE"""),0.6041666666678793)</f>
        <v>0.6041666667</v>
      </c>
      <c r="G422" s="14">
        <f>IFERROR(__xludf.DUMMYFUNCTION("""COMPUTED_VALUE"""),43788.0)</f>
        <v>43788</v>
      </c>
      <c r="H422" t="str">
        <f>IFERROR(__xludf.DUMMYFUNCTION("""COMPUTED_VALUE"""),"Guana River")</f>
        <v>Guana River</v>
      </c>
      <c r="I422" s="15">
        <f>IFERROR(__xludf.DUMMYFUNCTION("""COMPUTED_VALUE"""),0.6527777777773736)</f>
        <v>0.6527777778</v>
      </c>
      <c r="J422" s="16">
        <f>IFERROR(__xludf.DUMMYFUNCTION("""COMPUTED_VALUE"""),43788.69791666667)</f>
        <v>43788.69792</v>
      </c>
      <c r="K422" t="str">
        <f>IFERROR(__xludf.DUMMYFUNCTION("""COMPUTED_VALUE"""),"Jon Boat FL0484NP DEP06819")</f>
        <v>Jon Boat FL0484NP DEP06819</v>
      </c>
      <c r="M422" t="str">
        <f>IFERROR(__xludf.DUMMYFUNCTION("""COMPUTED_VALUE"""),"Ford F150 2008 (SWMP Thing) - DEP18041")</f>
        <v>Ford F150 2008 (SWMP Thing) - DEP18041</v>
      </c>
      <c r="N422" t="str">
        <f>IFERROR(__xludf.DUMMYFUNCTION("""COMPUTED_VALUE"""),"Pam Marcum, (480) 332-5414")</f>
        <v>Pam Marcum, (480) 332-5414</v>
      </c>
      <c r="P422" t="str">
        <f>IFERROR(__xludf.DUMMYFUNCTION("""COMPUTED_VALUE"""),"Pam")</f>
        <v>Pam</v>
      </c>
      <c r="Q422" t="str">
        <f>IFERROR(__xludf.DUMMYFUNCTION("""COMPUTED_VALUE"""),"All items in working order")</f>
        <v>All items in working order</v>
      </c>
      <c r="AE422" s="11"/>
      <c r="AF422" t="s">
        <v>218</v>
      </c>
      <c r="AG422" s="18"/>
      <c r="AI422" s="12" t="s">
        <v>1220</v>
      </c>
      <c r="AJ422" s="19" t="s">
        <v>1221</v>
      </c>
      <c r="AK422" s="20" t="str">
        <f>HYPERLINK("https://docs.google.com/document/d/128yGHiKh6RHRa87fgjOY9jOg9ivCVWoJzv7lAX_ujHQ/edit?usp=drivesdk","Jessica Lee - 11/19/2019 2:30 PM")</f>
        <v>Jessica Lee - 11/19/2019 2:30 PM</v>
      </c>
      <c r="AL422" s="12" t="s">
        <v>1222</v>
      </c>
    </row>
    <row r="423">
      <c r="A423" s="10">
        <f>IFERROR(__xludf.DUMMYFUNCTION("""COMPUTED_VALUE"""),43790.57471898148)</f>
        <v>43790.57472</v>
      </c>
      <c r="B423" s="11" t="str">
        <f>IFERROR(__xludf.DUMMYFUNCTION("""COMPUTED_VALUE"""),"Jessica Lee")</f>
        <v>Jessica Lee</v>
      </c>
      <c r="C423" t="str">
        <f>IFERROR(__xludf.DUMMYFUNCTION("""COMPUTED_VALUE"""),"jmcupp099@gmail.com")</f>
        <v>jmcupp099@gmail.com</v>
      </c>
      <c r="D423" t="str">
        <f>IFERROR(__xludf.DUMMYFUNCTION("""COMPUTED_VALUE"""),"Research/Pam")</f>
        <v>Research/Pam</v>
      </c>
      <c r="E423" t="str">
        <f>IFERROR(__xludf.DUMMYFUNCTION("""COMPUTED_VALUE"""),"Six Mile")</f>
        <v>Six Mile</v>
      </c>
      <c r="F423" s="13">
        <f>IFERROR(__xludf.DUMMYFUNCTION("""COMPUTED_VALUE"""),0.3541666666678793)</f>
        <v>0.3541666667</v>
      </c>
      <c r="G423" s="14">
        <f>IFERROR(__xludf.DUMMYFUNCTION("""COMPUTED_VALUE"""),43791.0)</f>
        <v>43791</v>
      </c>
      <c r="H423" t="str">
        <f>IFERROR(__xludf.DUMMYFUNCTION("""COMPUTED_VALUE"""),"North Guana Lake")</f>
        <v>North Guana Lake</v>
      </c>
      <c r="I423" s="15">
        <f>IFERROR(__xludf.DUMMYFUNCTION("""COMPUTED_VALUE"""),0.625)</f>
        <v>0.625</v>
      </c>
      <c r="J423" s="16">
        <f>IFERROR(__xludf.DUMMYFUNCTION("""COMPUTED_VALUE"""),43791.64583333333)</f>
        <v>43791.64583</v>
      </c>
      <c r="K423" t="str">
        <f>IFERROR(__xludf.DUMMYFUNCTION("""COMPUTED_VALUE"""),"Kayak(s)")</f>
        <v>Kayak(s)</v>
      </c>
      <c r="M423" t="str">
        <f>IFERROR(__xludf.DUMMYFUNCTION("""COMPUTED_VALUE"""),"Ford F150 2008 (SWMP Thing) - DEP18041")</f>
        <v>Ford F150 2008 (SWMP Thing) - DEP18041</v>
      </c>
      <c r="N423" t="str">
        <f>IFERROR(__xludf.DUMMYFUNCTION("""COMPUTED_VALUE"""),"Jessica Lee")</f>
        <v>Jessica Lee</v>
      </c>
      <c r="O423" t="str">
        <f>IFERROR(__xludf.DUMMYFUNCTION("""COMPUTED_VALUE"""),"Bella")</f>
        <v>Bella</v>
      </c>
      <c r="P423" t="str">
        <f>IFERROR(__xludf.DUMMYFUNCTION("""COMPUTED_VALUE"""),"Jessica Lee")</f>
        <v>Jessica Lee</v>
      </c>
      <c r="Q423" t="str">
        <f>IFERROR(__xludf.DUMMYFUNCTION("""COMPUTED_VALUE"""),"All items in working order")</f>
        <v>All items in working order</v>
      </c>
      <c r="AE423" s="11"/>
      <c r="AF423" t="s">
        <v>262</v>
      </c>
      <c r="AG423" s="17" t="s">
        <v>18</v>
      </c>
      <c r="AH423" s="12">
        <v>1405.0</v>
      </c>
      <c r="AI423" s="12" t="s">
        <v>1223</v>
      </c>
      <c r="AJ423" s="19" t="s">
        <v>1224</v>
      </c>
      <c r="AK423" s="20" t="str">
        <f>HYPERLINK("https://docs.google.com/document/d/17Sljgu1FaFjQKGdaD1c81vRCgs0R4l8zXXHwviylLbc/edit?usp=drivesdk","Jessica Lee - 11/22/2019 8:30 AM")</f>
        <v>Jessica Lee - 11/22/2019 8:30 AM</v>
      </c>
      <c r="AL423" s="12" t="s">
        <v>1225</v>
      </c>
    </row>
    <row r="424">
      <c r="A424" s="10">
        <f>IFERROR(__xludf.DUMMYFUNCTION("""COMPUTED_VALUE"""),43791.54214936343)</f>
        <v>43791.54215</v>
      </c>
      <c r="B424" s="11" t="str">
        <f>IFERROR(__xludf.DUMMYFUNCTION("""COMPUTED_VALUE"""),"Gabriela Canas")</f>
        <v>Gabriela Canas</v>
      </c>
      <c r="C424" t="str">
        <f>IFERROR(__xludf.DUMMYFUNCTION("""COMPUTED_VALUE"""),"n00836133@unf.edu")</f>
        <v>n00836133@unf.edu</v>
      </c>
      <c r="D424" t="str">
        <f>IFERROR(__xludf.DUMMYFUNCTION("""COMPUTED_VALUE"""),"Research/Nikki")</f>
        <v>Research/Nikki</v>
      </c>
      <c r="E424" t="str">
        <f>IFERROR(__xludf.DUMMYFUNCTION("""COMPUTED_VALUE"""),"Douglas crane")</f>
        <v>Douglas crane</v>
      </c>
      <c r="F424" s="13">
        <f>IFERROR(__xludf.DUMMYFUNCTION("""COMPUTED_VALUE"""),0.5625)</f>
        <v>0.5625</v>
      </c>
      <c r="G424" s="14">
        <f>IFERROR(__xludf.DUMMYFUNCTION("""COMPUTED_VALUE"""),43791.0)</f>
        <v>43791</v>
      </c>
      <c r="H424" t="str">
        <f>IFERROR(__xludf.DUMMYFUNCTION("""COMPUTED_VALUE"""),"WETFEET middle site")</f>
        <v>WETFEET middle site</v>
      </c>
      <c r="I424" s="15">
        <f>IFERROR(__xludf.DUMMYFUNCTION("""COMPUTED_VALUE"""),0.6875)</f>
        <v>0.6875</v>
      </c>
      <c r="J424" s="16">
        <f>IFERROR(__xludf.DUMMYFUNCTION("""COMPUTED_VALUE"""),43791.20833333333)</f>
        <v>43791.20833</v>
      </c>
      <c r="K424" t="str">
        <f>IFERROR(__xludf.DUMMYFUNCTION("""COMPUTED_VALUE"""),"20ft Sea Ark FL5351SJ UNF 2015")</f>
        <v>20ft Sea Ark FL5351SJ UNF 2015</v>
      </c>
      <c r="M424" t="str">
        <f>IFERROR(__xludf.DUMMYFUNCTION("""COMPUTED_VALUE"""),"Ford F150 2015 (White) - DEP21448")</f>
        <v>Ford F150 2015 (White) - DEP21448</v>
      </c>
      <c r="N424" t="str">
        <f>IFERROR(__xludf.DUMMYFUNCTION("""COMPUTED_VALUE"""),"Pam Marcum, (480) 332-5414")</f>
        <v>Pam Marcum, (480) 332-5414</v>
      </c>
      <c r="O424" t="str">
        <f>IFERROR(__xludf.DUMMYFUNCTION("""COMPUTED_VALUE"""),"Gabriela Canas, (904) 891-9743")</f>
        <v>Gabriela Canas, (904) 891-9743</v>
      </c>
      <c r="P424" t="str">
        <f>IFERROR(__xludf.DUMMYFUNCTION("""COMPUTED_VALUE"""),"Pam")</f>
        <v>Pam</v>
      </c>
      <c r="Q424" t="str">
        <f>IFERROR(__xludf.DUMMYFUNCTION("""COMPUTED_VALUE"""),"All items in working order")</f>
        <v>All items in working order</v>
      </c>
      <c r="AE424" s="11"/>
      <c r="AF424" t="s">
        <v>218</v>
      </c>
      <c r="AG424" s="18"/>
      <c r="AI424" s="12" t="s">
        <v>1226</v>
      </c>
      <c r="AJ424" s="19" t="s">
        <v>1227</v>
      </c>
      <c r="AK424" s="20" t="str">
        <f>HYPERLINK("https://docs.google.com/document/d/1t6d4J_pxyGT889qf1VeYKuL_8J9rkyvXI5kFVzGtp5A/edit?usp=drivesdk","Gabriela Canas - 11/22/2019 1:30 PM")</f>
        <v>Gabriela Canas - 11/22/2019 1:30 PM</v>
      </c>
      <c r="AL424" s="12" t="s">
        <v>1228</v>
      </c>
    </row>
    <row r="425">
      <c r="A425" s="10">
        <f>IFERROR(__xludf.DUMMYFUNCTION("""COMPUTED_VALUE"""),43791.57806768519)</f>
        <v>43791.57807</v>
      </c>
      <c r="B425" s="11" t="str">
        <f>IFERROR(__xludf.DUMMYFUNCTION("""COMPUTED_VALUE"""),"Gabriela Canas")</f>
        <v>Gabriela Canas</v>
      </c>
      <c r="C425" t="str">
        <f>IFERROR(__xludf.DUMMYFUNCTION("""COMPUTED_VALUE"""),"n00836133@unf.edu")</f>
        <v>n00836133@unf.edu</v>
      </c>
      <c r="D425" t="str">
        <f>IFERROR(__xludf.DUMMYFUNCTION("""COMPUTED_VALUE"""),"Research/Nikki")</f>
        <v>Research/Nikki</v>
      </c>
      <c r="E425" t="str">
        <f>IFERROR(__xludf.DUMMYFUNCTION("""COMPUTED_VALUE"""),"Douglas crane")</f>
        <v>Douglas crane</v>
      </c>
      <c r="F425" s="13">
        <f>IFERROR(__xludf.DUMMYFUNCTION("""COMPUTED_VALUE"""),0.5729166666678793)</f>
        <v>0.5729166667</v>
      </c>
      <c r="G425" s="14">
        <f>IFERROR(__xludf.DUMMYFUNCTION("""COMPUTED_VALUE"""),43791.0)</f>
        <v>43791</v>
      </c>
      <c r="H425" t="str">
        <f>IFERROR(__xludf.DUMMYFUNCTION("""COMPUTED_VALUE"""),"WETFEET middle")</f>
        <v>WETFEET middle</v>
      </c>
      <c r="I425" s="15">
        <f>IFERROR(__xludf.DUMMYFUNCTION("""COMPUTED_VALUE"""),0.6875)</f>
        <v>0.6875</v>
      </c>
      <c r="J425" s="16">
        <f>IFERROR(__xludf.DUMMYFUNCTION("""COMPUTED_VALUE"""),43791.71875)</f>
        <v>43791.71875</v>
      </c>
      <c r="K425" t="str">
        <f>IFERROR(__xludf.DUMMYFUNCTION("""COMPUTED_VALUE"""),"20ft Sea Ark FL5351SJ UNF 2015")</f>
        <v>20ft Sea Ark FL5351SJ UNF 2015</v>
      </c>
      <c r="M425" t="str">
        <f>IFERROR(__xludf.DUMMYFUNCTION("""COMPUTED_VALUE"""),"Ford F150 2015 (White) - DEP21448")</f>
        <v>Ford F150 2015 (White) - DEP21448</v>
      </c>
      <c r="N425" t="str">
        <f>IFERROR(__xludf.DUMMYFUNCTION("""COMPUTED_VALUE"""),"Pam Marcum, (480) 332-5414")</f>
        <v>Pam Marcum, (480) 332-5414</v>
      </c>
      <c r="O425" t="str">
        <f>IFERROR(__xludf.DUMMYFUNCTION("""COMPUTED_VALUE"""),"Gabriela Canas, (904) 891-9743")</f>
        <v>Gabriela Canas, (904) 891-9743</v>
      </c>
      <c r="P425" t="str">
        <f>IFERROR(__xludf.DUMMYFUNCTION("""COMPUTED_VALUE"""),"Pam")</f>
        <v>Pam</v>
      </c>
      <c r="Q425" t="str">
        <f>IFERROR(__xludf.DUMMYFUNCTION("""COMPUTED_VALUE"""),"All items in working order")</f>
        <v>All items in working order</v>
      </c>
      <c r="AE425" s="11"/>
      <c r="AF425" t="s">
        <v>218</v>
      </c>
      <c r="AG425" s="18"/>
      <c r="AI425" s="12" t="s">
        <v>1229</v>
      </c>
      <c r="AJ425" s="19" t="s">
        <v>1230</v>
      </c>
      <c r="AK425" s="20" t="str">
        <f>HYPERLINK("https://docs.google.com/document/d/1ZdD5urJCsgWVyivnfEYQGGfYEd6NlfeS7KymF33zbS8/edit?usp=drivesdk","Gabriela Canas - 11/22/2019 1:45 PM")</f>
        <v>Gabriela Canas - 11/22/2019 1:45 PM</v>
      </c>
      <c r="AL425" s="12" t="s">
        <v>1231</v>
      </c>
    </row>
    <row r="426">
      <c r="A426" s="10">
        <f>IFERROR(__xludf.DUMMYFUNCTION("""COMPUTED_VALUE"""),43794.660332210646)</f>
        <v>43794.66033</v>
      </c>
      <c r="B426" s="11" t="str">
        <f>IFERROR(__xludf.DUMMYFUNCTION("""COMPUTED_VALUE"""),"Jimmy Tomazinis")</f>
        <v>Jimmy Tomazinis</v>
      </c>
      <c r="C426" t="str">
        <f>IFERROR(__xludf.DUMMYFUNCTION("""COMPUTED_VALUE"""),"james.tomazinis@floridadep.gov")</f>
        <v>james.tomazinis@floridadep.gov</v>
      </c>
      <c r="D426" t="str">
        <f>IFERROR(__xludf.DUMMYFUNCTION("""COMPUTED_VALUE"""),"Stewardship (Aquatic)")</f>
        <v>Stewardship (Aquatic)</v>
      </c>
      <c r="E426" t="str">
        <f>IFERROR(__xludf.DUMMYFUNCTION("""COMPUTED_VALUE"""),"Dee Dee Bartels, Nassauville")</f>
        <v>Dee Dee Bartels, Nassauville</v>
      </c>
      <c r="F426" s="13">
        <f>IFERROR(__xludf.DUMMYFUNCTION("""COMPUTED_VALUE"""),0.375)</f>
        <v>0.375</v>
      </c>
      <c r="G426" s="14">
        <f>IFERROR(__xludf.DUMMYFUNCTION("""COMPUTED_VALUE"""),43795.0)</f>
        <v>43795</v>
      </c>
      <c r="H426" t="str">
        <f>IFERROR(__xludf.DUMMYFUNCTION("""COMPUTED_VALUE"""),"NEAP Nekton sites")</f>
        <v>NEAP Nekton sites</v>
      </c>
      <c r="I426" s="15">
        <f>IFERROR(__xludf.DUMMYFUNCTION("""COMPUTED_VALUE"""),0.625)</f>
        <v>0.625</v>
      </c>
      <c r="J426" s="16"/>
      <c r="K426" t="str">
        <f>IFERROR(__xludf.DUMMYFUNCTION("""COMPUTED_VALUE"""),"17ft Skiff (Marsha) FL0642GW DEP07239")</f>
        <v>17ft Skiff (Marsha) FL0642GW DEP07239</v>
      </c>
      <c r="M426" t="str">
        <f>IFERROR(__xludf.DUMMYFUNCTION("""COMPUTED_VALUE"""),"Ford F150 2015 (White) - DEP21448")</f>
        <v>Ford F150 2015 (White) - DEP21448</v>
      </c>
      <c r="N426" t="str">
        <f>IFERROR(__xludf.DUMMYFUNCTION("""COMPUTED_VALUE"""),"Jimmy Tomazinis, (904) 547-0094")</f>
        <v>Jimmy Tomazinis, (904) 547-0094</v>
      </c>
      <c r="O426" t="str">
        <f>IFERROR(__xludf.DUMMYFUNCTION("""COMPUTED_VALUE"""),"Caitlyn Tomazinis")</f>
        <v>Caitlyn Tomazinis</v>
      </c>
      <c r="P426" t="str">
        <f>IFERROR(__xludf.DUMMYFUNCTION("""COMPUTED_VALUE"""),"Jimmy")</f>
        <v>Jimmy</v>
      </c>
      <c r="Q426" t="str">
        <f>IFERROR(__xludf.DUMMYFUNCTION("""COMPUTED_VALUE"""),"All items in working order")</f>
        <v>All items in working order</v>
      </c>
      <c r="AE426" s="11"/>
      <c r="AF426" t="s">
        <v>32</v>
      </c>
      <c r="AG426" s="18"/>
      <c r="AI426" s="12" t="s">
        <v>1232</v>
      </c>
      <c r="AJ426" s="19" t="s">
        <v>1233</v>
      </c>
      <c r="AK426" s="20" t="str">
        <f>HYPERLINK("https://docs.google.com/document/d/1lpL-hACJ0SZheqs2xwrGh_IJID2VnoX1qU7kXTxNXF4/edit?usp=drivesdk","Jimmy Tomazinis - 11/26/2019 9:00 AM")</f>
        <v>Jimmy Tomazinis - 11/26/2019 9:00 AM</v>
      </c>
      <c r="AL426" s="12" t="s">
        <v>1234</v>
      </c>
    </row>
    <row r="427">
      <c r="A427" s="10">
        <f>IFERROR(__xludf.DUMMYFUNCTION("""COMPUTED_VALUE"""),43795.39589626157)</f>
        <v>43795.3959</v>
      </c>
      <c r="B427" s="11" t="str">
        <f>IFERROR(__xludf.DUMMYFUNCTION("""COMPUTED_VALUE"""),"Silas Tanner")</f>
        <v>Silas Tanner</v>
      </c>
      <c r="C427" t="str">
        <f>IFERROR(__xludf.DUMMYFUNCTION("""COMPUTED_VALUE"""),"silas.tanner@floridadep.gov")</f>
        <v>silas.tanner@floridadep.gov</v>
      </c>
      <c r="D427" t="str">
        <f>IFERROR(__xludf.DUMMYFUNCTION("""COMPUTED_VALUE"""),"Research/Nikki")</f>
        <v>Research/Nikki</v>
      </c>
      <c r="E427" t="str">
        <f>IFERROR(__xludf.DUMMYFUNCTION("""COMPUTED_VALUE"""),"Crane")</f>
        <v>Crane</v>
      </c>
      <c r="F427" s="13">
        <f>IFERROR(__xludf.DUMMYFUNCTION("""COMPUTED_VALUE"""),0.40625)</f>
        <v>0.40625</v>
      </c>
      <c r="G427" s="14">
        <f>IFERROR(__xludf.DUMMYFUNCTION("""COMPUTED_VALUE"""),43795.0)</f>
        <v>43795</v>
      </c>
      <c r="H427" t="str">
        <f>IFERROR(__xludf.DUMMYFUNCTION("""COMPUTED_VALUE"""),"ICW SWMP sites")</f>
        <v>ICW SWMP sites</v>
      </c>
      <c r="I427" s="15">
        <f>IFERROR(__xludf.DUMMYFUNCTION("""COMPUTED_VALUE"""),0.6041666666678793)</f>
        <v>0.6041666667</v>
      </c>
      <c r="J427" s="16">
        <f>IFERROR(__xludf.DUMMYFUNCTION("""COMPUTED_VALUE"""),43795.6875)</f>
        <v>43795.6875</v>
      </c>
      <c r="K427" t="str">
        <f>IFERROR(__xludf.DUMMYFUNCTION("""COMPUTED_VALUE"""),"23ft Skiff (Bertha) FL7972LJ DEP07613")</f>
        <v>23ft Skiff (Bertha) FL7972LJ DEP07613</v>
      </c>
      <c r="M427" t="str">
        <f>IFERROR(__xludf.DUMMYFUNCTION("""COMPUTED_VALUE"""),"Ford F250 2017 (Moby Dix) - DEP0021578")</f>
        <v>Ford F250 2017 (Moby Dix) - DEP0021578</v>
      </c>
      <c r="N427" t="str">
        <f>IFERROR(__xludf.DUMMYFUNCTION("""COMPUTED_VALUE"""),"Silas Tanner, (904) 483-8423, Remo Mondazzi")</f>
        <v>Silas Tanner, (904) 483-8423, Remo Mondazzi</v>
      </c>
      <c r="P427" t="str">
        <f>IFERROR(__xludf.DUMMYFUNCTION("""COMPUTED_VALUE"""),"Silas Tanner")</f>
        <v>Silas Tanner</v>
      </c>
      <c r="Q427" t="str">
        <f>IFERROR(__xludf.DUMMYFUNCTION("""COMPUTED_VALUE"""),"All items in working order")</f>
        <v>All items in working order</v>
      </c>
      <c r="AE427" s="11"/>
      <c r="AF427" t="s">
        <v>218</v>
      </c>
      <c r="AG427" s="17" t="s">
        <v>128</v>
      </c>
      <c r="AH427" s="12">
        <v>1410.0</v>
      </c>
      <c r="AI427" s="12" t="s">
        <v>1235</v>
      </c>
      <c r="AJ427" s="19" t="s">
        <v>1236</v>
      </c>
      <c r="AK427" s="20" t="str">
        <f>HYPERLINK("https://docs.google.com/document/d/1VaWJIE3K1kYxS9ekiUDrgSvi82MS4ihWUVx1sk6R0Yk/edit?usp=drivesdk","Silas Tanner - 11/26/2019 9:45 AM")</f>
        <v>Silas Tanner - 11/26/2019 9:45 AM</v>
      </c>
      <c r="AL427" s="12" t="s">
        <v>1237</v>
      </c>
    </row>
    <row r="428">
      <c r="A428" s="10">
        <f>IFERROR(__xludf.DUMMYFUNCTION("""COMPUTED_VALUE"""),43795.83838344907)</f>
        <v>43795.83838</v>
      </c>
      <c r="B428" s="11" t="str">
        <f>IFERROR(__xludf.DUMMYFUNCTION("""COMPUTED_VALUE"""),"Test")</f>
        <v>Test</v>
      </c>
      <c r="C428" t="str">
        <f>IFERROR(__xludf.DUMMYFUNCTION("""COMPUTED_VALUE"""),"pamela.macum@floridadep.gov")</f>
        <v>pamela.macum@floridadep.gov</v>
      </c>
      <c r="D428" t="str">
        <f>IFERROR(__xludf.DUMMYFUNCTION("""COMPUTED_VALUE"""),"Research/Pam")</f>
        <v>Research/Pam</v>
      </c>
      <c r="E428" t="str">
        <f>IFERROR(__xludf.DUMMYFUNCTION("""COMPUTED_VALUE"""),"Test")</f>
        <v>Test</v>
      </c>
      <c r="F428" s="13">
        <f>IFERROR(__xludf.DUMMYFUNCTION("""COMPUTED_VALUE"""),0.0)</f>
        <v>0</v>
      </c>
      <c r="G428" s="14">
        <f>IFERROR(__xludf.DUMMYFUNCTION("""COMPUTED_VALUE"""),43796.0)</f>
        <v>43796</v>
      </c>
      <c r="H428" t="str">
        <f>IFERROR(__xludf.DUMMYFUNCTION("""COMPUTED_VALUE"""),"Test")</f>
        <v>Test</v>
      </c>
      <c r="I428" s="15">
        <f>IFERROR(__xludf.DUMMYFUNCTION("""COMPUTED_VALUE"""),0.0)</f>
        <v>0</v>
      </c>
      <c r="J428" s="16">
        <f>IFERROR(__xludf.DUMMYFUNCTION("""COMPUTED_VALUE"""),43796.0)</f>
        <v>43796</v>
      </c>
      <c r="K428" t="str">
        <f>IFERROR(__xludf.DUMMYFUNCTION("""COMPUTED_VALUE"""),"Test")</f>
        <v>Test</v>
      </c>
      <c r="M428" t="str">
        <f>IFERROR(__xludf.DUMMYFUNCTION("""COMPUTED_VALUE"""),"Test")</f>
        <v>Test</v>
      </c>
      <c r="Q428" t="str">
        <f>IFERROR(__xludf.DUMMYFUNCTION("""COMPUTED_VALUE"""),"All items in working order")</f>
        <v>All items in working order</v>
      </c>
      <c r="AE428" s="11"/>
      <c r="AF428" t="s">
        <v>262</v>
      </c>
      <c r="AG428" s="18"/>
      <c r="AI428" s="12" t="s">
        <v>1238</v>
      </c>
      <c r="AJ428" s="19" t="s">
        <v>1239</v>
      </c>
      <c r="AK428" s="20" t="str">
        <f>HYPERLINK("https://docs.google.com/document/d/1gYnYcrd2vVUnyywSfLpzSXQMaeBhGeh-LmrYZ9gNiQs/edit?usp=drivesdk","Test - 11/27/2019 12:00 AM")</f>
        <v>Test - 11/27/2019 12:00 AM</v>
      </c>
      <c r="AL428" s="12" t="s">
        <v>1240</v>
      </c>
    </row>
    <row r="429">
      <c r="A429" s="10">
        <f>IFERROR(__xludf.DUMMYFUNCTION("""COMPUTED_VALUE"""),43801.68857849537)</f>
        <v>43801.68858</v>
      </c>
      <c r="B429" s="11" t="str">
        <f>IFERROR(__xludf.DUMMYFUNCTION("""COMPUTED_VALUE"""),"Jimmy Tomazinis")</f>
        <v>Jimmy Tomazinis</v>
      </c>
      <c r="C429" t="str">
        <f>IFERROR(__xludf.DUMMYFUNCTION("""COMPUTED_VALUE"""),"james.tomazinis@floridadep.gov")</f>
        <v>james.tomazinis@floridadep.gov</v>
      </c>
      <c r="D429" t="str">
        <f>IFERROR(__xludf.DUMMYFUNCTION("""COMPUTED_VALUE"""),"Stewardship (Aquatic)")</f>
        <v>Stewardship (Aquatic)</v>
      </c>
      <c r="E429" t="str">
        <f>IFERROR(__xludf.DUMMYFUNCTION("""COMPUTED_VALUE"""),"Vilano")</f>
        <v>Vilano</v>
      </c>
      <c r="F429" s="13">
        <f>IFERROR(__xludf.DUMMYFUNCTION("""COMPUTED_VALUE"""),0.3854166666678793)</f>
        <v>0.3854166667</v>
      </c>
      <c r="G429" s="14">
        <f>IFERROR(__xludf.DUMMYFUNCTION("""COMPUTED_VALUE"""),43802.0)</f>
        <v>43802</v>
      </c>
      <c r="H429" t="str">
        <f>IFERROR(__xludf.DUMMYFUNCTION("""COMPUTED_VALUE"""),"Tolomato nekton sites")</f>
        <v>Tolomato nekton sites</v>
      </c>
      <c r="I429" s="15">
        <f>IFERROR(__xludf.DUMMYFUNCTION("""COMPUTED_VALUE"""),0.6666666666678793)</f>
        <v>0.6666666667</v>
      </c>
      <c r="J429" s="16"/>
      <c r="K429" t="str">
        <f>IFERROR(__xludf.DUMMYFUNCTION("""COMPUTED_VALUE"""),"23ft Skiff (Bertha) FL7972LJ DEP07613")</f>
        <v>23ft Skiff (Bertha) FL7972LJ DEP07613</v>
      </c>
      <c r="M429" t="str">
        <f>IFERROR(__xludf.DUMMYFUNCTION("""COMPUTED_VALUE"""),"Ford F150 2015 (White) - DEP21448")</f>
        <v>Ford F150 2015 (White) - DEP21448</v>
      </c>
      <c r="N429" t="str">
        <f>IFERROR(__xludf.DUMMYFUNCTION("""COMPUTED_VALUE"""),"Jimmy Tomazinis, (904) 547-0094")</f>
        <v>Jimmy Tomazinis, (904) 547-0094</v>
      </c>
      <c r="O429" t="str">
        <f>IFERROR(__xludf.DUMMYFUNCTION("""COMPUTED_VALUE"""),"Mike, Jeff, Pam, Suzi, Diane")</f>
        <v>Mike, Jeff, Pam, Suzi, Diane</v>
      </c>
      <c r="P429" t="str">
        <f>IFERROR(__xludf.DUMMYFUNCTION("""COMPUTED_VALUE"""),"Jimmy")</f>
        <v>Jimmy</v>
      </c>
      <c r="Q429" t="str">
        <f>IFERROR(__xludf.DUMMYFUNCTION("""COMPUTED_VALUE"""),"All items in working order")</f>
        <v>All items in working order</v>
      </c>
      <c r="AE429" s="11"/>
      <c r="AF429" t="s">
        <v>32</v>
      </c>
      <c r="AG429" s="17" t="s">
        <v>18</v>
      </c>
      <c r="AH429" s="12">
        <v>1600.0</v>
      </c>
      <c r="AI429" s="12" t="s">
        <v>1241</v>
      </c>
      <c r="AJ429" s="19" t="s">
        <v>1242</v>
      </c>
      <c r="AK429" s="20" t="str">
        <f>HYPERLINK("https://docs.google.com/document/d/1lKFj_Q6V3_7Ks5Z3aYgaiu-zNZ1Tcvga3effVH7ur7o/edit?usp=drivesdk","Jimmy Tomazinis - 12/3/2019 9:15 AM")</f>
        <v>Jimmy Tomazinis - 12/3/2019 9:15 AM</v>
      </c>
      <c r="AL429" s="12" t="s">
        <v>1243</v>
      </c>
    </row>
    <row r="430">
      <c r="A430" s="10">
        <f>IFERROR(__xludf.DUMMYFUNCTION("""COMPUTED_VALUE"""),43803.36210405093)</f>
        <v>43803.3621</v>
      </c>
      <c r="B430" s="11" t="str">
        <f>IFERROR(__xludf.DUMMYFUNCTION("""COMPUTED_VALUE"""),"Jimmy Tomazinis")</f>
        <v>Jimmy Tomazinis</v>
      </c>
      <c r="C430" t="str">
        <f>IFERROR(__xludf.DUMMYFUNCTION("""COMPUTED_VALUE"""),"james.tomazinis@floridadep.gov")</f>
        <v>james.tomazinis@floridadep.gov</v>
      </c>
      <c r="D430" t="str">
        <f>IFERROR(__xludf.DUMMYFUNCTION("""COMPUTED_VALUE"""),"Stewardship (Aquatic)")</f>
        <v>Stewardship (Aquatic)</v>
      </c>
      <c r="E430" t="str">
        <f>IFERROR(__xludf.DUMMYFUNCTION("""COMPUTED_VALUE"""),"Vilano")</f>
        <v>Vilano</v>
      </c>
      <c r="F430" s="13">
        <f>IFERROR(__xludf.DUMMYFUNCTION("""COMPUTED_VALUE"""),0.3854166666678793)</f>
        <v>0.3854166667</v>
      </c>
      <c r="G430" s="14">
        <f>IFERROR(__xludf.DUMMYFUNCTION("""COMPUTED_VALUE"""),43803.0)</f>
        <v>43803</v>
      </c>
      <c r="H430" t="str">
        <f>IFERROR(__xludf.DUMMYFUNCTION("""COMPUTED_VALUE"""),"Tolomato and Matanzas")</f>
        <v>Tolomato and Matanzas</v>
      </c>
      <c r="I430" s="15">
        <f>IFERROR(__xludf.DUMMYFUNCTION("""COMPUTED_VALUE"""),0.6666666666678793)</f>
        <v>0.6666666667</v>
      </c>
      <c r="J430" s="16"/>
      <c r="K430" t="str">
        <f>IFERROR(__xludf.DUMMYFUNCTION("""COMPUTED_VALUE"""),"23ft Skiff (Bertha) FL7972LJ DEP07613")</f>
        <v>23ft Skiff (Bertha) FL7972LJ DEP07613</v>
      </c>
      <c r="M430" t="str">
        <f>IFERROR(__xludf.DUMMYFUNCTION("""COMPUTED_VALUE"""),"Ford F150 2015 (White) - DEP21448")</f>
        <v>Ford F150 2015 (White) - DEP21448</v>
      </c>
      <c r="N430" t="str">
        <f>IFERROR(__xludf.DUMMYFUNCTION("""COMPUTED_VALUE"""),"Jimmy Tomazinis, (904) 547-0094, Ruben")</f>
        <v>Jimmy Tomazinis, (904) 547-0094, Ruben</v>
      </c>
      <c r="O430" t="str">
        <f>IFERROR(__xludf.DUMMYFUNCTION("""COMPUTED_VALUE"""),"Jeff, Jordan, Steve, Suzi")</f>
        <v>Jeff, Jordan, Steve, Suzi</v>
      </c>
      <c r="P430" t="str">
        <f>IFERROR(__xludf.DUMMYFUNCTION("""COMPUTED_VALUE"""),"Jimmy")</f>
        <v>Jimmy</v>
      </c>
      <c r="Q430" t="str">
        <f>IFERROR(__xludf.DUMMYFUNCTION("""COMPUTED_VALUE"""),"All items in working order")</f>
        <v>All items in working order</v>
      </c>
      <c r="AE430" s="11"/>
      <c r="AF430" t="s">
        <v>32</v>
      </c>
      <c r="AG430" s="17" t="s">
        <v>18</v>
      </c>
      <c r="AH430" s="12">
        <v>1605.0</v>
      </c>
      <c r="AI430" s="12" t="s">
        <v>1244</v>
      </c>
      <c r="AJ430" s="19" t="s">
        <v>1245</v>
      </c>
      <c r="AK430" s="20" t="str">
        <f>HYPERLINK("https://docs.google.com/document/d/172vVxwop84YvNDb_72vQKInQJ2qcjf8BrLZ6GTgNcTo/edit?usp=drivesdk","Jimmy Tomazinis - 12/4/2019 9:15 AM")</f>
        <v>Jimmy Tomazinis - 12/4/2019 9:15 AM</v>
      </c>
      <c r="AL430" s="12" t="s">
        <v>1246</v>
      </c>
    </row>
    <row r="431">
      <c r="A431" s="10">
        <f>IFERROR(__xludf.DUMMYFUNCTION("""COMPUTED_VALUE"""),43804.32515821759)</f>
        <v>43804.32516</v>
      </c>
      <c r="B431" s="11" t="str">
        <f>IFERROR(__xludf.DUMMYFUNCTION("""COMPUTED_VALUE"""),"Alexandria Knoell")</f>
        <v>Alexandria Knoell</v>
      </c>
      <c r="C431" t="str">
        <f>IFERROR(__xludf.DUMMYFUNCTION("""COMPUTED_VALUE"""),"alee.knoell@floridadep.gov")</f>
        <v>alee.knoell@floridadep.gov</v>
      </c>
      <c r="D431" t="str">
        <f>IFERROR(__xludf.DUMMYFUNCTION("""COMPUTED_VALUE"""),"Research/Nikki")</f>
        <v>Research/Nikki</v>
      </c>
      <c r="E431" t="str">
        <f>IFERROR(__xludf.DUMMYFUNCTION("""COMPUTED_VALUE"""),"Aunt Kate’s 7:30, Shore 11, Green road 12")</f>
        <v>Aunt Kate’s 7:30, Shore 11, Green road 12</v>
      </c>
      <c r="F431" s="13">
        <f>IFERROR(__xludf.DUMMYFUNCTION("""COMPUTED_VALUE"""),0.3229166666678793)</f>
        <v>0.3229166667</v>
      </c>
      <c r="G431" s="14">
        <f>IFERROR(__xludf.DUMMYFUNCTION("""COMPUTED_VALUE"""),43804.0)</f>
        <v>43804</v>
      </c>
      <c r="H431" t="str">
        <f>IFERROR(__xludf.DUMMYFUNCTION("""COMPUTED_VALUE"""),"Spat trees")</f>
        <v>Spat trees</v>
      </c>
      <c r="I431" s="15">
        <f>IFERROR(__xludf.DUMMYFUNCTION("""COMPUTED_VALUE"""),0.5833333333321207)</f>
        <v>0.5833333333</v>
      </c>
      <c r="J431" s="16">
        <f>IFERROR(__xludf.DUMMYFUNCTION("""COMPUTED_VALUE"""),43804.64583333333)</f>
        <v>43804.64583</v>
      </c>
      <c r="K431" t="str">
        <f>IFERROR(__xludf.DUMMYFUNCTION("""COMPUTED_VALUE"""),"20ft Sea Ark FL5351SJ UNF 2015")</f>
        <v>20ft Sea Ark FL5351SJ UNF 2015</v>
      </c>
      <c r="M431" t="str">
        <f>IFERROR(__xludf.DUMMYFUNCTION("""COMPUTED_VALUE"""),"Ford F150 2008 (SWMP Thing) - DEP18041")</f>
        <v>Ford F150 2008 (SWMP Thing) - DEP18041</v>
      </c>
      <c r="N431" t="str">
        <f>IFERROR(__xludf.DUMMYFUNCTION("""COMPUTED_VALUE"""),"Pam Marcum, (480) 332-5414")</f>
        <v>Pam Marcum, (480) 332-5414</v>
      </c>
      <c r="O431" t="str">
        <f>IFERROR(__xludf.DUMMYFUNCTION("""COMPUTED_VALUE"""),"Alee Knoell, (619) 750-4833")</f>
        <v>Alee Knoell, (619) 750-4833</v>
      </c>
      <c r="P431" t="str">
        <f>IFERROR(__xludf.DUMMYFUNCTION("""COMPUTED_VALUE"""),"Pam marcum")</f>
        <v>Pam marcum</v>
      </c>
      <c r="Q431" t="str">
        <f>IFERROR(__xludf.DUMMYFUNCTION("""COMPUTED_VALUE"""),"All items in working order")</f>
        <v>All items in working order</v>
      </c>
      <c r="AE431" s="11"/>
      <c r="AF431" t="s">
        <v>218</v>
      </c>
      <c r="AG431" s="17" t="s">
        <v>18</v>
      </c>
      <c r="AH431" s="12">
        <v>1405.0</v>
      </c>
      <c r="AI431" s="12" t="s">
        <v>1247</v>
      </c>
      <c r="AJ431" s="19" t="s">
        <v>1248</v>
      </c>
      <c r="AK431" s="20" t="str">
        <f>HYPERLINK("https://docs.google.com/document/d/163XConguxRmfEJiz0qqtWQl8czIMwg0PZ_dbBQWiVoE/edit?usp=drivesdk","Alexandria Knoell - 12/5/2019 7:45 AM")</f>
        <v>Alexandria Knoell - 12/5/2019 7:45 AM</v>
      </c>
      <c r="AL431" s="12" t="s">
        <v>1249</v>
      </c>
    </row>
    <row r="432">
      <c r="A432" s="10">
        <f>IFERROR(__xludf.DUMMYFUNCTION("""COMPUTED_VALUE"""),43804.357534594914)</f>
        <v>43804.35753</v>
      </c>
      <c r="B432" s="11" t="str">
        <f>IFERROR(__xludf.DUMMYFUNCTION("""COMPUTED_VALUE"""),"Jimmy Tomazinis")</f>
        <v>Jimmy Tomazinis</v>
      </c>
      <c r="C432" t="str">
        <f>IFERROR(__xludf.DUMMYFUNCTION("""COMPUTED_VALUE"""),"james.tomazinis@floridadep.gov")</f>
        <v>james.tomazinis@floridadep.gov</v>
      </c>
      <c r="D432" t="str">
        <f>IFERROR(__xludf.DUMMYFUNCTION("""COMPUTED_VALUE"""),"Stewardship (Aquatic)")</f>
        <v>Stewardship (Aquatic)</v>
      </c>
      <c r="E432" t="str">
        <f>IFERROR(__xludf.DUMMYFUNCTION("""COMPUTED_VALUE"""),"Bings")</f>
        <v>Bings</v>
      </c>
      <c r="F432" s="13">
        <f>IFERROR(__xludf.DUMMYFUNCTION("""COMPUTED_VALUE"""),0.4166666666678793)</f>
        <v>0.4166666667</v>
      </c>
      <c r="G432" s="14">
        <f>IFERROR(__xludf.DUMMYFUNCTION("""COMPUTED_VALUE"""),43804.0)</f>
        <v>43804</v>
      </c>
      <c r="H432" t="str">
        <f>IFERROR(__xludf.DUMMYFUNCTION("""COMPUTED_VALUE"""),"Matanzas Nekton sites")</f>
        <v>Matanzas Nekton sites</v>
      </c>
      <c r="I432" s="15">
        <f>IFERROR(__xludf.DUMMYFUNCTION("""COMPUTED_VALUE"""),0.5833333333321207)</f>
        <v>0.5833333333</v>
      </c>
      <c r="J432" s="16"/>
      <c r="K432" t="str">
        <f>IFERROR(__xludf.DUMMYFUNCTION("""COMPUTED_VALUE"""),"23ft Skiff (Bertha) FL7972LJ DEP07613")</f>
        <v>23ft Skiff (Bertha) FL7972LJ DEP07613</v>
      </c>
      <c r="M432" t="str">
        <f>IFERROR(__xludf.DUMMYFUNCTION("""COMPUTED_VALUE"""),"Ford F150 2015 (White) - DEP21448")</f>
        <v>Ford F150 2015 (White) - DEP21448</v>
      </c>
      <c r="N432" t="str">
        <f>IFERROR(__xludf.DUMMYFUNCTION("""COMPUTED_VALUE"""),"Jimmy Tomazinis, (904) 547-0094, Ruben Allen")</f>
        <v>Jimmy Tomazinis, (904) 547-0094, Ruben Allen</v>
      </c>
      <c r="O432" t="str">
        <f>IFERROR(__xludf.DUMMYFUNCTION("""COMPUTED_VALUE"""),"Suzi, Diane")</f>
        <v>Suzi, Diane</v>
      </c>
      <c r="P432" t="str">
        <f>IFERROR(__xludf.DUMMYFUNCTION("""COMPUTED_VALUE"""),"Jimmy")</f>
        <v>Jimmy</v>
      </c>
      <c r="Q432" t="str">
        <f>IFERROR(__xludf.DUMMYFUNCTION("""COMPUTED_VALUE"""),"All items in working order")</f>
        <v>All items in working order</v>
      </c>
      <c r="AE432" s="11"/>
      <c r="AF432" t="s">
        <v>32</v>
      </c>
      <c r="AG432" s="18"/>
      <c r="AI432" s="12" t="s">
        <v>1250</v>
      </c>
      <c r="AJ432" s="19" t="s">
        <v>1251</v>
      </c>
      <c r="AK432" s="20" t="str">
        <f>HYPERLINK("https://docs.google.com/document/d/1_EblonXbm1yhjT1MEa_-F031_IGkFPSW7vWvu5Hsklg/edit?usp=drivesdk","Jimmy Tomazinis - 12/5/2019 10:00 AM")</f>
        <v>Jimmy Tomazinis - 12/5/2019 10:00 AM</v>
      </c>
      <c r="AL432" s="12" t="s">
        <v>1252</v>
      </c>
    </row>
    <row r="433">
      <c r="A433" s="10">
        <f>IFERROR(__xludf.DUMMYFUNCTION("""COMPUTED_VALUE"""),43808.556866203704)</f>
        <v>43808.55687</v>
      </c>
      <c r="B433" s="11" t="str">
        <f>IFERROR(__xludf.DUMMYFUNCTION("""COMPUTED_VALUE"""),"J Silas Tanner")</f>
        <v>J Silas Tanner</v>
      </c>
      <c r="C433" t="str">
        <f>IFERROR(__xludf.DUMMYFUNCTION("""COMPUTED_VALUE"""),"silas.tanner@floridadep.gov")</f>
        <v>silas.tanner@floridadep.gov</v>
      </c>
      <c r="D433" t="str">
        <f>IFERROR(__xludf.DUMMYFUNCTION("""COMPUTED_VALUE"""),"Research/Shannon")</f>
        <v>Research/Shannon</v>
      </c>
      <c r="E433" t="str">
        <f>IFERROR(__xludf.DUMMYFUNCTION("""COMPUTED_VALUE"""),"Vilano Landing")</f>
        <v>Vilano Landing</v>
      </c>
      <c r="F433" s="13">
        <f>IFERROR(__xludf.DUMMYFUNCTION("""COMPUTED_VALUE"""),0.3020833333321207)</f>
        <v>0.3020833333</v>
      </c>
      <c r="G433" s="14">
        <f>IFERROR(__xludf.DUMMYFUNCTION("""COMPUTED_VALUE"""),43809.0)</f>
        <v>43809</v>
      </c>
      <c r="H433" t="str">
        <f>IFERROR(__xludf.DUMMYFUNCTION("""COMPUTED_VALUE"""),"ICW SWMP Sites")</f>
        <v>ICW SWMP Sites</v>
      </c>
      <c r="I433" s="15">
        <f>IFERROR(__xludf.DUMMYFUNCTION("""COMPUTED_VALUE"""),0.5208333333321207)</f>
        <v>0.5208333333</v>
      </c>
      <c r="J433" s="16">
        <f>IFERROR(__xludf.DUMMYFUNCTION("""COMPUTED_VALUE"""),43809.54166666667)</f>
        <v>43809.54167</v>
      </c>
      <c r="K433" t="str">
        <f>IFERROR(__xludf.DUMMYFUNCTION("""COMPUTED_VALUE"""),"23ft Skiff (Bertha) FL7972LJ DEP07613")</f>
        <v>23ft Skiff (Bertha) FL7972LJ DEP07613</v>
      </c>
      <c r="M433" t="str">
        <f>IFERROR(__xludf.DUMMYFUNCTION("""COMPUTED_VALUE"""),"Ford F250 2017 (Moby Dix) - DEP0021578")</f>
        <v>Ford F250 2017 (Moby Dix) - DEP0021578</v>
      </c>
      <c r="N433" t="str">
        <f>IFERROR(__xludf.DUMMYFUNCTION("""COMPUTED_VALUE"""),"Silas Tanner, (904) 483-8423")</f>
        <v>Silas Tanner, (904) 483-8423</v>
      </c>
      <c r="O433" t="str">
        <f>IFERROR(__xludf.DUMMYFUNCTION("""COMPUTED_VALUE"""),"Casey McClure")</f>
        <v>Casey McClure</v>
      </c>
      <c r="P433" t="str">
        <f>IFERROR(__xludf.DUMMYFUNCTION("""COMPUTED_VALUE"""),"S. Tanner")</f>
        <v>S. Tanner</v>
      </c>
      <c r="Q433" t="str">
        <f>IFERROR(__xludf.DUMMYFUNCTION("""COMPUTED_VALUE"""),"All items in working order")</f>
        <v>All items in working order</v>
      </c>
      <c r="AE433" s="11"/>
      <c r="AF433" t="s">
        <v>269</v>
      </c>
      <c r="AG433" s="17" t="s">
        <v>18</v>
      </c>
      <c r="AH433" s="12">
        <v>1135.0</v>
      </c>
      <c r="AI433" s="12" t="s">
        <v>1253</v>
      </c>
      <c r="AJ433" s="19" t="s">
        <v>1254</v>
      </c>
      <c r="AK433" s="20" t="str">
        <f>HYPERLINK("https://docs.google.com/document/d/1kHlAOqzXYOdFmF5mwK116zmtf-WGoNyKYM7eg3XI8fI/edit?usp=drivesdk","J Silas Tanner - 12/10/2019 7:15 AM")</f>
        <v>J Silas Tanner - 12/10/2019 7:15 AM</v>
      </c>
      <c r="AL433" s="12" t="s">
        <v>1255</v>
      </c>
    </row>
    <row r="434">
      <c r="A434" s="10">
        <f>IFERROR(__xludf.DUMMYFUNCTION("""COMPUTED_VALUE"""),43810.30505822917)</f>
        <v>43810.30506</v>
      </c>
      <c r="B434" s="11" t="str">
        <f>IFERROR(__xludf.DUMMYFUNCTION("""COMPUTED_VALUE"""),"Jimmy Tomazinis")</f>
        <v>Jimmy Tomazinis</v>
      </c>
      <c r="C434" t="str">
        <f>IFERROR(__xludf.DUMMYFUNCTION("""COMPUTED_VALUE"""),"james.tomazinis@floridadep.gov")</f>
        <v>james.tomazinis@floridadep.gov</v>
      </c>
      <c r="D434" t="str">
        <f>IFERROR(__xludf.DUMMYFUNCTION("""COMPUTED_VALUE"""),"Stewardship (Aquatic)")</f>
        <v>Stewardship (Aquatic)</v>
      </c>
      <c r="E434" t="str">
        <f>IFERROR(__xludf.DUMMYFUNCTION("""COMPUTED_VALUE"""),"Dee dee bartels, Nassauville")</f>
        <v>Dee dee bartels, Nassauville</v>
      </c>
      <c r="F434" s="13">
        <f>IFERROR(__xludf.DUMMYFUNCTION("""COMPUTED_VALUE"""),0.375)</f>
        <v>0.375</v>
      </c>
      <c r="G434" s="14">
        <f>IFERROR(__xludf.DUMMYFUNCTION("""COMPUTED_VALUE"""),43810.0)</f>
        <v>43810</v>
      </c>
      <c r="H434" t="str">
        <f>IFERROR(__xludf.DUMMYFUNCTION("""COMPUTED_VALUE"""),"NEAP WQ sites")</f>
        <v>NEAP WQ sites</v>
      </c>
      <c r="I434" s="15">
        <f>IFERROR(__xludf.DUMMYFUNCTION("""COMPUTED_VALUE"""),0.5833333333321207)</f>
        <v>0.5833333333</v>
      </c>
      <c r="J434" s="16"/>
      <c r="K434" t="str">
        <f>IFERROR(__xludf.DUMMYFUNCTION("""COMPUTED_VALUE"""),"17ft Skiff (Marsha) FL0642GW DEP07239")</f>
        <v>17ft Skiff (Marsha) FL0642GW DEP07239</v>
      </c>
      <c r="M434" t="str">
        <f>IFERROR(__xludf.DUMMYFUNCTION("""COMPUTED_VALUE"""),"Ford F150 2008 (SWMP Thing) - DEP18041")</f>
        <v>Ford F150 2008 (SWMP Thing) - DEP18041</v>
      </c>
      <c r="N434" t="str">
        <f>IFERROR(__xludf.DUMMYFUNCTION("""COMPUTED_VALUE"""),"Jimmy Tomazinis, (904) 547-0094")</f>
        <v>Jimmy Tomazinis, (904) 547-0094</v>
      </c>
      <c r="O434" t="str">
        <f>IFERROR(__xludf.DUMMYFUNCTION("""COMPUTED_VALUE"""),"Suzi, Alicia")</f>
        <v>Suzi, Alicia</v>
      </c>
      <c r="P434" t="str">
        <f>IFERROR(__xludf.DUMMYFUNCTION("""COMPUTED_VALUE"""),"Jimmy")</f>
        <v>Jimmy</v>
      </c>
      <c r="Q434" t="str">
        <f>IFERROR(__xludf.DUMMYFUNCTION("""COMPUTED_VALUE"""),"All items in working order")</f>
        <v>All items in working order</v>
      </c>
      <c r="AE434" s="11"/>
      <c r="AF434" t="s">
        <v>32</v>
      </c>
      <c r="AG434" s="17" t="s">
        <v>18</v>
      </c>
      <c r="AH434" s="12">
        <v>1255.0</v>
      </c>
      <c r="AI434" s="12" t="s">
        <v>1256</v>
      </c>
      <c r="AJ434" s="19" t="s">
        <v>1257</v>
      </c>
      <c r="AK434" s="20" t="str">
        <f>HYPERLINK("https://docs.google.com/document/d/1IKbSBBabOKlmi4SgTvDk2__OUMhoNNZui34H6pmKKbs/edit?usp=drivesdk","Jimmy Tomazinis - 12/11/2019 9:00 AM")</f>
        <v>Jimmy Tomazinis - 12/11/2019 9:00 AM</v>
      </c>
      <c r="AL434" s="12" t="s">
        <v>1258</v>
      </c>
    </row>
    <row r="435">
      <c r="A435" s="10">
        <f>IFERROR(__xludf.DUMMYFUNCTION("""COMPUTED_VALUE"""),43815.37188416666)</f>
        <v>43815.37188</v>
      </c>
      <c r="B435" s="11" t="str">
        <f>IFERROR(__xludf.DUMMYFUNCTION("""COMPUTED_VALUE"""),"Shannon Dunnigan")</f>
        <v>Shannon Dunnigan</v>
      </c>
      <c r="C435" t="str">
        <f>IFERROR(__xludf.DUMMYFUNCTION("""COMPUTED_VALUE"""),"shannon.dunnigan@floridadep.gov")</f>
        <v>shannon.dunnigan@floridadep.gov</v>
      </c>
      <c r="D435" t="str">
        <f>IFERROR(__xludf.DUMMYFUNCTION("""COMPUTED_VALUE"""),"Research/Nikki")</f>
        <v>Research/Nikki</v>
      </c>
      <c r="E435" t="str">
        <f>IFERROR(__xludf.DUMMYFUNCTION("""COMPUTED_VALUE"""),"Moses")</f>
        <v>Moses</v>
      </c>
      <c r="F435" s="13">
        <f>IFERROR(__xludf.DUMMYFUNCTION("""COMPUTED_VALUE"""),0.3854166666678793)</f>
        <v>0.3854166667</v>
      </c>
      <c r="G435" s="14">
        <f>IFERROR(__xludf.DUMMYFUNCTION("""COMPUTED_VALUE"""),43815.0)</f>
        <v>43815</v>
      </c>
      <c r="H435" t="str">
        <f>IFERROR(__xludf.DUMMYFUNCTION("""COMPUTED_VALUE"""),"Moses platforms")</f>
        <v>Moses platforms</v>
      </c>
      <c r="I435" s="15">
        <f>IFERROR(__xludf.DUMMYFUNCTION("""COMPUTED_VALUE"""),0.46875)</f>
        <v>0.46875</v>
      </c>
      <c r="J435" s="16">
        <f>IFERROR(__xludf.DUMMYFUNCTION("""COMPUTED_VALUE"""),43815.54166666667)</f>
        <v>43815.54167</v>
      </c>
      <c r="K435" t="str">
        <f>IFERROR(__xludf.DUMMYFUNCTION("""COMPUTED_VALUE"""),"Kayak(s)")</f>
        <v>Kayak(s)</v>
      </c>
      <c r="L435">
        <f>IFERROR(__xludf.DUMMYFUNCTION("""COMPUTED_VALUE"""),1.0)</f>
        <v>1</v>
      </c>
      <c r="M435" t="str">
        <f>IFERROR(__xludf.DUMMYFUNCTION("""COMPUTED_VALUE"""),"Ford F250 2017 (Moby Dix) - DEP0021578")</f>
        <v>Ford F250 2017 (Moby Dix) - DEP0021578</v>
      </c>
      <c r="N435" t="str">
        <f>IFERROR(__xludf.DUMMYFUNCTION("""COMPUTED_VALUE"""),"Shannon Dunnigan, (803) 727-5734, Silas Tanner, (904) 483-8423")</f>
        <v>Shannon Dunnigan, (803) 727-5734, Silas Tanner, (904) 483-8423</v>
      </c>
      <c r="P435" t="str">
        <f>IFERROR(__xludf.DUMMYFUNCTION("""COMPUTED_VALUE"""),"Shannon")</f>
        <v>Shannon</v>
      </c>
      <c r="Q435" t="str">
        <f>IFERROR(__xludf.DUMMYFUNCTION("""COMPUTED_VALUE"""),"All items in working order")</f>
        <v>All items in working order</v>
      </c>
      <c r="AE435" s="11"/>
      <c r="AF435" t="s">
        <v>218</v>
      </c>
      <c r="AG435" s="17" t="s">
        <v>18</v>
      </c>
      <c r="AH435" s="12">
        <v>1145.0</v>
      </c>
      <c r="AI435" s="12" t="s">
        <v>1259</v>
      </c>
      <c r="AJ435" s="19" t="s">
        <v>1260</v>
      </c>
      <c r="AK435" s="20" t="str">
        <f>HYPERLINK("https://docs.google.com/document/d/1qZ-a0BeL3hRyRq4l3YXrwKyyqKN5gkchWbLgF1XfHNo/edit?usp=drivesdk","Shannon Dunnigan - 12/16/2019 9:15 AM")</f>
        <v>Shannon Dunnigan - 12/16/2019 9:15 AM</v>
      </c>
      <c r="AL435" s="12" t="s">
        <v>1261</v>
      </c>
    </row>
    <row r="436">
      <c r="A436" s="10">
        <f>IFERROR(__xludf.DUMMYFUNCTION("""COMPUTED_VALUE"""),43815.50697790509)</f>
        <v>43815.50698</v>
      </c>
      <c r="B436" s="11" t="str">
        <f>IFERROR(__xludf.DUMMYFUNCTION("""COMPUTED_VALUE"""),"Jimmy Tomazinis")</f>
        <v>Jimmy Tomazinis</v>
      </c>
      <c r="C436" t="str">
        <f>IFERROR(__xludf.DUMMYFUNCTION("""COMPUTED_VALUE"""),"james.tomazinis@floridadep.gov")</f>
        <v>james.tomazinis@floridadep.gov</v>
      </c>
      <c r="D436" t="str">
        <f>IFERROR(__xludf.DUMMYFUNCTION("""COMPUTED_VALUE"""),"Stewardship (Aquatic)")</f>
        <v>Stewardship (Aquatic)</v>
      </c>
      <c r="E436" t="str">
        <f>IFERROR(__xludf.DUMMYFUNCTION("""COMPUTED_VALUE"""),"Guana Dam")</f>
        <v>Guana Dam</v>
      </c>
      <c r="F436" s="13">
        <f>IFERROR(__xludf.DUMMYFUNCTION("""COMPUTED_VALUE"""),0.53125)</f>
        <v>0.53125</v>
      </c>
      <c r="G436" s="14">
        <f>IFERROR(__xludf.DUMMYFUNCTION("""COMPUTED_VALUE"""),43815.0)</f>
        <v>43815</v>
      </c>
      <c r="H436" t="str">
        <f>IFERROR(__xludf.DUMMYFUNCTION("""COMPUTED_VALUE"""),"Guana WQ sites")</f>
        <v>Guana WQ sites</v>
      </c>
      <c r="I436" s="15">
        <f>IFERROR(__xludf.DUMMYFUNCTION("""COMPUTED_VALUE"""),0.6145833333321207)</f>
        <v>0.6145833333</v>
      </c>
      <c r="J436" s="16"/>
      <c r="K436" t="str">
        <f>IFERROR(__xludf.DUMMYFUNCTION("""COMPUTED_VALUE"""),"Jon Boat FL0484NP DEP06819")</f>
        <v>Jon Boat FL0484NP DEP06819</v>
      </c>
      <c r="M436" t="str">
        <f>IFERROR(__xludf.DUMMYFUNCTION("""COMPUTED_VALUE"""),"Ford F150 2015 (White) - DEP21448")</f>
        <v>Ford F150 2015 (White) - DEP21448</v>
      </c>
      <c r="N436" t="str">
        <f>IFERROR(__xludf.DUMMYFUNCTION("""COMPUTED_VALUE"""),"Jimmy Tomazinis, (904) 547-0094")</f>
        <v>Jimmy Tomazinis, (904) 547-0094</v>
      </c>
      <c r="O436" t="str">
        <f>IFERROR(__xludf.DUMMYFUNCTION("""COMPUTED_VALUE"""),"Jess, ")</f>
        <v>Jess, </v>
      </c>
      <c r="P436" t="str">
        <f>IFERROR(__xludf.DUMMYFUNCTION("""COMPUTED_VALUE"""),"Jimmy")</f>
        <v>Jimmy</v>
      </c>
      <c r="Q436" t="str">
        <f>IFERROR(__xludf.DUMMYFUNCTION("""COMPUTED_VALUE"""),"All items in working order")</f>
        <v>All items in working order</v>
      </c>
      <c r="AE436" s="11"/>
      <c r="AF436" t="s">
        <v>32</v>
      </c>
      <c r="AG436" s="17" t="s">
        <v>18</v>
      </c>
      <c r="AH436" s="12">
        <v>1420.0</v>
      </c>
      <c r="AI436" s="12" t="s">
        <v>1262</v>
      </c>
      <c r="AJ436" s="19" t="s">
        <v>1263</v>
      </c>
      <c r="AK436" s="20" t="str">
        <f>HYPERLINK("https://docs.google.com/document/d/1OPJyWfnlaorB8XlVsMWimPBNc-pOQRB-7mepBOTyZ_U/edit?usp=drivesdk","Jimmy Tomazinis - 12/16/2019 12:45 PM")</f>
        <v>Jimmy Tomazinis - 12/16/2019 12:45 PM</v>
      </c>
      <c r="AL436" s="12" t="s">
        <v>1264</v>
      </c>
    </row>
    <row r="437">
      <c r="A437" s="10">
        <f>IFERROR(__xludf.DUMMYFUNCTION("""COMPUTED_VALUE"""),43817.40760157407)</f>
        <v>43817.4076</v>
      </c>
      <c r="B437" s="11" t="str">
        <f>IFERROR(__xludf.DUMMYFUNCTION("""COMPUTED_VALUE"""),"Silas Tanner")</f>
        <v>Silas Tanner</v>
      </c>
      <c r="C437" t="str">
        <f>IFERROR(__xludf.DUMMYFUNCTION("""COMPUTED_VALUE"""),"silas.tanner@floridadep.gov")</f>
        <v>silas.tanner@floridadep.gov</v>
      </c>
      <c r="D437" t="str">
        <f>IFERROR(__xludf.DUMMYFUNCTION("""COMPUTED_VALUE"""),"Research/Nikki")</f>
        <v>Research/Nikki</v>
      </c>
      <c r="E437" t="str">
        <f>IFERROR(__xludf.DUMMYFUNCTION("""COMPUTED_VALUE"""),"Green Road ramp, Crane ramp, Aunt Kate's")</f>
        <v>Green Road ramp, Crane ramp, Aunt Kate's</v>
      </c>
      <c r="F437" s="13">
        <f>IFERROR(__xludf.DUMMYFUNCTION("""COMPUTED_VALUE"""),0.4583333333321207)</f>
        <v>0.4583333333</v>
      </c>
      <c r="G437" s="14">
        <f>IFERROR(__xludf.DUMMYFUNCTION("""COMPUTED_VALUE"""),43817.0)</f>
        <v>43817</v>
      </c>
      <c r="H437" t="str">
        <f>IFERROR(__xludf.DUMMYFUNCTION("""COMPUTED_VALUE"""),"ICW SWMP sites")</f>
        <v>ICW SWMP sites</v>
      </c>
      <c r="I437" s="15">
        <f>IFERROR(__xludf.DUMMYFUNCTION("""COMPUTED_VALUE"""),0.625)</f>
        <v>0.625</v>
      </c>
      <c r="J437" s="16">
        <f>IFERROR(__xludf.DUMMYFUNCTION("""COMPUTED_VALUE"""),43817.63541666667)</f>
        <v>43817.63542</v>
      </c>
      <c r="K437" t="str">
        <f>IFERROR(__xludf.DUMMYFUNCTION("""COMPUTED_VALUE"""),"20ft Sea Ark FL5351SJ UNF 2015")</f>
        <v>20ft Sea Ark FL5351SJ UNF 2015</v>
      </c>
      <c r="M437" t="str">
        <f>IFERROR(__xludf.DUMMYFUNCTION("""COMPUTED_VALUE"""),"Ford F250 2017 (Moby Dix) - DEP0021578")</f>
        <v>Ford F250 2017 (Moby Dix) - DEP0021578</v>
      </c>
      <c r="N437" t="str">
        <f>IFERROR(__xludf.DUMMYFUNCTION("""COMPUTED_VALUE"""),"Shannon Dunnigan, (803) 727-5734, Silas Tanner, (904) 483-8423")</f>
        <v>Shannon Dunnigan, (803) 727-5734, Silas Tanner, (904) 483-8423</v>
      </c>
      <c r="P437" t="str">
        <f>IFERROR(__xludf.DUMMYFUNCTION("""COMPUTED_VALUE"""),"S. Dunnigan")</f>
        <v>S. Dunnigan</v>
      </c>
      <c r="Q437" t="str">
        <f>IFERROR(__xludf.DUMMYFUNCTION("""COMPUTED_VALUE"""),"All items in working order")</f>
        <v>All items in working order</v>
      </c>
      <c r="AE437" s="11"/>
      <c r="AF437" t="s">
        <v>218</v>
      </c>
      <c r="AG437" s="17" t="s">
        <v>60</v>
      </c>
      <c r="AH437" s="12">
        <v>1400.0</v>
      </c>
      <c r="AI437" s="12" t="s">
        <v>1265</v>
      </c>
      <c r="AJ437" s="19" t="s">
        <v>1266</v>
      </c>
      <c r="AK437" s="20" t="str">
        <f>HYPERLINK("https://docs.google.com/document/d/1LC1IYvAnDIH6sgJDDdHDIbOJPCKDdI8tSBH5EYeaN9I/edit?usp=drivesdk","Silas Tanner - 12/18/2019 11:00 AM")</f>
        <v>Silas Tanner - 12/18/2019 11:00 AM</v>
      </c>
      <c r="AL437" s="12" t="s">
        <v>1267</v>
      </c>
    </row>
    <row r="438">
      <c r="A438" s="10">
        <f>IFERROR(__xludf.DUMMYFUNCTION("""COMPUTED_VALUE"""),43818.407351851856)</f>
        <v>43818.40735</v>
      </c>
      <c r="B438" s="11" t="str">
        <f>IFERROR(__xludf.DUMMYFUNCTION("""COMPUTED_VALUE"""),"J Silas Tanner")</f>
        <v>J Silas Tanner</v>
      </c>
      <c r="C438" t="str">
        <f>IFERROR(__xludf.DUMMYFUNCTION("""COMPUTED_VALUE"""),"silas.tanner@floridadep.gov")</f>
        <v>silas.tanner@floridadep.gov</v>
      </c>
      <c r="D438" t="str">
        <f>IFERROR(__xludf.DUMMYFUNCTION("""COMPUTED_VALUE"""),"Research/Nikki")</f>
        <v>Research/Nikki</v>
      </c>
      <c r="E438" t="str">
        <f>IFERROR(__xludf.DUMMYFUNCTION("""COMPUTED_VALUE"""),"Palm Valley")</f>
        <v>Palm Valley</v>
      </c>
      <c r="F438" s="13">
        <f>IFERROR(__xludf.DUMMYFUNCTION("""COMPUTED_VALUE"""),0.4270833333321207)</f>
        <v>0.4270833333</v>
      </c>
      <c r="G438" s="14">
        <f>IFERROR(__xludf.DUMMYFUNCTION("""COMPUTED_VALUE"""),43818.0)</f>
        <v>43818</v>
      </c>
      <c r="H438" t="str">
        <f>IFERROR(__xludf.DUMMYFUNCTION("""COMPUTED_VALUE"""),"Pine Island SWMP site")</f>
        <v>Pine Island SWMP site</v>
      </c>
      <c r="I438" s="15">
        <f>IFERROR(__xludf.DUMMYFUNCTION("""COMPUTED_VALUE"""),0.4895833333321207)</f>
        <v>0.4895833333</v>
      </c>
      <c r="J438" s="16">
        <f>IFERROR(__xludf.DUMMYFUNCTION("""COMPUTED_VALUE"""),43818.50069444445)</f>
        <v>43818.50069</v>
      </c>
      <c r="K438" t="str">
        <f>IFERROR(__xludf.DUMMYFUNCTION("""COMPUTED_VALUE"""),"20ft Sea Ark FL5351SJ UNF 2015")</f>
        <v>20ft Sea Ark FL5351SJ UNF 2015</v>
      </c>
      <c r="M438" t="str">
        <f>IFERROR(__xludf.DUMMYFUNCTION("""COMPUTED_VALUE"""),"Ford F250 2017 (Moby Dix) - DEP0021578")</f>
        <v>Ford F250 2017 (Moby Dix) - DEP0021578</v>
      </c>
      <c r="N438" t="str">
        <f>IFERROR(__xludf.DUMMYFUNCTION("""COMPUTED_VALUE"""),"Silas Tanner, (904) 483-8423")</f>
        <v>Silas Tanner, (904) 483-8423</v>
      </c>
      <c r="O438" t="str">
        <f>IFERROR(__xludf.DUMMYFUNCTION("""COMPUTED_VALUE"""),"Alee Knoell, (619) 750-4833")</f>
        <v>Alee Knoell, (619) 750-4833</v>
      </c>
      <c r="P438" t="str">
        <f>IFERROR(__xludf.DUMMYFUNCTION("""COMPUTED_VALUE"""),"Tanner")</f>
        <v>Tanner</v>
      </c>
      <c r="Q438" t="str">
        <f>IFERROR(__xludf.DUMMYFUNCTION("""COMPUTED_VALUE"""),"All items in working order")</f>
        <v>All items in working order</v>
      </c>
      <c r="AE438" s="11"/>
      <c r="AF438" t="s">
        <v>218</v>
      </c>
      <c r="AG438" s="17" t="s">
        <v>511</v>
      </c>
      <c r="AH438" s="12">
        <v>1130.0</v>
      </c>
      <c r="AI438" s="12" t="s">
        <v>1268</v>
      </c>
      <c r="AJ438" s="19" t="s">
        <v>1269</v>
      </c>
      <c r="AK438" s="20" t="str">
        <f>HYPERLINK("https://docs.google.com/document/d/1txL1NkJIk-erA6B1p-O-zeeuqlFx5VgDXw_om0hByYQ/edit?usp=drivesdk","J Silas Tanner - 12/19/2019 10:15 AM")</f>
        <v>J Silas Tanner - 12/19/2019 10:15 AM</v>
      </c>
      <c r="AL438" s="12" t="s">
        <v>1270</v>
      </c>
    </row>
    <row r="439">
      <c r="A439" s="10">
        <f>IFERROR(__xludf.DUMMYFUNCTION("""COMPUTED_VALUE"""),43818.426369803245)</f>
        <v>43818.42637</v>
      </c>
      <c r="B439" s="11" t="str">
        <f>IFERROR(__xludf.DUMMYFUNCTION("""COMPUTED_VALUE"""),"Gabriela Canas")</f>
        <v>Gabriela Canas</v>
      </c>
      <c r="C439" t="str">
        <f>IFERROR(__xludf.DUMMYFUNCTION("""COMPUTED_VALUE"""),"n00836133@unf.edu")</f>
        <v>n00836133@unf.edu</v>
      </c>
      <c r="D439" t="str">
        <f>IFERROR(__xludf.DUMMYFUNCTION("""COMPUTED_VALUE"""),"Research/Nikki")</f>
        <v>Research/Nikki</v>
      </c>
      <c r="E439" t="str">
        <f>IFERROR(__xludf.DUMMYFUNCTION("""COMPUTED_VALUE"""),"Douglas crane")</f>
        <v>Douglas crane</v>
      </c>
      <c r="F439" s="13">
        <f>IFERROR(__xludf.DUMMYFUNCTION("""COMPUTED_VALUE"""),0.4583333333321207)</f>
        <v>0.4583333333</v>
      </c>
      <c r="G439" s="14">
        <f>IFERROR(__xludf.DUMMYFUNCTION("""COMPUTED_VALUE"""),43818.0)</f>
        <v>43818</v>
      </c>
      <c r="H439" t="str">
        <f>IFERROR(__xludf.DUMMYFUNCTION("""COMPUTED_VALUE"""),"WETFEET middle site")</f>
        <v>WETFEET middle site</v>
      </c>
      <c r="I439" s="15">
        <f>IFERROR(__xludf.DUMMYFUNCTION("""COMPUTED_VALUE"""),0.5833333333321207)</f>
        <v>0.5833333333</v>
      </c>
      <c r="J439" s="16">
        <f>IFERROR(__xludf.DUMMYFUNCTION("""COMPUTED_VALUE"""),43818.61458333333)</f>
        <v>43818.61458</v>
      </c>
      <c r="K439" t="str">
        <f>IFERROR(__xludf.DUMMYFUNCTION("""COMPUTED_VALUE"""),"17ft Skiff (Marsha) FL0642GW DEP07239")</f>
        <v>17ft Skiff (Marsha) FL0642GW DEP07239</v>
      </c>
      <c r="M439" t="str">
        <f>IFERROR(__xludf.DUMMYFUNCTION("""COMPUTED_VALUE"""),"Ford F150 2008 (SWMP Thing) - DEP18041")</f>
        <v>Ford F150 2008 (SWMP Thing) - DEP18041</v>
      </c>
      <c r="N439" t="str">
        <f>IFERROR(__xludf.DUMMYFUNCTION("""COMPUTED_VALUE"""),"Pam Marcum, (480) 332-5414")</f>
        <v>Pam Marcum, (480) 332-5414</v>
      </c>
      <c r="O439" t="str">
        <f>IFERROR(__xludf.DUMMYFUNCTION("""COMPUTED_VALUE"""),"Gabriela Canas, (904) 891-9743")</f>
        <v>Gabriela Canas, (904) 891-9743</v>
      </c>
      <c r="P439" t="str">
        <f>IFERROR(__xludf.DUMMYFUNCTION("""COMPUTED_VALUE"""),"Pam")</f>
        <v>Pam</v>
      </c>
      <c r="Q439" t="str">
        <f>IFERROR(__xludf.DUMMYFUNCTION("""COMPUTED_VALUE"""),"All items in working order")</f>
        <v>All items in working order</v>
      </c>
      <c r="AE439" s="11"/>
      <c r="AF439" t="s">
        <v>218</v>
      </c>
      <c r="AG439" s="17" t="s">
        <v>60</v>
      </c>
      <c r="AH439" s="12">
        <v>1340.0</v>
      </c>
      <c r="AI439" s="12" t="s">
        <v>1271</v>
      </c>
      <c r="AJ439" s="19" t="s">
        <v>1272</v>
      </c>
      <c r="AK439" s="20" t="str">
        <f>HYPERLINK("https://docs.google.com/document/d/1NN0E003fhNBJAqT_4wA1n1fHv_OIrnwXZ5Cod5eNRaQ/edit?usp=drivesdk","Gabriela Canas - 12/19/2019 11:00 AM")</f>
        <v>Gabriela Canas - 12/19/2019 11:00 AM</v>
      </c>
      <c r="AL439" s="12" t="s">
        <v>1273</v>
      </c>
    </row>
    <row r="440">
      <c r="A440" s="10">
        <f>IFERROR(__xludf.DUMMYFUNCTION("""COMPUTED_VALUE"""),43819.586192766204)</f>
        <v>43819.58619</v>
      </c>
      <c r="B440" s="11" t="str">
        <f>IFERROR(__xludf.DUMMYFUNCTION("""COMPUTED_VALUE"""),"Jessica Lee")</f>
        <v>Jessica Lee</v>
      </c>
      <c r="C440" t="str">
        <f>IFERROR(__xludf.DUMMYFUNCTION("""COMPUTED_VALUE"""),"jessica.lee@FloridaDEP.gov")</f>
        <v>jessica.lee@FloridaDEP.gov</v>
      </c>
      <c r="D440" t="str">
        <f>IFERROR(__xludf.DUMMYFUNCTION("""COMPUTED_VALUE"""),"Research/Nikki")</f>
        <v>Research/Nikki</v>
      </c>
      <c r="E440" t="str">
        <f>IFERROR(__xludf.DUMMYFUNCTION("""COMPUTED_VALUE"""),"Guana")</f>
        <v>Guana</v>
      </c>
      <c r="F440" s="13">
        <f>IFERROR(__xludf.DUMMYFUNCTION("""COMPUTED_VALUE"""),0.2916666666678793)</f>
        <v>0.2916666667</v>
      </c>
      <c r="G440" s="14">
        <f>IFERROR(__xludf.DUMMYFUNCTION("""COMPUTED_VALUE"""),43822.0)</f>
        <v>43822</v>
      </c>
      <c r="H440" t="str">
        <f>IFERROR(__xludf.DUMMYFUNCTION("""COMPUTED_VALUE"""),"Guana River")</f>
        <v>Guana River</v>
      </c>
      <c r="I440" s="15">
        <f>IFERROR(__xludf.DUMMYFUNCTION("""COMPUTED_VALUE"""),0.3541666666678793)</f>
        <v>0.3541666667</v>
      </c>
      <c r="J440" s="16">
        <f>IFERROR(__xludf.DUMMYFUNCTION("""COMPUTED_VALUE"""),43822.375)</f>
        <v>43822.375</v>
      </c>
      <c r="K440" t="str">
        <f>IFERROR(__xludf.DUMMYFUNCTION("""COMPUTED_VALUE"""),"Jon Boat FL0484NP DEP06819")</f>
        <v>Jon Boat FL0484NP DEP06819</v>
      </c>
      <c r="M440" t="str">
        <f>IFERROR(__xludf.DUMMYFUNCTION("""COMPUTED_VALUE"""),"Ford F150 2015 (White) - DEP21448")</f>
        <v>Ford F150 2015 (White) - DEP21448</v>
      </c>
      <c r="N440" t="str">
        <f>IFERROR(__xludf.DUMMYFUNCTION("""COMPUTED_VALUE"""),"Jimmy Tomazinis, (904) 547-0094")</f>
        <v>Jimmy Tomazinis, (904) 547-0094</v>
      </c>
      <c r="O440" t="str">
        <f>IFERROR(__xludf.DUMMYFUNCTION("""COMPUTED_VALUE"""),"Jessica Lee")</f>
        <v>Jessica Lee</v>
      </c>
      <c r="P440" t="str">
        <f>IFERROR(__xludf.DUMMYFUNCTION("""COMPUTED_VALUE"""),"Jessica Lee")</f>
        <v>Jessica Lee</v>
      </c>
      <c r="Q440" t="str">
        <f>IFERROR(__xludf.DUMMYFUNCTION("""COMPUTED_VALUE"""),"All items in working order")</f>
        <v>All items in working order</v>
      </c>
      <c r="AE440" s="11"/>
      <c r="AF440" t="s">
        <v>218</v>
      </c>
      <c r="AG440" s="18"/>
      <c r="AI440" s="12" t="s">
        <v>1274</v>
      </c>
      <c r="AJ440" s="19" t="s">
        <v>1275</v>
      </c>
      <c r="AK440" s="20" t="str">
        <f>HYPERLINK("https://docs.google.com/document/d/1zuFEsKkrq9M6ZGAYBwp5wojo8R4vd7PN6fTx65IXQLA/edit?usp=drivesdk","Jessica Lee - 12/23/2019 7:00 AM")</f>
        <v>Jessica Lee - 12/23/2019 7:00 AM</v>
      </c>
      <c r="AL440" s="12" t="s">
        <v>1276</v>
      </c>
    </row>
    <row r="441">
      <c r="A441" s="10">
        <f>IFERROR(__xludf.DUMMYFUNCTION("""COMPUTED_VALUE"""),43829.4694525463)</f>
        <v>43829.46945</v>
      </c>
      <c r="B441" s="11" t="str">
        <f>IFERROR(__xludf.DUMMYFUNCTION("""COMPUTED_VALUE"""),"Jessica Lee")</f>
        <v>Jessica Lee</v>
      </c>
      <c r="C441" t="str">
        <f>IFERROR(__xludf.DUMMYFUNCTION("""COMPUTED_VALUE"""),"jessica.lee@FloridaDEP.gov")</f>
        <v>jessica.lee@FloridaDEP.gov</v>
      </c>
      <c r="D441" t="str">
        <f>IFERROR(__xludf.DUMMYFUNCTION("""COMPUTED_VALUE"""),"Research/Nikki")</f>
        <v>Research/Nikki</v>
      </c>
      <c r="E441" t="str">
        <f>IFERROR(__xludf.DUMMYFUNCTION("""COMPUTED_VALUE"""),"Guana River")</f>
        <v>Guana River</v>
      </c>
      <c r="F441" s="13">
        <f>IFERROR(__xludf.DUMMYFUNCTION("""COMPUTED_VALUE"""),0.5)</f>
        <v>0.5</v>
      </c>
      <c r="G441" s="14">
        <f>IFERROR(__xludf.DUMMYFUNCTION("""COMPUTED_VALUE"""),43829.0)</f>
        <v>43829</v>
      </c>
      <c r="H441" t="str">
        <f>IFERROR(__xludf.DUMMYFUNCTION("""COMPUTED_VALUE"""),"Guana River")</f>
        <v>Guana River</v>
      </c>
      <c r="I441" s="15">
        <f>IFERROR(__xludf.DUMMYFUNCTION("""COMPUTED_VALUE"""),0.5416666666678793)</f>
        <v>0.5416666667</v>
      </c>
      <c r="J441" s="16">
        <f>IFERROR(__xludf.DUMMYFUNCTION("""COMPUTED_VALUE"""),43829.55208333333)</f>
        <v>43829.55208</v>
      </c>
      <c r="K441" t="str">
        <f>IFERROR(__xludf.DUMMYFUNCTION("""COMPUTED_VALUE"""),"Jon Boat FL0484NP DEP06819")</f>
        <v>Jon Boat FL0484NP DEP06819</v>
      </c>
      <c r="M441" t="str">
        <f>IFERROR(__xludf.DUMMYFUNCTION("""COMPUTED_VALUE"""),"Ford F150 2015 (White) - DEP21448")</f>
        <v>Ford F150 2015 (White) - DEP21448</v>
      </c>
      <c r="N441" t="str">
        <f>IFERROR(__xludf.DUMMYFUNCTION("""COMPUTED_VALUE"""),"Jimmy Tomazinis, (904) 547-0094")</f>
        <v>Jimmy Tomazinis, (904) 547-0094</v>
      </c>
      <c r="P441" t="str">
        <f>IFERROR(__xludf.DUMMYFUNCTION("""COMPUTED_VALUE"""),"Jessica Lee")</f>
        <v>Jessica Lee</v>
      </c>
      <c r="Q441" t="str">
        <f>IFERROR(__xludf.DUMMYFUNCTION("""COMPUTED_VALUE"""),"All items in working order")</f>
        <v>All items in working order</v>
      </c>
      <c r="AE441" s="11"/>
      <c r="AF441" t="s">
        <v>218</v>
      </c>
      <c r="AG441" s="17" t="s">
        <v>18</v>
      </c>
      <c r="AH441" s="12">
        <v>1340.0</v>
      </c>
      <c r="AI441" s="12" t="s">
        <v>1277</v>
      </c>
      <c r="AJ441" s="19" t="s">
        <v>1278</v>
      </c>
      <c r="AK441" s="20" t="str">
        <f>HYPERLINK("https://docs.google.com/document/d/1sv52haYJAAYeV34nrDRRcelkEHhfK9YUVlfLYziSVak/edit?usp=drivesdk","Jessica Lee - 12/30/2019 12:00 PM")</f>
        <v>Jessica Lee - 12/30/2019 12:00 PM</v>
      </c>
      <c r="AL441" s="12" t="s">
        <v>1279</v>
      </c>
    </row>
    <row r="442">
      <c r="A442" s="10">
        <f>IFERROR(__xludf.DUMMYFUNCTION("""COMPUTED_VALUE"""),43835.62294898148)</f>
        <v>43835.62295</v>
      </c>
      <c r="B442" s="11" t="str">
        <f>IFERROR(__xludf.DUMMYFUNCTION("""COMPUTED_VALUE"""),"Ruben Allen")</f>
        <v>Ruben Allen</v>
      </c>
      <c r="C442" t="str">
        <f>IFERROR(__xludf.DUMMYFUNCTION("""COMPUTED_VALUE"""),"rubeall57@gmail.com")</f>
        <v>rubeall57@gmail.com</v>
      </c>
      <c r="D442" t="str">
        <f>IFERROR(__xludf.DUMMYFUNCTION("""COMPUTED_VALUE"""),"Research/Pam")</f>
        <v>Research/Pam</v>
      </c>
      <c r="E442" t="str">
        <f>IFERROR(__xludf.DUMMYFUNCTION("""COMPUTED_VALUE"""),"Vilano")</f>
        <v>Vilano</v>
      </c>
      <c r="F442" s="13"/>
      <c r="G442" s="14">
        <f>IFERROR(__xludf.DUMMYFUNCTION("""COMPUTED_VALUE"""),43836.0)</f>
        <v>43836</v>
      </c>
      <c r="H442" t="str">
        <f>IFERROR(__xludf.DUMMYFUNCTION("""COMPUTED_VALUE"""),"Southern Spat Run")</f>
        <v>Southern Spat Run</v>
      </c>
      <c r="I442" s="15">
        <f>IFERROR(__xludf.DUMMYFUNCTION("""COMPUTED_VALUE"""),0.6666666666678793)</f>
        <v>0.6666666667</v>
      </c>
      <c r="J442" s="16">
        <f>IFERROR(__xludf.DUMMYFUNCTION("""COMPUTED_VALUE"""),43836.6875)</f>
        <v>43836.6875</v>
      </c>
      <c r="K442" t="str">
        <f>IFERROR(__xludf.DUMMYFUNCTION("""COMPUTED_VALUE"""),"F 20ft Sea Ark (Easy 200) FL8534PY DEP21451")</f>
        <v>F 20ft Sea Ark (Easy 200) FL8534PY DEP21451</v>
      </c>
      <c r="M442" t="str">
        <f>IFERROR(__xludf.DUMMYFUNCTION("""COMPUTED_VALUE"""),"Ford F150 2015 (White) - DEP21448")</f>
        <v>Ford F150 2015 (White) - DEP21448</v>
      </c>
      <c r="O442" t="str">
        <f>IFERROR(__xludf.DUMMYFUNCTION("""COMPUTED_VALUE"""),"Alee Knoell, (619) 750-4833")</f>
        <v>Alee Knoell, (619) 750-4833</v>
      </c>
      <c r="P442" t="str">
        <f>IFERROR(__xludf.DUMMYFUNCTION("""COMPUTED_VALUE"""),"Ruben Allen")</f>
        <v>Ruben Allen</v>
      </c>
      <c r="Q442" t="str">
        <f>IFERROR(__xludf.DUMMYFUNCTION("""COMPUTED_VALUE"""),"All items in working order")</f>
        <v>All items in working order</v>
      </c>
      <c r="AD442" t="str">
        <f>IFERROR(__xludf.DUMMYFUNCTION("""COMPUTED_VALUE"""),"Yes")</f>
        <v>Yes</v>
      </c>
      <c r="AE442" s="11" t="str">
        <f>IFERROR(__xludf.DUMMYFUNCTION("""COMPUTED_VALUE"""),"Yes")</f>
        <v>Yes</v>
      </c>
      <c r="AF442" t="s">
        <v>262</v>
      </c>
      <c r="AG442" s="18"/>
    </row>
    <row r="443">
      <c r="A443" s="10">
        <f>IFERROR(__xludf.DUMMYFUNCTION("""COMPUTED_VALUE"""),43836.39580564815)</f>
        <v>43836.39581</v>
      </c>
      <c r="B443" s="11" t="str">
        <f>IFERROR(__xludf.DUMMYFUNCTION("""COMPUTED_VALUE"""),"Pamela Marcum")</f>
        <v>Pamela Marcum</v>
      </c>
      <c r="C443" t="str">
        <f>IFERROR(__xludf.DUMMYFUNCTION("""COMPUTED_VALUE"""),"Pamela.Marcum@dep.state.fl.us")</f>
        <v>Pamela.Marcum@dep.state.fl.us</v>
      </c>
      <c r="D443" t="str">
        <f>IFERROR(__xludf.DUMMYFUNCTION("""COMPUTED_VALUE"""),"Research/Nikki")</f>
        <v>Research/Nikki</v>
      </c>
      <c r="E443" t="str">
        <f>IFERROR(__xludf.DUMMYFUNCTION("""COMPUTED_VALUE"""),"Usina/Aunt Kate's")</f>
        <v>Usina/Aunt Kate's</v>
      </c>
      <c r="F443" s="13">
        <f>IFERROR(__xludf.DUMMYFUNCTION("""COMPUTED_VALUE"""),0.4375)</f>
        <v>0.4375</v>
      </c>
      <c r="G443" s="14">
        <f>IFERROR(__xludf.DUMMYFUNCTION("""COMPUTED_VALUE"""),43836.0)</f>
        <v>43836</v>
      </c>
      <c r="H443" t="str">
        <f>IFERROR(__xludf.DUMMYFUNCTION("""COMPUTED_VALUE"""),"Tolomato &amp; Guana Rivers")</f>
        <v>Tolomato &amp; Guana Rivers</v>
      </c>
      <c r="I443" s="15">
        <f>IFERROR(__xludf.DUMMYFUNCTION("""COMPUTED_VALUE"""),0.5625)</f>
        <v>0.5625</v>
      </c>
      <c r="J443" s="16">
        <f>IFERROR(__xludf.DUMMYFUNCTION("""COMPUTED_VALUE"""),43836.58333333333)</f>
        <v>43836.58333</v>
      </c>
      <c r="K443" t="str">
        <f>IFERROR(__xludf.DUMMYFUNCTION("""COMPUTED_VALUE"""),"17ft Skiff (Marsha) FL0642GW DEP07239")</f>
        <v>17ft Skiff (Marsha) FL0642GW DEP07239</v>
      </c>
      <c r="M443" t="str">
        <f>IFERROR(__xludf.DUMMYFUNCTION("""COMPUTED_VALUE"""),"Ford F250 2017 (Moby Dix) - DEP0021578")</f>
        <v>Ford F250 2017 (Moby Dix) - DEP0021578</v>
      </c>
      <c r="N443" t="str">
        <f>IFERROR(__xludf.DUMMYFUNCTION("""COMPUTED_VALUE"""),"Pam Marcum, (480) 332-5414")</f>
        <v>Pam Marcum, (480) 332-5414</v>
      </c>
      <c r="O443" t="str">
        <f>IFERROR(__xludf.DUMMYFUNCTION("""COMPUTED_VALUE"""),"Brian Alexander")</f>
        <v>Brian Alexander</v>
      </c>
      <c r="P443" t="str">
        <f>IFERROR(__xludf.DUMMYFUNCTION("""COMPUTED_VALUE"""),"Pam")</f>
        <v>Pam</v>
      </c>
      <c r="Q443" t="str">
        <f>IFERROR(__xludf.DUMMYFUNCTION("""COMPUTED_VALUE"""),"All items in working order")</f>
        <v>All items in working order</v>
      </c>
      <c r="AE443" s="11"/>
      <c r="AF443" t="s">
        <v>218</v>
      </c>
      <c r="AG443" s="18"/>
    </row>
    <row r="444">
      <c r="A444" s="10">
        <f>IFERROR(__xludf.DUMMYFUNCTION("""COMPUTED_VALUE"""),43837.278942743054)</f>
        <v>43837.27894</v>
      </c>
      <c r="B444" s="11" t="str">
        <f>IFERROR(__xludf.DUMMYFUNCTION("""COMPUTED_VALUE"""),"Jessica Lee")</f>
        <v>Jessica Lee</v>
      </c>
      <c r="C444" t="str">
        <f>IFERROR(__xludf.DUMMYFUNCTION("""COMPUTED_VALUE"""),"jessica.lee@FloridaDEP.gov")</f>
        <v>jessica.lee@FloridaDEP.gov</v>
      </c>
      <c r="D444" t="str">
        <f>IFERROR(__xludf.DUMMYFUNCTION("""COMPUTED_VALUE"""),"Research/Nikki")</f>
        <v>Research/Nikki</v>
      </c>
      <c r="E444" t="str">
        <f>IFERROR(__xludf.DUMMYFUNCTION("""COMPUTED_VALUE"""),"Guana River")</f>
        <v>Guana River</v>
      </c>
      <c r="F444" s="13">
        <f>IFERROR(__xludf.DUMMYFUNCTION("""COMPUTED_VALUE"""),0.2916666666678793)</f>
        <v>0.2916666667</v>
      </c>
      <c r="G444" s="14">
        <f>IFERROR(__xludf.DUMMYFUNCTION("""COMPUTED_VALUE"""),43837.0)</f>
        <v>43837</v>
      </c>
      <c r="H444" t="str">
        <f>IFERROR(__xludf.DUMMYFUNCTION("""COMPUTED_VALUE"""),"Guana River")</f>
        <v>Guana River</v>
      </c>
      <c r="I444" s="15">
        <f>IFERROR(__xludf.DUMMYFUNCTION("""COMPUTED_VALUE"""),0.34375)</f>
        <v>0.34375</v>
      </c>
      <c r="J444" s="16">
        <f>IFERROR(__xludf.DUMMYFUNCTION("""COMPUTED_VALUE"""),43837.35416666667)</f>
        <v>43837.35417</v>
      </c>
      <c r="K444" t="str">
        <f>IFERROR(__xludf.DUMMYFUNCTION("""COMPUTED_VALUE"""),"Jon Boat FL0484NP DEP06819")</f>
        <v>Jon Boat FL0484NP DEP06819</v>
      </c>
      <c r="M444" t="str">
        <f>IFERROR(__xludf.DUMMYFUNCTION("""COMPUTED_VALUE"""),"Ford F150 2015 (White) - DEP21448")</f>
        <v>Ford F150 2015 (White) - DEP21448</v>
      </c>
      <c r="N444" t="str">
        <f>IFERROR(__xludf.DUMMYFUNCTION("""COMPUTED_VALUE"""),"Silas Tanner, (904) 483-8423")</f>
        <v>Silas Tanner, (904) 483-8423</v>
      </c>
      <c r="P444" t="str">
        <f>IFERROR(__xludf.DUMMYFUNCTION("""COMPUTED_VALUE"""),"Jessica Lee")</f>
        <v>Jessica Lee</v>
      </c>
      <c r="Q444" t="str">
        <f>IFERROR(__xludf.DUMMYFUNCTION("""COMPUTED_VALUE"""),"All items in working order")</f>
        <v>All items in working order</v>
      </c>
      <c r="AE444" s="11"/>
      <c r="AF444" t="s">
        <v>218</v>
      </c>
      <c r="AG444" s="18"/>
    </row>
    <row r="445">
      <c r="A445" s="10">
        <f>IFERROR(__xludf.DUMMYFUNCTION("""COMPUTED_VALUE"""),43838.40704177083)</f>
        <v>43838.40704</v>
      </c>
      <c r="B445" s="11" t="str">
        <f>IFERROR(__xludf.DUMMYFUNCTION("""COMPUTED_VALUE"""),"Shannon Dunnigan")</f>
        <v>Shannon Dunnigan</v>
      </c>
      <c r="C445" t="str">
        <f>IFERROR(__xludf.DUMMYFUNCTION("""COMPUTED_VALUE"""),"shannon.dunnigan@dep.state.fl.us")</f>
        <v>shannon.dunnigan@dep.state.fl.us</v>
      </c>
      <c r="D445" t="str">
        <f>IFERROR(__xludf.DUMMYFUNCTION("""COMPUTED_VALUE"""),"Research/Nikki")</f>
        <v>Research/Nikki</v>
      </c>
      <c r="E445" t="str">
        <f>IFERROR(__xludf.DUMMYFUNCTION("""COMPUTED_VALUE"""),"Shore Drive")</f>
        <v>Shore Drive</v>
      </c>
      <c r="F445" s="13">
        <f>IFERROR(__xludf.DUMMYFUNCTION("""COMPUTED_VALUE"""),0.40625)</f>
        <v>0.40625</v>
      </c>
      <c r="G445" s="14">
        <f>IFERROR(__xludf.DUMMYFUNCTION("""COMPUTED_VALUE"""),43838.0)</f>
        <v>43838</v>
      </c>
      <c r="H445" t="str">
        <f>IFERROR(__xludf.DUMMYFUNCTION("""COMPUTED_VALUE"""),"Site 22")</f>
        <v>Site 22</v>
      </c>
      <c r="I445" s="15">
        <f>IFERROR(__xludf.DUMMYFUNCTION("""COMPUTED_VALUE"""),0.5416666666678793)</f>
        <v>0.5416666667</v>
      </c>
      <c r="J445" s="16">
        <f>IFERROR(__xludf.DUMMYFUNCTION("""COMPUTED_VALUE"""),43838.58333333333)</f>
        <v>43838.58333</v>
      </c>
      <c r="K445" t="str">
        <f>IFERROR(__xludf.DUMMYFUNCTION("""COMPUTED_VALUE"""),"20ft Sea Ark FL5351SJ UNF 2015")</f>
        <v>20ft Sea Ark FL5351SJ UNF 2015</v>
      </c>
      <c r="M445" t="str">
        <f>IFERROR(__xludf.DUMMYFUNCTION("""COMPUTED_VALUE"""),"Ford F250 2017 (Moby Dix) - DEP0021578")</f>
        <v>Ford F250 2017 (Moby Dix) - DEP0021578</v>
      </c>
      <c r="N445" t="str">
        <f>IFERROR(__xludf.DUMMYFUNCTION("""COMPUTED_VALUE"""),"Shannon Dunnigan, (803) 727-5734, Silas Tanner, (904) 483-8423")</f>
        <v>Shannon Dunnigan, (803) 727-5734, Silas Tanner, (904) 483-8423</v>
      </c>
      <c r="P445" t="str">
        <f>IFERROR(__xludf.DUMMYFUNCTION("""COMPUTED_VALUE"""),"Shannon")</f>
        <v>Shannon</v>
      </c>
      <c r="Q445" t="str">
        <f>IFERROR(__xludf.DUMMYFUNCTION("""COMPUTED_VALUE"""),"All items in working order")</f>
        <v>All items in working order</v>
      </c>
      <c r="AE445" s="11"/>
      <c r="AF445" t="s">
        <v>218</v>
      </c>
      <c r="AG445" s="18"/>
    </row>
    <row r="446">
      <c r="A446" s="10">
        <f>IFERROR(__xludf.DUMMYFUNCTION("""COMPUTED_VALUE"""),43839.57638414352)</f>
        <v>43839.57638</v>
      </c>
      <c r="B446" s="11" t="str">
        <f>IFERROR(__xludf.DUMMYFUNCTION("""COMPUTED_VALUE"""),"Jessica Lee")</f>
        <v>Jessica Lee</v>
      </c>
      <c r="C446" t="str">
        <f>IFERROR(__xludf.DUMMYFUNCTION("""COMPUTED_VALUE"""),"jessica.lee@FloridaDEP.gov")</f>
        <v>jessica.lee@FloridaDEP.gov</v>
      </c>
      <c r="D446" t="str">
        <f>IFERROR(__xludf.DUMMYFUNCTION("""COMPUTED_VALUE"""),"Research/Nikki")</f>
        <v>Research/Nikki</v>
      </c>
      <c r="E446" t="str">
        <f>IFERROR(__xludf.DUMMYFUNCTION("""COMPUTED_VALUE"""),"Guana River")</f>
        <v>Guana River</v>
      </c>
      <c r="F446" s="13">
        <f>IFERROR(__xludf.DUMMYFUNCTION("""COMPUTED_VALUE"""),0.3958333333321207)</f>
        <v>0.3958333333</v>
      </c>
      <c r="G446" s="14">
        <f>IFERROR(__xludf.DUMMYFUNCTION("""COMPUTED_VALUE"""),43840.0)</f>
        <v>43840</v>
      </c>
      <c r="H446" t="str">
        <f>IFERROR(__xludf.DUMMYFUNCTION("""COMPUTED_VALUE"""),"Guana River")</f>
        <v>Guana River</v>
      </c>
      <c r="I446" s="15">
        <f>IFERROR(__xludf.DUMMYFUNCTION("""COMPUTED_VALUE"""),0.9479166666678793)</f>
        <v>0.9479166667</v>
      </c>
      <c r="J446" s="16">
        <f>IFERROR(__xludf.DUMMYFUNCTION("""COMPUTED_VALUE"""),43840.58333333333)</f>
        <v>43840.58333</v>
      </c>
      <c r="K446" t="str">
        <f>IFERROR(__xludf.DUMMYFUNCTION("""COMPUTED_VALUE"""),"Jon Boat FL0484NP DEP06819")</f>
        <v>Jon Boat FL0484NP DEP06819</v>
      </c>
      <c r="M446" t="str">
        <f>IFERROR(__xludf.DUMMYFUNCTION("""COMPUTED_VALUE"""),"Ford F150 2015 (White) - DEP21448")</f>
        <v>Ford F150 2015 (White) - DEP21448</v>
      </c>
      <c r="N446" t="str">
        <f>IFERROR(__xludf.DUMMYFUNCTION("""COMPUTED_VALUE"""),"Jimmy Tomazinis, (904) 547-0094")</f>
        <v>Jimmy Tomazinis, (904) 547-0094</v>
      </c>
      <c r="P446" t="str">
        <f>IFERROR(__xludf.DUMMYFUNCTION("""COMPUTED_VALUE"""),"Jessica Lee")</f>
        <v>Jessica Lee</v>
      </c>
      <c r="Q446" t="str">
        <f>IFERROR(__xludf.DUMMYFUNCTION("""COMPUTED_VALUE"""),"All items in working order")</f>
        <v>All items in working order</v>
      </c>
      <c r="AE446" s="11"/>
      <c r="AF446" t="s">
        <v>218</v>
      </c>
      <c r="AG446" s="18"/>
    </row>
    <row r="447">
      <c r="A447" s="10">
        <f>IFERROR(__xludf.DUMMYFUNCTION("""COMPUTED_VALUE"""),43842.90367070602)</f>
        <v>43842.90367</v>
      </c>
      <c r="B447" s="11" t="str">
        <f>IFERROR(__xludf.DUMMYFUNCTION("""COMPUTED_VALUE"""),"James Tomazinis")</f>
        <v>James Tomazinis</v>
      </c>
      <c r="C447" t="str">
        <f>IFERROR(__xludf.DUMMYFUNCTION("""COMPUTED_VALUE"""),"james.tomazinis@floridadep.gov")</f>
        <v>james.tomazinis@floridadep.gov</v>
      </c>
      <c r="D447" t="str">
        <f>IFERROR(__xludf.DUMMYFUNCTION("""COMPUTED_VALUE"""),"Stewardship (Aquatic)")</f>
        <v>Stewardship (Aquatic)</v>
      </c>
      <c r="E447" t="str">
        <f>IFERROR(__xludf.DUMMYFUNCTION("""COMPUTED_VALUE"""),"Dee Dee Bartels and Goffinsville Park")</f>
        <v>Dee Dee Bartels and Goffinsville Park</v>
      </c>
      <c r="F447" s="13">
        <f>IFERROR(__xludf.DUMMYFUNCTION("""COMPUTED_VALUE"""),0.4375)</f>
        <v>0.4375</v>
      </c>
      <c r="G447" s="14">
        <f>IFERROR(__xludf.DUMMYFUNCTION("""COMPUTED_VALUE"""),43843.0)</f>
        <v>43843</v>
      </c>
      <c r="H447" t="str">
        <f>IFERROR(__xludf.DUMMYFUNCTION("""COMPUTED_VALUE"""),"NEAP WQ sites")</f>
        <v>NEAP WQ sites</v>
      </c>
      <c r="I447" s="15">
        <f>IFERROR(__xludf.DUMMYFUNCTION("""COMPUTED_VALUE"""),0.625)</f>
        <v>0.625</v>
      </c>
      <c r="J447" s="16"/>
      <c r="K447" t="str">
        <f>IFERROR(__xludf.DUMMYFUNCTION("""COMPUTED_VALUE"""),"17ft Skiff (Marsha) FL0642GW DEP07239")</f>
        <v>17ft Skiff (Marsha) FL0642GW DEP07239</v>
      </c>
      <c r="M447" t="str">
        <f>IFERROR(__xludf.DUMMYFUNCTION("""COMPUTED_VALUE"""),"Ford F150 2018 (AP) - DEP21637")</f>
        <v>Ford F150 2018 (AP) - DEP21637</v>
      </c>
      <c r="N447" t="str">
        <f>IFERROR(__xludf.DUMMYFUNCTION("""COMPUTED_VALUE"""),"Scott Eastman, (904) 501-9267, Jimmy Tomazinis, (904) 547-0094")</f>
        <v>Scott Eastman, (904) 501-9267, Jimmy Tomazinis, (904) 547-0094</v>
      </c>
      <c r="O447" t="str">
        <f>IFERROR(__xludf.DUMMYFUNCTION("""COMPUTED_VALUE"""),"Suzi")</f>
        <v>Suzi</v>
      </c>
      <c r="P447" t="str">
        <f>IFERROR(__xludf.DUMMYFUNCTION("""COMPUTED_VALUE"""),"Jimmy")</f>
        <v>Jimmy</v>
      </c>
      <c r="Q447" t="str">
        <f>IFERROR(__xludf.DUMMYFUNCTION("""COMPUTED_VALUE"""),"All items in working order")</f>
        <v>All items in working order</v>
      </c>
      <c r="AE447" s="11"/>
      <c r="AF447" t="s">
        <v>32</v>
      </c>
      <c r="AG447" s="18"/>
    </row>
    <row r="448">
      <c r="A448" s="10">
        <f>IFERROR(__xludf.DUMMYFUNCTION("""COMPUTED_VALUE"""),43843.394855000006)</f>
        <v>43843.39486</v>
      </c>
      <c r="B448" s="11" t="str">
        <f>IFERROR(__xludf.DUMMYFUNCTION("""COMPUTED_VALUE"""),"Silas Tanner")</f>
        <v>Silas Tanner</v>
      </c>
      <c r="C448" t="str">
        <f>IFERROR(__xludf.DUMMYFUNCTION("""COMPUTED_VALUE"""),"silas.tanner@floridadep.gov")</f>
        <v>silas.tanner@floridadep.gov</v>
      </c>
      <c r="D448" t="str">
        <f>IFERROR(__xludf.DUMMYFUNCTION("""COMPUTED_VALUE"""),"Research/Nikki")</f>
        <v>Research/Nikki</v>
      </c>
      <c r="E448" t="str">
        <f>IFERROR(__xludf.DUMMYFUNCTION("""COMPUTED_VALUE"""),"Vilano Landing")</f>
        <v>Vilano Landing</v>
      </c>
      <c r="F448" s="13">
        <f>IFERROR(__xludf.DUMMYFUNCTION("""COMPUTED_VALUE"""),0.3993055555547471)</f>
        <v>0.3993055556</v>
      </c>
      <c r="G448" s="14">
        <f>IFERROR(__xludf.DUMMYFUNCTION("""COMPUTED_VALUE"""),43843.0)</f>
        <v>43843</v>
      </c>
      <c r="H448" t="str">
        <f>IFERROR(__xludf.DUMMYFUNCTION("""COMPUTED_VALUE"""),"ICW SWMP sites")</f>
        <v>ICW SWMP sites</v>
      </c>
      <c r="I448" s="15">
        <f>IFERROR(__xludf.DUMMYFUNCTION("""COMPUTED_VALUE"""),0.6145833333321207)</f>
        <v>0.6145833333</v>
      </c>
      <c r="J448" s="16">
        <f>IFERROR(__xludf.DUMMYFUNCTION("""COMPUTED_VALUE"""),43843.63541666667)</f>
        <v>43843.63542</v>
      </c>
      <c r="K448" t="str">
        <f>IFERROR(__xludf.DUMMYFUNCTION("""COMPUTED_VALUE"""),"23ft Skiff (Bertha) FL7972LJ DEP07613")</f>
        <v>23ft Skiff (Bertha) FL7972LJ DEP07613</v>
      </c>
      <c r="M448" t="str">
        <f>IFERROR(__xludf.DUMMYFUNCTION("""COMPUTED_VALUE"""),"Ford F150 2015 (White) - DEP21448")</f>
        <v>Ford F150 2015 (White) - DEP21448</v>
      </c>
      <c r="N448" t="str">
        <f>IFERROR(__xludf.DUMMYFUNCTION("""COMPUTED_VALUE"""),"Silas Tanner, (904) 483-8423")</f>
        <v>Silas Tanner, (904) 483-8423</v>
      </c>
      <c r="O448" t="str">
        <f>IFERROR(__xludf.DUMMYFUNCTION("""COMPUTED_VALUE"""),"Alee Knoell, (619) 750-4833, Ellen Leroy Reed")</f>
        <v>Alee Knoell, (619) 750-4833, Ellen Leroy Reed</v>
      </c>
      <c r="P448" t="str">
        <f>IFERROR(__xludf.DUMMYFUNCTION("""COMPUTED_VALUE"""),"Tanner")</f>
        <v>Tanner</v>
      </c>
      <c r="Q448" t="str">
        <f>IFERROR(__xludf.DUMMYFUNCTION("""COMPUTED_VALUE"""),"All items in working order")</f>
        <v>All items in working order</v>
      </c>
      <c r="AE448" s="11"/>
      <c r="AF448" t="s">
        <v>218</v>
      </c>
      <c r="AG448" s="18"/>
    </row>
    <row r="449">
      <c r="A449" s="10">
        <f>IFERROR(__xludf.DUMMYFUNCTION("""COMPUTED_VALUE"""),43843.41539240741)</f>
        <v>43843.41539</v>
      </c>
      <c r="B449" s="11" t="str">
        <f>IFERROR(__xludf.DUMMYFUNCTION("""COMPUTED_VALUE"""),"Gabriela Canas")</f>
        <v>Gabriela Canas</v>
      </c>
      <c r="C449" t="str">
        <f>IFERROR(__xludf.DUMMYFUNCTION("""COMPUTED_VALUE"""),"n00836133@unf.edu")</f>
        <v>n00836133@unf.edu</v>
      </c>
      <c r="D449" t="str">
        <f>IFERROR(__xludf.DUMMYFUNCTION("""COMPUTED_VALUE"""),"Research/Nikki")</f>
        <v>Research/Nikki</v>
      </c>
      <c r="E449" t="str">
        <f>IFERROR(__xludf.DUMMYFUNCTION("""COMPUTED_VALUE"""),"Douglas crane")</f>
        <v>Douglas crane</v>
      </c>
      <c r="F449" s="13">
        <f>IFERROR(__xludf.DUMMYFUNCTION("""COMPUTED_VALUE"""),0.3125)</f>
        <v>0.3125</v>
      </c>
      <c r="G449" s="14">
        <f>IFERROR(__xludf.DUMMYFUNCTION("""COMPUTED_VALUE"""),43843.0)</f>
        <v>43843</v>
      </c>
      <c r="H449" t="str">
        <f>IFERROR(__xludf.DUMMYFUNCTION("""COMPUTED_VALUE"""),"WETFEET. Middle site ")</f>
        <v>WETFEET. Middle site </v>
      </c>
      <c r="I449" s="15">
        <f>IFERROR(__xludf.DUMMYFUNCTION("""COMPUTED_VALUE"""),0.041666666667879326)</f>
        <v>0.04166666667</v>
      </c>
      <c r="J449" s="16">
        <f>IFERROR(__xludf.DUMMYFUNCTION("""COMPUTED_VALUE"""),43843.25)</f>
        <v>43843.25</v>
      </c>
      <c r="K449" t="str">
        <f>IFERROR(__xludf.DUMMYFUNCTION("""COMPUTED_VALUE"""),"20ft Sea Ark FL5351SJ UNF 2015")</f>
        <v>20ft Sea Ark FL5351SJ UNF 2015</v>
      </c>
      <c r="M449" t="str">
        <f>IFERROR(__xludf.DUMMYFUNCTION("""COMPUTED_VALUE"""),"Ford F150 2010 (4 Door) - DEP07668")</f>
        <v>Ford F150 2010 (4 Door) - DEP07668</v>
      </c>
      <c r="N449" t="str">
        <f>IFERROR(__xludf.DUMMYFUNCTION("""COMPUTED_VALUE"""),"Pam Marcum, (480) 332-5414")</f>
        <v>Pam Marcum, (480) 332-5414</v>
      </c>
      <c r="O449" t="str">
        <f>IFERROR(__xludf.DUMMYFUNCTION("""COMPUTED_VALUE"""),"Gabriela Canas, (904) 891-9743, Ches verveak, Harris stevens")</f>
        <v>Gabriela Canas, (904) 891-9743, Ches verveak, Harris stevens</v>
      </c>
      <c r="P449" t="str">
        <f>IFERROR(__xludf.DUMMYFUNCTION("""COMPUTED_VALUE"""),"Pam marcum")</f>
        <v>Pam marcum</v>
      </c>
      <c r="Q449" t="str">
        <f>IFERROR(__xludf.DUMMYFUNCTION("""COMPUTED_VALUE"""),"All items in working order")</f>
        <v>All items in working order</v>
      </c>
      <c r="AE449" s="11"/>
      <c r="AF449" t="s">
        <v>218</v>
      </c>
      <c r="AG449" s="18"/>
    </row>
    <row r="450">
      <c r="A450" s="10">
        <f>IFERROR(__xludf.DUMMYFUNCTION("""COMPUTED_VALUE"""),43844.30260429398)</f>
        <v>43844.3026</v>
      </c>
      <c r="B450" s="11" t="str">
        <f>IFERROR(__xludf.DUMMYFUNCTION("""COMPUTED_VALUE"""),"Pam Marcum")</f>
        <v>Pam Marcum</v>
      </c>
      <c r="C450" t="str">
        <f>IFERROR(__xludf.DUMMYFUNCTION("""COMPUTED_VALUE"""),"pamela.marcum@dep.state.fl.us")</f>
        <v>pamela.marcum@dep.state.fl.us</v>
      </c>
      <c r="D450" t="str">
        <f>IFERROR(__xludf.DUMMYFUNCTION("""COMPUTED_VALUE"""),"Research/Nikki")</f>
        <v>Research/Nikki</v>
      </c>
      <c r="E450" t="str">
        <f>IFERROR(__xludf.DUMMYFUNCTION("""COMPUTED_VALUE"""),"Shore Dr - Crane Park")</f>
        <v>Shore Dr - Crane Park</v>
      </c>
      <c r="F450" s="13">
        <f>IFERROR(__xludf.DUMMYFUNCTION("""COMPUTED_VALUE"""),0.2916666666678793)</f>
        <v>0.2916666667</v>
      </c>
      <c r="G450" s="14">
        <f>IFERROR(__xludf.DUMMYFUNCTION("""COMPUTED_VALUE"""),43844.0)</f>
        <v>43844</v>
      </c>
      <c r="H450" t="str">
        <f>IFERROR(__xludf.DUMMYFUNCTION("""COMPUTED_VALUE"""),"Gabby Creek")</f>
        <v>Gabby Creek</v>
      </c>
      <c r="I450" s="15">
        <f>IFERROR(__xludf.DUMMYFUNCTION("""COMPUTED_VALUE"""),0.625)</f>
        <v>0.625</v>
      </c>
      <c r="J450" s="16">
        <f>IFERROR(__xludf.DUMMYFUNCTION("""COMPUTED_VALUE"""),43844.66666666667)</f>
        <v>43844.66667</v>
      </c>
      <c r="K450" t="str">
        <f>IFERROR(__xludf.DUMMYFUNCTION("""COMPUTED_VALUE"""),"20ft Sea Ark FL5351SJ UNF 2015")</f>
        <v>20ft Sea Ark FL5351SJ UNF 2015</v>
      </c>
      <c r="M450" t="str">
        <f>IFERROR(__xludf.DUMMYFUNCTION("""COMPUTED_VALUE"""),"Ford F150 2010 (4 Door) - DEP07668")</f>
        <v>Ford F150 2010 (4 Door) - DEP07668</v>
      </c>
      <c r="N450" t="str">
        <f>IFERROR(__xludf.DUMMYFUNCTION("""COMPUTED_VALUE"""),"Pam Marcum, (480) 332-5414")</f>
        <v>Pam Marcum, (480) 332-5414</v>
      </c>
      <c r="O450" t="str">
        <f>IFERROR(__xludf.DUMMYFUNCTION("""COMPUTED_VALUE"""),"Ches Veevaeke, Harris Stevens")</f>
        <v>Ches Veevaeke, Harris Stevens</v>
      </c>
      <c r="P450" t="str">
        <f>IFERROR(__xludf.DUMMYFUNCTION("""COMPUTED_VALUE"""),"Pam")</f>
        <v>Pam</v>
      </c>
      <c r="Q450" t="str">
        <f>IFERROR(__xludf.DUMMYFUNCTION("""COMPUTED_VALUE"""),"All items in working order")</f>
        <v>All items in working order</v>
      </c>
      <c r="AE450" s="11"/>
      <c r="AF450" t="s">
        <v>218</v>
      </c>
      <c r="AG450" s="18"/>
    </row>
    <row r="451">
      <c r="A451" s="10">
        <f>IFERROR(__xludf.DUMMYFUNCTION("""COMPUTED_VALUE"""),43845.42157708333)</f>
        <v>43845.42158</v>
      </c>
      <c r="B451" s="11" t="str">
        <f>IFERROR(__xludf.DUMMYFUNCTION("""COMPUTED_VALUE"""),"Alexandria Knoell")</f>
        <v>Alexandria Knoell</v>
      </c>
      <c r="C451" t="str">
        <f>IFERROR(__xludf.DUMMYFUNCTION("""COMPUTED_VALUE"""),"alee.knoell@floridadep.gov")</f>
        <v>alee.knoell@floridadep.gov</v>
      </c>
      <c r="D451" t="str">
        <f>IFERROR(__xludf.DUMMYFUNCTION("""COMPUTED_VALUE"""),"Research/Nikki")</f>
        <v>Research/Nikki</v>
      </c>
      <c r="E451" t="str">
        <f>IFERROR(__xludf.DUMMYFUNCTION("""COMPUTED_VALUE"""),"Faver dykes")</f>
        <v>Faver dykes</v>
      </c>
      <c r="F451" s="13">
        <f>IFERROR(__xludf.DUMMYFUNCTION("""COMPUTED_VALUE"""),0.4166666666678793)</f>
        <v>0.4166666667</v>
      </c>
      <c r="G451" s="14">
        <f>IFERROR(__xludf.DUMMYFUNCTION("""COMPUTED_VALUE"""),43845.0)</f>
        <v>43845</v>
      </c>
      <c r="H451" t="str">
        <f>IFERROR(__xludf.DUMMYFUNCTION("""COMPUTED_VALUE"""),"SSAM platforms")</f>
        <v>SSAM platforms</v>
      </c>
      <c r="I451" s="15">
        <f>IFERROR(__xludf.DUMMYFUNCTION("""COMPUTED_VALUE"""),0.5)</f>
        <v>0.5</v>
      </c>
      <c r="J451" s="16">
        <f>IFERROR(__xludf.DUMMYFUNCTION("""COMPUTED_VALUE"""),43845.58333333333)</f>
        <v>43845.58333</v>
      </c>
      <c r="K451" t="str">
        <f>IFERROR(__xludf.DUMMYFUNCTION("""COMPUTED_VALUE"""),"23ft Skiff (Bertha) FL7972LJ DEP07613")</f>
        <v>23ft Skiff (Bertha) FL7972LJ DEP07613</v>
      </c>
      <c r="M451" t="str">
        <f>IFERROR(__xludf.DUMMYFUNCTION("""COMPUTED_VALUE"""),"Ford F150 2015 (White) - DEP21448")</f>
        <v>Ford F150 2015 (White) - DEP21448</v>
      </c>
      <c r="N451" t="str">
        <f>IFERROR(__xludf.DUMMYFUNCTION("""COMPUTED_VALUE"""),"Pam Marcum, (480) 332-5414")</f>
        <v>Pam Marcum, (480) 332-5414</v>
      </c>
      <c r="O451" t="str">
        <f>IFERROR(__xludf.DUMMYFUNCTION("""COMPUTED_VALUE"""),"Alee Knoell, (619) 750-4833, Josie, Candace, Eric, Andrew")</f>
        <v>Alee Knoell, (619) 750-4833, Josie, Candace, Eric, Andrew</v>
      </c>
      <c r="P451" t="str">
        <f>IFERROR(__xludf.DUMMYFUNCTION("""COMPUTED_VALUE"""),"Pam marcum")</f>
        <v>Pam marcum</v>
      </c>
      <c r="Q451" t="str">
        <f>IFERROR(__xludf.DUMMYFUNCTION("""COMPUTED_VALUE"""),"All items in working order")</f>
        <v>All items in working order</v>
      </c>
      <c r="AE451" s="11"/>
      <c r="AF451" t="s">
        <v>218</v>
      </c>
      <c r="AG451" s="18"/>
    </row>
    <row r="452">
      <c r="A452" s="10">
        <f>IFERROR(__xludf.DUMMYFUNCTION("""COMPUTED_VALUE"""),43846.399611701396)</f>
        <v>43846.39961</v>
      </c>
      <c r="B452" s="11" t="str">
        <f>IFERROR(__xludf.DUMMYFUNCTION("""COMPUTED_VALUE"""),"J Silas Tanner")</f>
        <v>J Silas Tanner</v>
      </c>
      <c r="C452" t="str">
        <f>IFERROR(__xludf.DUMMYFUNCTION("""COMPUTED_VALUE"""),"silas.tanner@floridadep.gov")</f>
        <v>silas.tanner@floridadep.gov</v>
      </c>
      <c r="D452" t="str">
        <f>IFERROR(__xludf.DUMMYFUNCTION("""COMPUTED_VALUE"""),"Research/Nikki")</f>
        <v>Research/Nikki</v>
      </c>
      <c r="E452" t="str">
        <f>IFERROR(__xludf.DUMMYFUNCTION("""COMPUTED_VALUE"""),"Crane")</f>
        <v>Crane</v>
      </c>
      <c r="F452" s="13">
        <f>IFERROR(__xludf.DUMMYFUNCTION("""COMPUTED_VALUE"""),0.4583333333321207)</f>
        <v>0.4583333333</v>
      </c>
      <c r="G452" s="14">
        <f>IFERROR(__xludf.DUMMYFUNCTION("""COMPUTED_VALUE"""),43846.0)</f>
        <v>43846</v>
      </c>
      <c r="H452" t="str">
        <f>IFERROR(__xludf.DUMMYFUNCTION("""COMPUTED_VALUE"""),"SWMP Site 22 platforms")</f>
        <v>SWMP Site 22 platforms</v>
      </c>
      <c r="I452" s="15">
        <f>IFERROR(__xludf.DUMMYFUNCTION("""COMPUTED_VALUE"""),0.6666666666678793)</f>
        <v>0.6666666667</v>
      </c>
      <c r="J452" s="16">
        <f>IFERROR(__xludf.DUMMYFUNCTION("""COMPUTED_VALUE"""),43846.6875)</f>
        <v>43846.6875</v>
      </c>
      <c r="K452" t="str">
        <f>IFERROR(__xludf.DUMMYFUNCTION("""COMPUTED_VALUE"""),"20ft Sea Ark FL5351SJ UNF 2015")</f>
        <v>20ft Sea Ark FL5351SJ UNF 2015</v>
      </c>
      <c r="M452" t="str">
        <f>IFERROR(__xludf.DUMMYFUNCTION("""COMPUTED_VALUE"""),"Ford F250 2017 (Moby Dix) - DEP0021578")</f>
        <v>Ford F250 2017 (Moby Dix) - DEP0021578</v>
      </c>
      <c r="N452" t="str">
        <f>IFERROR(__xludf.DUMMYFUNCTION("""COMPUTED_VALUE"""),"Silas Tanner, (904) 483-8423")</f>
        <v>Silas Tanner, (904) 483-8423</v>
      </c>
      <c r="O452" t="str">
        <f>IFERROR(__xludf.DUMMYFUNCTION("""COMPUTED_VALUE"""),"Jessica Lee, Chris Blanco")</f>
        <v>Jessica Lee, Chris Blanco</v>
      </c>
      <c r="P452" t="str">
        <f>IFERROR(__xludf.DUMMYFUNCTION("""COMPUTED_VALUE"""),"Tanner")</f>
        <v>Tanner</v>
      </c>
      <c r="Q452" t="str">
        <f>IFERROR(__xludf.DUMMYFUNCTION("""COMPUTED_VALUE"""),"All items in working order")</f>
        <v>All items in working order</v>
      </c>
      <c r="AE452" s="11"/>
      <c r="AF452" t="s">
        <v>218</v>
      </c>
      <c r="AG452" s="18"/>
    </row>
    <row r="453">
      <c r="A453" s="10">
        <f>IFERROR(__xludf.DUMMYFUNCTION("""COMPUTED_VALUE"""),43847.289271388894)</f>
        <v>43847.28927</v>
      </c>
      <c r="B453" s="11" t="str">
        <f>IFERROR(__xludf.DUMMYFUNCTION("""COMPUTED_VALUE"""),"Jimmy Tomazinis")</f>
        <v>Jimmy Tomazinis</v>
      </c>
      <c r="C453" t="str">
        <f>IFERROR(__xludf.DUMMYFUNCTION("""COMPUTED_VALUE"""),"james.tomazinis@floridadep.gov")</f>
        <v>james.tomazinis@floridadep.gov</v>
      </c>
      <c r="D453" t="str">
        <f>IFERROR(__xludf.DUMMYFUNCTION("""COMPUTED_VALUE"""),"Stewardship (Aquatic)")</f>
        <v>Stewardship (Aquatic)</v>
      </c>
      <c r="E453" t="str">
        <f>IFERROR(__xludf.DUMMYFUNCTION("""COMPUTED_VALUE"""),"Beach Blvd")</f>
        <v>Beach Blvd</v>
      </c>
      <c r="F453" s="13">
        <f>IFERROR(__xludf.DUMMYFUNCTION("""COMPUTED_VALUE"""),0.375)</f>
        <v>0.375</v>
      </c>
      <c r="G453" s="14">
        <f>IFERROR(__xludf.DUMMYFUNCTION("""COMPUTED_VALUE"""),43847.0)</f>
        <v>43847</v>
      </c>
      <c r="H453" t="str">
        <f>IFERROR(__xludf.DUMMYFUNCTION("""COMPUTED_VALUE"""),"Webb Property")</f>
        <v>Webb Property</v>
      </c>
      <c r="I453" s="15">
        <f>IFERROR(__xludf.DUMMYFUNCTION("""COMPUTED_VALUE"""),0.5833333333321207)</f>
        <v>0.5833333333</v>
      </c>
      <c r="J453" s="16"/>
      <c r="K453" t="str">
        <f>IFERROR(__xludf.DUMMYFUNCTION("""COMPUTED_VALUE"""),"23ft Skiff (Bertha) FL7972LJ DEP07613")</f>
        <v>23ft Skiff (Bertha) FL7972LJ DEP07613</v>
      </c>
      <c r="M453" t="str">
        <f>IFERROR(__xludf.DUMMYFUNCTION("""COMPUTED_VALUE"""),"Ford F150 2018 (AP) - DEP21637")</f>
        <v>Ford F150 2018 (AP) - DEP21637</v>
      </c>
      <c r="N453" t="str">
        <f>IFERROR(__xludf.DUMMYFUNCTION("""COMPUTED_VALUE"""),"Scott Eastman, (904) 501-9267, Jimmy Tomazinis, (904) 547-0094")</f>
        <v>Scott Eastman, (904) 501-9267, Jimmy Tomazinis, (904) 547-0094</v>
      </c>
      <c r="O453" t="str">
        <f>IFERROR(__xludf.DUMMYFUNCTION("""COMPUTED_VALUE"""),"Kelly Smith, Hunter Mathews, Craig Hargis")</f>
        <v>Kelly Smith, Hunter Mathews, Craig Hargis</v>
      </c>
      <c r="P453" t="str">
        <f>IFERROR(__xludf.DUMMYFUNCTION("""COMPUTED_VALUE"""),"Jimmy")</f>
        <v>Jimmy</v>
      </c>
      <c r="Q453" t="str">
        <f>IFERROR(__xludf.DUMMYFUNCTION("""COMPUTED_VALUE"""),"All items in working order")</f>
        <v>All items in working order</v>
      </c>
      <c r="AE453" s="11"/>
      <c r="AF453" t="s">
        <v>32</v>
      </c>
      <c r="AG453" s="18"/>
    </row>
    <row r="454">
      <c r="A454" s="10">
        <f>IFERROR(__xludf.DUMMYFUNCTION("""COMPUTED_VALUE"""),43853.487166585655)</f>
        <v>43853.48717</v>
      </c>
      <c r="B454" s="11" t="str">
        <f>IFERROR(__xludf.DUMMYFUNCTION("""COMPUTED_VALUE"""),"Pam Marcum")</f>
        <v>Pam Marcum</v>
      </c>
      <c r="C454" t="str">
        <f>IFERROR(__xludf.DUMMYFUNCTION("""COMPUTED_VALUE"""),"Pamela.Marcum@FloridaDEP.gov")</f>
        <v>Pamela.Marcum@FloridaDEP.gov</v>
      </c>
      <c r="D454" t="str">
        <f>IFERROR(__xludf.DUMMYFUNCTION("""COMPUTED_VALUE"""),"Research/Nikki")</f>
        <v>Research/Nikki</v>
      </c>
      <c r="E454" t="str">
        <f>IFERROR(__xludf.DUMMYFUNCTION("""COMPUTED_VALUE"""),"Green Rd")</f>
        <v>Green Rd</v>
      </c>
      <c r="F454" s="13">
        <f>IFERROR(__xludf.DUMMYFUNCTION("""COMPUTED_VALUE"""),0.5416666666678793)</f>
        <v>0.5416666667</v>
      </c>
      <c r="G454" s="14">
        <f>IFERROR(__xludf.DUMMYFUNCTION("""COMPUTED_VALUE"""),43853.0)</f>
        <v>43853</v>
      </c>
      <c r="H454" t="str">
        <f>IFERROR(__xludf.DUMMYFUNCTION("""COMPUTED_VALUE"""),"Moses flats")</f>
        <v>Moses flats</v>
      </c>
      <c r="I454" s="15">
        <f>IFERROR(__xludf.DUMMYFUNCTION("""COMPUTED_VALUE"""),0.6875)</f>
        <v>0.6875</v>
      </c>
      <c r="J454" s="16">
        <f>IFERROR(__xludf.DUMMYFUNCTION("""COMPUTED_VALUE"""),43853.72916666667)</f>
        <v>43853.72917</v>
      </c>
      <c r="K454" t="str">
        <f>IFERROR(__xludf.DUMMYFUNCTION("""COMPUTED_VALUE"""),"20ft Sea Ark FL5351SJ UNF 2015")</f>
        <v>20ft Sea Ark FL5351SJ UNF 2015</v>
      </c>
      <c r="M454" t="str">
        <f>IFERROR(__xludf.DUMMYFUNCTION("""COMPUTED_VALUE"""),"Ford F250 2017 (Moby Dix) - DEP0021578")</f>
        <v>Ford F250 2017 (Moby Dix) - DEP0021578</v>
      </c>
      <c r="N454" t="str">
        <f>IFERROR(__xludf.DUMMYFUNCTION("""COMPUTED_VALUE"""),"Pam Marcum, (480) 332-5414")</f>
        <v>Pam Marcum, (480) 332-5414</v>
      </c>
      <c r="O454" t="str">
        <f>IFERROR(__xludf.DUMMYFUNCTION("""COMPUTED_VALUE"""),"Alee Knoell, (619) 750-4833, Steve Brown, Chris Blanco, Adrienne Breef-Pilz")</f>
        <v>Alee Knoell, (619) 750-4833, Steve Brown, Chris Blanco, Adrienne Breef-Pilz</v>
      </c>
      <c r="P454" t="str">
        <f>IFERROR(__xludf.DUMMYFUNCTION("""COMPUTED_VALUE"""),"Pam")</f>
        <v>Pam</v>
      </c>
      <c r="Q454" t="str">
        <f>IFERROR(__xludf.DUMMYFUNCTION("""COMPUTED_VALUE"""),"All items in working order")</f>
        <v>All items in working order</v>
      </c>
      <c r="AE454" s="11"/>
      <c r="AF454" t="s">
        <v>218</v>
      </c>
      <c r="AG454" s="18"/>
    </row>
    <row r="455">
      <c r="A455" s="10">
        <f>IFERROR(__xludf.DUMMYFUNCTION("""COMPUTED_VALUE"""),43854.464147673614)</f>
        <v>43854.46415</v>
      </c>
      <c r="B455" s="11" t="str">
        <f>IFERROR(__xludf.DUMMYFUNCTION("""COMPUTED_VALUE"""),"Pam Marcum")</f>
        <v>Pam Marcum</v>
      </c>
      <c r="C455" t="str">
        <f>IFERROR(__xludf.DUMMYFUNCTION("""COMPUTED_VALUE"""),"Pamela.Marcum@FloridaDEP.gov")</f>
        <v>Pamela.Marcum@FloridaDEP.gov</v>
      </c>
      <c r="D455" t="str">
        <f>IFERROR(__xludf.DUMMYFUNCTION("""COMPUTED_VALUE"""),"Research/Nikki")</f>
        <v>Research/Nikki</v>
      </c>
      <c r="E455" t="str">
        <f>IFERROR(__xludf.DUMMYFUNCTION("""COMPUTED_VALUE"""),"Vilano")</f>
        <v>Vilano</v>
      </c>
      <c r="F455" s="13">
        <f>IFERROR(__xludf.DUMMYFUNCTION("""COMPUTED_VALUE"""),0.5625)</f>
        <v>0.5625</v>
      </c>
      <c r="G455" s="14">
        <f>IFERROR(__xludf.DUMMYFUNCTION("""COMPUTED_VALUE"""),43854.0)</f>
        <v>43854</v>
      </c>
      <c r="H455" t="str">
        <f>IFERROR(__xludf.DUMMYFUNCTION("""COMPUTED_VALUE"""),"San Sebastian")</f>
        <v>San Sebastian</v>
      </c>
      <c r="I455" s="15">
        <f>IFERROR(__xludf.DUMMYFUNCTION("""COMPUTED_VALUE"""),0.6875)</f>
        <v>0.6875</v>
      </c>
      <c r="J455" s="16">
        <f>IFERROR(__xludf.DUMMYFUNCTION("""COMPUTED_VALUE"""),43854.70833333333)</f>
        <v>43854.70833</v>
      </c>
      <c r="K455" t="str">
        <f>IFERROR(__xludf.DUMMYFUNCTION("""COMPUTED_VALUE"""),"20ft Sea Ark FL5351SJ UNF 2015")</f>
        <v>20ft Sea Ark FL5351SJ UNF 2015</v>
      </c>
      <c r="M455" t="str">
        <f>IFERROR(__xludf.DUMMYFUNCTION("""COMPUTED_VALUE"""),"Ford F250 2017 (Moby Dix) - DEP0021578")</f>
        <v>Ford F250 2017 (Moby Dix) - DEP0021578</v>
      </c>
      <c r="N455" t="str">
        <f>IFERROR(__xludf.DUMMYFUNCTION("""COMPUTED_VALUE"""),"Pam Marcum, (480) 332-5414")</f>
        <v>Pam Marcum, (480) 332-5414</v>
      </c>
      <c r="O455" t="str">
        <f>IFERROR(__xludf.DUMMYFUNCTION("""COMPUTED_VALUE"""),"Alee Knoell, (619) 750-4833, Shelby Harrell, Pam Korchun, Rick Fitzgerald")</f>
        <v>Alee Knoell, (619) 750-4833, Shelby Harrell, Pam Korchun, Rick Fitzgerald</v>
      </c>
      <c r="P455" t="str">
        <f>IFERROR(__xludf.DUMMYFUNCTION("""COMPUTED_VALUE"""),"Pam")</f>
        <v>Pam</v>
      </c>
      <c r="Q455" t="str">
        <f>IFERROR(__xludf.DUMMYFUNCTION("""COMPUTED_VALUE"""),"All items in working order")</f>
        <v>All items in working order</v>
      </c>
      <c r="AE455" s="11"/>
      <c r="AF455" t="s">
        <v>218</v>
      </c>
      <c r="AG455" s="18"/>
    </row>
    <row r="456">
      <c r="A456" s="10">
        <f>IFERROR(__xludf.DUMMYFUNCTION("""COMPUTED_VALUE"""),43858.34182861111)</f>
        <v>43858.34183</v>
      </c>
      <c r="B456" s="11" t="str">
        <f>IFERROR(__xludf.DUMMYFUNCTION("""COMPUTED_VALUE"""),"Silas Tanner")</f>
        <v>Silas Tanner</v>
      </c>
      <c r="C456" t="str">
        <f>IFERROR(__xludf.DUMMYFUNCTION("""COMPUTED_VALUE"""),"silas.tanner@floridadep.gov")</f>
        <v>silas.tanner@floridadep.gov</v>
      </c>
      <c r="D456" t="str">
        <f>IFERROR(__xludf.DUMMYFUNCTION("""COMPUTED_VALUE"""),"Research/Nikki")</f>
        <v>Research/Nikki</v>
      </c>
      <c r="E456" t="str">
        <f>IFERROR(__xludf.DUMMYFUNCTION("""COMPUTED_VALUE"""),"Vilano Landing")</f>
        <v>Vilano Landing</v>
      </c>
      <c r="F456" s="13">
        <f>IFERROR(__xludf.DUMMYFUNCTION("""COMPUTED_VALUE"""),0.3958333333321207)</f>
        <v>0.3958333333</v>
      </c>
      <c r="G456" s="14">
        <f>IFERROR(__xludf.DUMMYFUNCTION("""COMPUTED_VALUE"""),43858.0)</f>
        <v>43858</v>
      </c>
      <c r="H456" t="str">
        <f>IFERROR(__xludf.DUMMYFUNCTION("""COMPUTED_VALUE"""),"ICW SWMP sites")</f>
        <v>ICW SWMP sites</v>
      </c>
      <c r="I456" s="15">
        <f>IFERROR(__xludf.DUMMYFUNCTION("""COMPUTED_VALUE"""),0.6041666666678793)</f>
        <v>0.6041666667</v>
      </c>
      <c r="J456" s="16">
        <f>IFERROR(__xludf.DUMMYFUNCTION("""COMPUTED_VALUE"""),43858.64583333333)</f>
        <v>43858.64583</v>
      </c>
      <c r="K456" t="str">
        <f>IFERROR(__xludf.DUMMYFUNCTION("""COMPUTED_VALUE"""),"20ft Sea Ark FL5351SJ UNF 2015")</f>
        <v>20ft Sea Ark FL5351SJ UNF 2015</v>
      </c>
      <c r="M456" t="str">
        <f>IFERROR(__xludf.DUMMYFUNCTION("""COMPUTED_VALUE"""),"Ford F250 2017 (Moby Dix) - DEP0021578")</f>
        <v>Ford F250 2017 (Moby Dix) - DEP0021578</v>
      </c>
      <c r="N456" t="str">
        <f>IFERROR(__xludf.DUMMYFUNCTION("""COMPUTED_VALUE"""),"Silas Tanner, (904) 483-8423, Remo Mondazzi")</f>
        <v>Silas Tanner, (904) 483-8423, Remo Mondazzi</v>
      </c>
      <c r="P456" t="str">
        <f>IFERROR(__xludf.DUMMYFUNCTION("""COMPUTED_VALUE"""),"Silas Tanner")</f>
        <v>Silas Tanner</v>
      </c>
      <c r="Q456" t="str">
        <f>IFERROR(__xludf.DUMMYFUNCTION("""COMPUTED_VALUE"""),"All items in working order")</f>
        <v>All items in working order</v>
      </c>
      <c r="AE456" s="11"/>
      <c r="AF456" t="s">
        <v>218</v>
      </c>
      <c r="AG456" s="18"/>
    </row>
    <row r="457">
      <c r="A457" s="10">
        <f>IFERROR(__xludf.DUMMYFUNCTION("""COMPUTED_VALUE"""),43858.36289945602)</f>
        <v>43858.3629</v>
      </c>
      <c r="B457" s="11" t="str">
        <f>IFERROR(__xludf.DUMMYFUNCTION("""COMPUTED_VALUE"""),"Jimmy Tomazinis")</f>
        <v>Jimmy Tomazinis</v>
      </c>
      <c r="C457" t="str">
        <f>IFERROR(__xludf.DUMMYFUNCTION("""COMPUTED_VALUE"""),"james.tomazinis@floridadep.gov")</f>
        <v>james.tomazinis@floridadep.gov</v>
      </c>
      <c r="D457" t="str">
        <f>IFERROR(__xludf.DUMMYFUNCTION("""COMPUTED_VALUE"""),"Stewardship (Aquatic)")</f>
        <v>Stewardship (Aquatic)</v>
      </c>
      <c r="E457" t="str">
        <f>IFERROR(__xludf.DUMMYFUNCTION("""COMPUTED_VALUE"""),"Guana Dam")</f>
        <v>Guana Dam</v>
      </c>
      <c r="F457" s="13">
        <f>IFERROR(__xludf.DUMMYFUNCTION("""COMPUTED_VALUE"""),0.3958333333321207)</f>
        <v>0.3958333333</v>
      </c>
      <c r="G457" s="14">
        <f>IFERROR(__xludf.DUMMYFUNCTION("""COMPUTED_VALUE"""),43858.0)</f>
        <v>43858</v>
      </c>
      <c r="H457" t="str">
        <f>IFERROR(__xludf.DUMMYFUNCTION("""COMPUTED_VALUE"""),"Guana Lake and River WQ sites")</f>
        <v>Guana Lake and River WQ sites</v>
      </c>
      <c r="I457" s="15">
        <f>IFERROR(__xludf.DUMMYFUNCTION("""COMPUTED_VALUE"""),0.625)</f>
        <v>0.625</v>
      </c>
      <c r="J457" s="16"/>
      <c r="K457" t="str">
        <f>IFERROR(__xludf.DUMMYFUNCTION("""COMPUTED_VALUE"""),"FWC mud boat")</f>
        <v>FWC mud boat</v>
      </c>
      <c r="M457" t="str">
        <f>IFERROR(__xludf.DUMMYFUNCTION("""COMPUTED_VALUE"""),"Ford F150 2018 (AP) - DEP21637")</f>
        <v>Ford F150 2018 (AP) - DEP21637</v>
      </c>
      <c r="N457" t="str">
        <f>IFERROR(__xludf.DUMMYFUNCTION("""COMPUTED_VALUE"""),"Jimmy Tomazinis, (904) 547-0094")</f>
        <v>Jimmy Tomazinis, (904) 547-0094</v>
      </c>
      <c r="O457" t="str">
        <f>IFERROR(__xludf.DUMMYFUNCTION("""COMPUTED_VALUE"""),"Jessica Lee")</f>
        <v>Jessica Lee</v>
      </c>
      <c r="P457" t="str">
        <f>IFERROR(__xludf.DUMMYFUNCTION("""COMPUTED_VALUE"""),"Jimmy")</f>
        <v>Jimmy</v>
      </c>
      <c r="Q457" t="str">
        <f>IFERROR(__xludf.DUMMYFUNCTION("""COMPUTED_VALUE"""),"All items in working order")</f>
        <v>All items in working order</v>
      </c>
      <c r="AE457" s="11"/>
      <c r="AF457" t="s">
        <v>32</v>
      </c>
      <c r="AG457" s="18"/>
    </row>
    <row r="458">
      <c r="A458" s="10">
        <f>IFERROR(__xludf.DUMMYFUNCTION("""COMPUTED_VALUE"""),43861.26121699074)</f>
        <v>43861.26122</v>
      </c>
      <c r="B458" s="11" t="str">
        <f>IFERROR(__xludf.DUMMYFUNCTION("""COMPUTED_VALUE"""),"Pam Marcum")</f>
        <v>Pam Marcum</v>
      </c>
      <c r="C458" t="str">
        <f>IFERROR(__xludf.DUMMYFUNCTION("""COMPUTED_VALUE"""),"Pamela.Marcum@FloridaDEP.gov")</f>
        <v>Pamela.Marcum@FloridaDEP.gov</v>
      </c>
      <c r="D458" t="str">
        <f>IFERROR(__xludf.DUMMYFUNCTION("""COMPUTED_VALUE"""),"Research/Nikki")</f>
        <v>Research/Nikki</v>
      </c>
      <c r="E458" t="str">
        <f>IFERROR(__xludf.DUMMYFUNCTION("""COMPUTED_VALUE"""),"Butler")</f>
        <v>Butler</v>
      </c>
      <c r="F458" s="13">
        <f>IFERROR(__xludf.DUMMYFUNCTION("""COMPUTED_VALUE"""),0.2916666666678793)</f>
        <v>0.2916666667</v>
      </c>
      <c r="G458" s="14">
        <f>IFERROR(__xludf.DUMMYFUNCTION("""COMPUTED_VALUE"""),43861.0)</f>
        <v>43861</v>
      </c>
      <c r="H458" t="str">
        <f>IFERROR(__xludf.DUMMYFUNCTION("""COMPUTED_VALUE"""),"Moses/Butler Flats")</f>
        <v>Moses/Butler Flats</v>
      </c>
      <c r="I458" s="15">
        <f>IFERROR(__xludf.DUMMYFUNCTION("""COMPUTED_VALUE"""),0.4583333333321207)</f>
        <v>0.4583333333</v>
      </c>
      <c r="J458" s="16">
        <f>IFERROR(__xludf.DUMMYFUNCTION("""COMPUTED_VALUE"""),43861.625)</f>
        <v>43861.625</v>
      </c>
      <c r="K458" t="str">
        <f>IFERROR(__xludf.DUMMYFUNCTION("""COMPUTED_VALUE"""),"20ft Sea Ark FL5351SJ UNF 2015")</f>
        <v>20ft Sea Ark FL5351SJ UNF 2015</v>
      </c>
      <c r="M458" t="str">
        <f>IFERROR(__xludf.DUMMYFUNCTION("""COMPUTED_VALUE"""),"Ford F250 2017 (Moby Dix) - DEP0021578")</f>
        <v>Ford F250 2017 (Moby Dix) - DEP0021578</v>
      </c>
      <c r="N458" t="str">
        <f>IFERROR(__xludf.DUMMYFUNCTION("""COMPUTED_VALUE"""),"Pam Marcum, (480) 332-5414")</f>
        <v>Pam Marcum, (480) 332-5414</v>
      </c>
      <c r="O458" t="str">
        <f>IFERROR(__xludf.DUMMYFUNCTION("""COMPUTED_VALUE"""),"Alee Knoell, (619) 750-4833, Adrienne Breef-Pilz, Chris Blanco")</f>
        <v>Alee Knoell, (619) 750-4833, Adrienne Breef-Pilz, Chris Blanco</v>
      </c>
      <c r="P458" t="str">
        <f>IFERROR(__xludf.DUMMYFUNCTION("""COMPUTED_VALUE"""),"Pam")</f>
        <v>Pam</v>
      </c>
      <c r="Q458" t="str">
        <f>IFERROR(__xludf.DUMMYFUNCTION("""COMPUTED_VALUE"""),"All items in working order")</f>
        <v>All items in working order</v>
      </c>
      <c r="AE458" s="11"/>
      <c r="AF458" t="s">
        <v>218</v>
      </c>
      <c r="AG458" s="18"/>
    </row>
    <row r="459">
      <c r="A459" s="10">
        <f>IFERROR(__xludf.DUMMYFUNCTION("""COMPUTED_VALUE"""),43863.64696052083)</f>
        <v>43863.64696</v>
      </c>
      <c r="B459" s="11" t="str">
        <f>IFERROR(__xludf.DUMMYFUNCTION("""COMPUTED_VALUE"""),"Ruben Allen")</f>
        <v>Ruben Allen</v>
      </c>
      <c r="C459" t="str">
        <f>IFERROR(__xludf.DUMMYFUNCTION("""COMPUTED_VALUE"""),"rubeall57@gmail.com")</f>
        <v>rubeall57@gmail.com</v>
      </c>
      <c r="D459" t="str">
        <f>IFERROR(__xludf.DUMMYFUNCTION("""COMPUTED_VALUE"""),"Research/Pam")</f>
        <v>Research/Pam</v>
      </c>
      <c r="E459" t="str">
        <f>IFERROR(__xludf.DUMMYFUNCTION("""COMPUTED_VALUE"""),"Vilano")</f>
        <v>Vilano</v>
      </c>
      <c r="F459" s="13">
        <f>IFERROR(__xludf.DUMMYFUNCTION("""COMPUTED_VALUE"""),0.3229166666678793)</f>
        <v>0.3229166667</v>
      </c>
      <c r="G459" s="14">
        <f>IFERROR(__xludf.DUMMYFUNCTION("""COMPUTED_VALUE"""),43864.0)</f>
        <v>43864</v>
      </c>
      <c r="H459" t="str">
        <f>IFERROR(__xludf.DUMMYFUNCTION("""COMPUTED_VALUE"""),"North and South Spat runs")</f>
        <v>North and South Spat runs</v>
      </c>
      <c r="I459" s="15">
        <f>IFERROR(__xludf.DUMMYFUNCTION("""COMPUTED_VALUE"""),0.6666666666678793)</f>
        <v>0.6666666667</v>
      </c>
      <c r="J459" s="16">
        <f>IFERROR(__xludf.DUMMYFUNCTION("""COMPUTED_VALUE"""),43864.1875)</f>
        <v>43864.1875</v>
      </c>
      <c r="K459" t="str">
        <f>IFERROR(__xludf.DUMMYFUNCTION("""COMPUTED_VALUE"""),"20ft Sea Ark FL5351SJ UNF 2015")</f>
        <v>20ft Sea Ark FL5351SJ UNF 2015</v>
      </c>
      <c r="M459" t="str">
        <f>IFERROR(__xludf.DUMMYFUNCTION("""COMPUTED_VALUE"""),"Ford F150 2015 (White) - DEP21448")</f>
        <v>Ford F150 2015 (White) - DEP21448</v>
      </c>
      <c r="N459" t="str">
        <f>IFERROR(__xludf.DUMMYFUNCTION("""COMPUTED_VALUE"""),"Ruben Allen")</f>
        <v>Ruben Allen</v>
      </c>
      <c r="O459" t="str">
        <f>IFERROR(__xludf.DUMMYFUNCTION("""COMPUTED_VALUE"""),"Alee Knoell, (619) 750-4833, Adrienne Breef-Pilz")</f>
        <v>Alee Knoell, (619) 750-4833, Adrienne Breef-Pilz</v>
      </c>
      <c r="P459" t="str">
        <f>IFERROR(__xludf.DUMMYFUNCTION("""COMPUTED_VALUE"""),"Ruben Allen")</f>
        <v>Ruben Allen</v>
      </c>
      <c r="Q459" t="str">
        <f>IFERROR(__xludf.DUMMYFUNCTION("""COMPUTED_VALUE"""),"All items in working order")</f>
        <v>All items in working order</v>
      </c>
      <c r="AD459" t="str">
        <f>IFERROR(__xludf.DUMMYFUNCTION("""COMPUTED_VALUE"""),"yes")</f>
        <v>yes</v>
      </c>
      <c r="AE459" s="11" t="str">
        <f>IFERROR(__xludf.DUMMYFUNCTION("""COMPUTED_VALUE"""),"yes")</f>
        <v>yes</v>
      </c>
      <c r="AF459" t="s">
        <v>262</v>
      </c>
      <c r="AG459" s="18"/>
    </row>
    <row r="460">
      <c r="A460" s="10">
        <f>IFERROR(__xludf.DUMMYFUNCTION("""COMPUTED_VALUE"""),43863.80952849537)</f>
        <v>43863.80953</v>
      </c>
      <c r="B460" s="11" t="str">
        <f>IFERROR(__xludf.DUMMYFUNCTION("""COMPUTED_VALUE"""),"James Tomazinis")</f>
        <v>James Tomazinis</v>
      </c>
      <c r="C460" t="str">
        <f>IFERROR(__xludf.DUMMYFUNCTION("""COMPUTED_VALUE"""),"james.tomazinis@floridadep.gov")</f>
        <v>james.tomazinis@floridadep.gov</v>
      </c>
      <c r="D460" t="str">
        <f>IFERROR(__xludf.DUMMYFUNCTION("""COMPUTED_VALUE"""),"Stewardship (Aquatic)")</f>
        <v>Stewardship (Aquatic)</v>
      </c>
      <c r="E460" t="str">
        <f>IFERROR(__xludf.DUMMYFUNCTION("""COMPUTED_VALUE"""),"Holly Point")</f>
        <v>Holly Point</v>
      </c>
      <c r="F460" s="13">
        <f>IFERROR(__xludf.DUMMYFUNCTION("""COMPUTED_VALUE"""),0.4375)</f>
        <v>0.4375</v>
      </c>
      <c r="G460" s="14">
        <f>IFERROR(__xludf.DUMMYFUNCTION("""COMPUTED_VALUE"""),43864.0)</f>
        <v>43864</v>
      </c>
      <c r="H460" t="str">
        <f>IFERROR(__xludf.DUMMYFUNCTION("""COMPUTED_VALUE"""),"Lofton Creek and Nassau River Stations")</f>
        <v>Lofton Creek and Nassau River Stations</v>
      </c>
      <c r="I460" s="15">
        <f>IFERROR(__xludf.DUMMYFUNCTION("""COMPUTED_VALUE"""),0.625)</f>
        <v>0.625</v>
      </c>
      <c r="J460" s="16"/>
      <c r="K460" t="str">
        <f>IFERROR(__xludf.DUMMYFUNCTION("""COMPUTED_VALUE"""),"23ft Skiff (Bertha) FL7972LJ DEP07613")</f>
        <v>23ft Skiff (Bertha) FL7972LJ DEP07613</v>
      </c>
      <c r="M460" t="str">
        <f>IFERROR(__xludf.DUMMYFUNCTION("""COMPUTED_VALUE"""),"Ford F150 2018 (AP) - DEP21637")</f>
        <v>Ford F150 2018 (AP) - DEP21637</v>
      </c>
      <c r="N460" t="str">
        <f>IFERROR(__xludf.DUMMYFUNCTION("""COMPUTED_VALUE"""),"Jimmy Tomazinis, (904) 547-0094")</f>
        <v>Jimmy Tomazinis, (904) 547-0094</v>
      </c>
      <c r="O460" t="str">
        <f>IFERROR(__xludf.DUMMYFUNCTION("""COMPUTED_VALUE"""),"Mike Darragh")</f>
        <v>Mike Darragh</v>
      </c>
      <c r="P460" t="str">
        <f>IFERROR(__xludf.DUMMYFUNCTION("""COMPUTED_VALUE"""),"Jimmy")</f>
        <v>Jimmy</v>
      </c>
      <c r="Q460" t="str">
        <f>IFERROR(__xludf.DUMMYFUNCTION("""COMPUTED_VALUE"""),"All items in working order")</f>
        <v>All items in working order</v>
      </c>
      <c r="AE460" s="11"/>
      <c r="AF460" t="s">
        <v>32</v>
      </c>
      <c r="AG460" s="18"/>
    </row>
    <row r="461">
      <c r="A461" s="10">
        <f>IFERROR(__xludf.DUMMYFUNCTION("""COMPUTED_VALUE"""),43864.330857615736)</f>
        <v>43864.33086</v>
      </c>
      <c r="B461" s="11" t="str">
        <f>IFERROR(__xludf.DUMMYFUNCTION("""COMPUTED_VALUE"""),"Pam Marcum")</f>
        <v>Pam Marcum</v>
      </c>
      <c r="C461" t="str">
        <f>IFERROR(__xludf.DUMMYFUNCTION("""COMPUTED_VALUE"""),"Pamela.Marcum@FloridaDEP.gov")</f>
        <v>Pamela.Marcum@FloridaDEP.gov</v>
      </c>
      <c r="D461" t="str">
        <f>IFERROR(__xludf.DUMMYFUNCTION("""COMPUTED_VALUE"""),"Research/Nikki")</f>
        <v>Research/Nikki</v>
      </c>
      <c r="E461" t="str">
        <f>IFERROR(__xludf.DUMMYFUNCTION("""COMPUTED_VALUE"""),"Usina/Aunt Kate's")</f>
        <v>Usina/Aunt Kate's</v>
      </c>
      <c r="F461" s="13">
        <f>IFERROR(__xludf.DUMMYFUNCTION("""COMPUTED_VALUE"""),0.3541666666678793)</f>
        <v>0.3541666667</v>
      </c>
      <c r="G461" s="14">
        <f>IFERROR(__xludf.DUMMYFUNCTION("""COMPUTED_VALUE"""),43864.0)</f>
        <v>43864</v>
      </c>
      <c r="H461" t="str">
        <f>IFERROR(__xludf.DUMMYFUNCTION("""COMPUTED_VALUE"""),"Airport Basin/Robinson's Creek")</f>
        <v>Airport Basin/Robinson's Creek</v>
      </c>
      <c r="I461" s="15">
        <f>IFERROR(__xludf.DUMMYFUNCTION("""COMPUTED_VALUE"""),0.4791666666678793)</f>
        <v>0.4791666667</v>
      </c>
      <c r="J461" s="16">
        <f>IFERROR(__xludf.DUMMYFUNCTION("""COMPUTED_VALUE"""),43864.5)</f>
        <v>43864.5</v>
      </c>
      <c r="K461" t="str">
        <f>IFERROR(__xludf.DUMMYFUNCTION("""COMPUTED_VALUE"""),"20ft Sea Ark FL5351SJ UNF 2015")</f>
        <v>20ft Sea Ark FL5351SJ UNF 2015</v>
      </c>
      <c r="M461" t="str">
        <f>IFERROR(__xludf.DUMMYFUNCTION("""COMPUTED_VALUE"""),"Ford F250 2017 (Moby Dix) - DEP0021578")</f>
        <v>Ford F250 2017 (Moby Dix) - DEP0021578</v>
      </c>
      <c r="N461" t="str">
        <f>IFERROR(__xludf.DUMMYFUNCTION("""COMPUTED_VALUE"""),"Pam Marcum, (480) 332-5414")</f>
        <v>Pam Marcum, (480) 332-5414</v>
      </c>
      <c r="O461" t="str">
        <f>IFERROR(__xludf.DUMMYFUNCTION("""COMPUTED_VALUE"""),"Anna Tripp, Steve Brown, Paul Yonally, Kaitlyn Campbell")</f>
        <v>Anna Tripp, Steve Brown, Paul Yonally, Kaitlyn Campbell</v>
      </c>
      <c r="P461" t="str">
        <f>IFERROR(__xludf.DUMMYFUNCTION("""COMPUTED_VALUE"""),"Pam")</f>
        <v>Pam</v>
      </c>
      <c r="Q461" t="str">
        <f>IFERROR(__xludf.DUMMYFUNCTION("""COMPUTED_VALUE"""),"All items in working order")</f>
        <v>All items in working order</v>
      </c>
      <c r="AE461" s="11"/>
      <c r="AF461" t="s">
        <v>218</v>
      </c>
      <c r="AG461" s="18"/>
    </row>
    <row r="462">
      <c r="A462" s="10">
        <f>IFERROR(__xludf.DUMMYFUNCTION("""COMPUTED_VALUE"""),43865.3704878125)</f>
        <v>43865.37049</v>
      </c>
      <c r="B462" s="11" t="str">
        <f>IFERROR(__xludf.DUMMYFUNCTION("""COMPUTED_VALUE"""),"Pam Marcum")</f>
        <v>Pam Marcum</v>
      </c>
      <c r="C462" t="str">
        <f>IFERROR(__xludf.DUMMYFUNCTION("""COMPUTED_VALUE"""),"Pamela.Marcum@floridadep.gov")</f>
        <v>Pamela.Marcum@floridadep.gov</v>
      </c>
      <c r="D462" t="str">
        <f>IFERROR(__xludf.DUMMYFUNCTION("""COMPUTED_VALUE"""),"Research/Nikki")</f>
        <v>Research/Nikki</v>
      </c>
      <c r="E462" t="str">
        <f>IFERROR(__xludf.DUMMYFUNCTION("""COMPUTED_VALUE"""),"Usina/Aunt Kate's")</f>
        <v>Usina/Aunt Kate's</v>
      </c>
      <c r="F462" s="13">
        <f>IFERROR(__xludf.DUMMYFUNCTION("""COMPUTED_VALUE"""),0.3958333333321207)</f>
        <v>0.3958333333</v>
      </c>
      <c r="G462" s="14">
        <f>IFERROR(__xludf.DUMMYFUNCTION("""COMPUTED_VALUE"""),43865.0)</f>
        <v>43865</v>
      </c>
      <c r="H462" t="str">
        <f>IFERROR(__xludf.DUMMYFUNCTION("""COMPUTED_VALUE"""),"Guana/Tolomato Rivers")</f>
        <v>Guana/Tolomato Rivers</v>
      </c>
      <c r="I462" s="15">
        <f>IFERROR(__xludf.DUMMYFUNCTION("""COMPUTED_VALUE"""),0.5208333333321207)</f>
        <v>0.5208333333</v>
      </c>
      <c r="J462" s="16">
        <f>IFERROR(__xludf.DUMMYFUNCTION("""COMPUTED_VALUE"""),43865.54166666667)</f>
        <v>43865.54167</v>
      </c>
      <c r="K462" t="str">
        <f>IFERROR(__xludf.DUMMYFUNCTION("""COMPUTED_VALUE"""),"20ft Sea Ark FL5351SJ UNF 2015")</f>
        <v>20ft Sea Ark FL5351SJ UNF 2015</v>
      </c>
      <c r="M462" t="str">
        <f>IFERROR(__xludf.DUMMYFUNCTION("""COMPUTED_VALUE"""),"Ford F250 2017 (Moby Dix) - DEP0021578")</f>
        <v>Ford F250 2017 (Moby Dix) - DEP0021578</v>
      </c>
      <c r="N462" t="str">
        <f>IFERROR(__xludf.DUMMYFUNCTION("""COMPUTED_VALUE"""),"Pam Marcum, (480) 332-5414")</f>
        <v>Pam Marcum, (480) 332-5414</v>
      </c>
      <c r="O462" t="str">
        <f>IFERROR(__xludf.DUMMYFUNCTION("""COMPUTED_VALUE"""),"Alee Knoell, (619) 750-4833, Barry MacDonald, Mike Darragh, Nancy Stehno, Candce Killian")</f>
        <v>Alee Knoell, (619) 750-4833, Barry MacDonald, Mike Darragh, Nancy Stehno, Candce Killian</v>
      </c>
      <c r="P462" t="str">
        <f>IFERROR(__xludf.DUMMYFUNCTION("""COMPUTED_VALUE"""),"Pam")</f>
        <v>Pam</v>
      </c>
      <c r="Q462" t="str">
        <f>IFERROR(__xludf.DUMMYFUNCTION("""COMPUTED_VALUE"""),"All items in working order")</f>
        <v>All items in working order</v>
      </c>
      <c r="AE462" s="11"/>
      <c r="AF462" t="s">
        <v>218</v>
      </c>
      <c r="AG462" s="18"/>
    </row>
    <row r="463">
      <c r="A463" s="10">
        <f>IFERROR(__xludf.DUMMYFUNCTION("""COMPUTED_VALUE"""),43867.46352467593)</f>
        <v>43867.46352</v>
      </c>
      <c r="B463" s="11" t="str">
        <f>IFERROR(__xludf.DUMMYFUNCTION("""COMPUTED_VALUE"""),"Pam Marcum")</f>
        <v>Pam Marcum</v>
      </c>
      <c r="C463" t="str">
        <f>IFERROR(__xludf.DUMMYFUNCTION("""COMPUTED_VALUE"""),"Pamela.Marcum@floridadep.gov")</f>
        <v>Pamela.Marcum@floridadep.gov</v>
      </c>
      <c r="D463" t="str">
        <f>IFERROR(__xludf.DUMMYFUNCTION("""COMPUTED_VALUE"""),"Research/Nikki")</f>
        <v>Research/Nikki</v>
      </c>
      <c r="E463" t="str">
        <f>IFERROR(__xludf.DUMMYFUNCTION("""COMPUTED_VALUE"""),"usina")</f>
        <v>usina</v>
      </c>
      <c r="F463" s="13">
        <f>IFERROR(__xludf.DUMMYFUNCTION("""COMPUTED_VALUE"""),0.4791666666678793)</f>
        <v>0.4791666667</v>
      </c>
      <c r="G463" s="14">
        <f>IFERROR(__xludf.DUMMYFUNCTION("""COMPUTED_VALUE"""),43867.0)</f>
        <v>43867</v>
      </c>
      <c r="H463" t="str">
        <f>IFERROR(__xludf.DUMMYFUNCTION("""COMPUTED_VALUE"""),"guana river")</f>
        <v>guana river</v>
      </c>
      <c r="I463" s="15">
        <f>IFERROR(__xludf.DUMMYFUNCTION("""COMPUTED_VALUE"""),0.625)</f>
        <v>0.625</v>
      </c>
      <c r="J463" s="16">
        <f>IFERROR(__xludf.DUMMYFUNCTION("""COMPUTED_VALUE"""),43867.64583333333)</f>
        <v>43867.64583</v>
      </c>
      <c r="K463" t="str">
        <f>IFERROR(__xludf.DUMMYFUNCTION("""COMPUTED_VALUE"""),"20ft Sea Ark FL5351SJ UNF 2015")</f>
        <v>20ft Sea Ark FL5351SJ UNF 2015</v>
      </c>
      <c r="M463" t="str">
        <f>IFERROR(__xludf.DUMMYFUNCTION("""COMPUTED_VALUE"""),"Ford F250 2017 (Moby Dix) - DEP0021578")</f>
        <v>Ford F250 2017 (Moby Dix) - DEP0021578</v>
      </c>
      <c r="N463" t="str">
        <f>IFERROR(__xludf.DUMMYFUNCTION("""COMPUTED_VALUE"""),"Pam Marcum, (480) 332-5414")</f>
        <v>Pam Marcum, (480) 332-5414</v>
      </c>
      <c r="O463" t="str">
        <f>IFERROR(__xludf.DUMMYFUNCTION("""COMPUTED_VALUE"""),"Alee Knoell, (619) 750-4833, Mike Darragh, Vicki MacDonald, Pam Korchun")</f>
        <v>Alee Knoell, (619) 750-4833, Mike Darragh, Vicki MacDonald, Pam Korchun</v>
      </c>
      <c r="P463" t="str">
        <f>IFERROR(__xludf.DUMMYFUNCTION("""COMPUTED_VALUE"""),"Pam")</f>
        <v>Pam</v>
      </c>
      <c r="Q463" t="str">
        <f>IFERROR(__xludf.DUMMYFUNCTION("""COMPUTED_VALUE"""),"All items in working order")</f>
        <v>All items in working order</v>
      </c>
      <c r="AE463" s="11"/>
      <c r="AF463" t="s">
        <v>218</v>
      </c>
      <c r="AG463" s="18"/>
    </row>
    <row r="464">
      <c r="A464" s="10">
        <f>IFERROR(__xludf.DUMMYFUNCTION("""COMPUTED_VALUE"""),43868.48051929398)</f>
        <v>43868.48052</v>
      </c>
      <c r="B464" s="11" t="str">
        <f>IFERROR(__xludf.DUMMYFUNCTION("""COMPUTED_VALUE"""),"Pamela Marcum")</f>
        <v>Pamela Marcum</v>
      </c>
      <c r="C464" t="str">
        <f>IFERROR(__xludf.DUMMYFUNCTION("""COMPUTED_VALUE"""),"Pamela.Marcum@FloridaDEP.gov")</f>
        <v>Pamela.Marcum@FloridaDEP.gov</v>
      </c>
      <c r="D464" t="str">
        <f>IFERROR(__xludf.DUMMYFUNCTION("""COMPUTED_VALUE"""),"Research/Nikki")</f>
        <v>Research/Nikki</v>
      </c>
      <c r="E464" t="str">
        <f>IFERROR(__xludf.DUMMYFUNCTION("""COMPUTED_VALUE"""),"Shore Dr")</f>
        <v>Shore Dr</v>
      </c>
      <c r="F464" s="13">
        <f>IFERROR(__xludf.DUMMYFUNCTION("""COMPUTED_VALUE"""),0.5104166666678793)</f>
        <v>0.5104166667</v>
      </c>
      <c r="G464" s="14">
        <f>IFERROR(__xludf.DUMMYFUNCTION("""COMPUTED_VALUE"""),43868.0)</f>
        <v>43868</v>
      </c>
      <c r="H464" t="str">
        <f>IFERROR(__xludf.DUMMYFUNCTION("""COMPUTED_VALUE"""),"San Sebastian")</f>
        <v>San Sebastian</v>
      </c>
      <c r="I464" s="15">
        <f>IFERROR(__xludf.DUMMYFUNCTION("""COMPUTED_VALUE"""),0.6458333333321207)</f>
        <v>0.6458333333</v>
      </c>
      <c r="J464" s="16">
        <f>IFERROR(__xludf.DUMMYFUNCTION("""COMPUTED_VALUE"""),43868.66666666667)</f>
        <v>43868.66667</v>
      </c>
      <c r="K464" t="str">
        <f>IFERROR(__xludf.DUMMYFUNCTION("""COMPUTED_VALUE"""),"20ft Sea Ark FL5351SJ UNF 2015")</f>
        <v>20ft Sea Ark FL5351SJ UNF 2015</v>
      </c>
      <c r="M464" t="str">
        <f>IFERROR(__xludf.DUMMYFUNCTION("""COMPUTED_VALUE"""),"Ford F250 2017 (Moby Dix) - DEP0021578")</f>
        <v>Ford F250 2017 (Moby Dix) - DEP0021578</v>
      </c>
      <c r="N464" t="str">
        <f>IFERROR(__xludf.DUMMYFUNCTION("""COMPUTED_VALUE"""),"Pam Marcum, (480) 332-5414")</f>
        <v>Pam Marcum, (480) 332-5414</v>
      </c>
      <c r="O464" t="str">
        <f>IFERROR(__xludf.DUMMYFUNCTION("""COMPUTED_VALUE"""),"Alee Knoell, (619) 750-4833, Spencer Baba, Shelby Harrell")</f>
        <v>Alee Knoell, (619) 750-4833, Spencer Baba, Shelby Harrell</v>
      </c>
      <c r="P464" t="str">
        <f>IFERROR(__xludf.DUMMYFUNCTION("""COMPUTED_VALUE"""),"Pam")</f>
        <v>Pam</v>
      </c>
      <c r="Q464" t="str">
        <f>IFERROR(__xludf.DUMMYFUNCTION("""COMPUTED_VALUE"""),"All items in working order")</f>
        <v>All items in working order</v>
      </c>
      <c r="AE464" s="11"/>
      <c r="AF464" t="s">
        <v>218</v>
      </c>
      <c r="AG464" s="18"/>
    </row>
    <row r="465">
      <c r="A465" s="10">
        <f>IFERROR(__xludf.DUMMYFUNCTION("""COMPUTED_VALUE"""),43871.28128048612)</f>
        <v>43871.28128</v>
      </c>
      <c r="B465" s="11" t="str">
        <f>IFERROR(__xludf.DUMMYFUNCTION("""COMPUTED_VALUE"""),"James Tomazinis")</f>
        <v>James Tomazinis</v>
      </c>
      <c r="C465" t="str">
        <f>IFERROR(__xludf.DUMMYFUNCTION("""COMPUTED_VALUE"""),"james.tomazinis@floridadep.gov")</f>
        <v>james.tomazinis@floridadep.gov</v>
      </c>
      <c r="D465" t="str">
        <f>IFERROR(__xludf.DUMMYFUNCTION("""COMPUTED_VALUE"""),"Stewardship (Aquatic)")</f>
        <v>Stewardship (Aquatic)</v>
      </c>
      <c r="E465" t="str">
        <f>IFERROR(__xludf.DUMMYFUNCTION("""COMPUTED_VALUE"""),"Dee Dee Bartels and Holly Point")</f>
        <v>Dee Dee Bartels and Holly Point</v>
      </c>
      <c r="F465" s="13">
        <f>IFERROR(__xludf.DUMMYFUNCTION("""COMPUTED_VALUE"""),0.4166666666678793)</f>
        <v>0.4166666667</v>
      </c>
      <c r="G465" s="14">
        <f>IFERROR(__xludf.DUMMYFUNCTION("""COMPUTED_VALUE"""),43871.0)</f>
        <v>43871</v>
      </c>
      <c r="H465" t="str">
        <f>IFERROR(__xludf.DUMMYFUNCTION("""COMPUTED_VALUE"""),"NEAP WQ sites")</f>
        <v>NEAP WQ sites</v>
      </c>
      <c r="I465" s="15">
        <f>IFERROR(__xludf.DUMMYFUNCTION("""COMPUTED_VALUE"""),0.625)</f>
        <v>0.625</v>
      </c>
      <c r="J465" s="16"/>
      <c r="K465" t="str">
        <f>IFERROR(__xludf.DUMMYFUNCTION("""COMPUTED_VALUE"""),"17ft Skiff (Marsha) FL0642GW DEP07239")</f>
        <v>17ft Skiff (Marsha) FL0642GW DEP07239</v>
      </c>
      <c r="M465" t="str">
        <f>IFERROR(__xludf.DUMMYFUNCTION("""COMPUTED_VALUE"""),"Ford F150 2018 (AP) - DEP21637")</f>
        <v>Ford F150 2018 (AP) - DEP21637</v>
      </c>
      <c r="N465" t="str">
        <f>IFERROR(__xludf.DUMMYFUNCTION("""COMPUTED_VALUE"""),"Scott Eastman, (904) 501-9267, Jimmy Tomazinis, (904) 547-0094")</f>
        <v>Scott Eastman, (904) 501-9267, Jimmy Tomazinis, (904) 547-0094</v>
      </c>
      <c r="O465" t="str">
        <f>IFERROR(__xludf.DUMMYFUNCTION("""COMPUTED_VALUE"""),"Ashley Hurley")</f>
        <v>Ashley Hurley</v>
      </c>
      <c r="P465" t="str">
        <f>IFERROR(__xludf.DUMMYFUNCTION("""COMPUTED_VALUE"""),"Jimmy")</f>
        <v>Jimmy</v>
      </c>
      <c r="Q465" t="str">
        <f>IFERROR(__xludf.DUMMYFUNCTION("""COMPUTED_VALUE"""),"All items in working order")</f>
        <v>All items in working order</v>
      </c>
      <c r="AE465" s="11"/>
      <c r="AF465" t="s">
        <v>32</v>
      </c>
      <c r="AG465" s="18"/>
    </row>
    <row r="466">
      <c r="A466" s="10">
        <f>IFERROR(__xludf.DUMMYFUNCTION("""COMPUTED_VALUE"""),43871.37630462963)</f>
        <v>43871.3763</v>
      </c>
      <c r="B466" s="11" t="str">
        <f>IFERROR(__xludf.DUMMYFUNCTION("""COMPUTED_VALUE"""),"Jessica Lee")</f>
        <v>Jessica Lee</v>
      </c>
      <c r="C466" t="str">
        <f>IFERROR(__xludf.DUMMYFUNCTION("""COMPUTED_VALUE"""),"jessica.lee@FloridaDEP.gov")</f>
        <v>jessica.lee@FloridaDEP.gov</v>
      </c>
      <c r="D466" t="str">
        <f>IFERROR(__xludf.DUMMYFUNCTION("""COMPUTED_VALUE"""),"Research/Shannon")</f>
        <v>Research/Shannon</v>
      </c>
      <c r="E466" t="str">
        <f>IFERROR(__xludf.DUMMYFUNCTION("""COMPUTED_VALUE"""),"Guana")</f>
        <v>Guana</v>
      </c>
      <c r="F466" s="13">
        <f>IFERROR(__xludf.DUMMYFUNCTION("""COMPUTED_VALUE"""),0.4166666666678793)</f>
        <v>0.4166666667</v>
      </c>
      <c r="G466" s="14">
        <f>IFERROR(__xludf.DUMMYFUNCTION("""COMPUTED_VALUE"""),43871.0)</f>
        <v>43871</v>
      </c>
      <c r="H466" t="str">
        <f>IFERROR(__xludf.DUMMYFUNCTION("""COMPUTED_VALUE"""),"Guana River")</f>
        <v>Guana River</v>
      </c>
      <c r="I466" s="15">
        <f>IFERROR(__xludf.DUMMYFUNCTION("""COMPUTED_VALUE"""),0.5)</f>
        <v>0.5</v>
      </c>
      <c r="J466" s="16">
        <f>IFERROR(__xludf.DUMMYFUNCTION("""COMPUTED_VALUE"""),43871.52083333333)</f>
        <v>43871.52083</v>
      </c>
      <c r="K466" t="str">
        <f>IFERROR(__xludf.DUMMYFUNCTION("""COMPUTED_VALUE"""),"Jon Boat FL0484NP DEP06819")</f>
        <v>Jon Boat FL0484NP DEP06819</v>
      </c>
      <c r="M466" t="str">
        <f>IFERROR(__xludf.DUMMYFUNCTION("""COMPUTED_VALUE"""),"Ford F150 2008 (SWMP Thing) - DEP18041")</f>
        <v>Ford F150 2008 (SWMP Thing) - DEP18041</v>
      </c>
      <c r="N466" t="str">
        <f>IFERROR(__xludf.DUMMYFUNCTION("""COMPUTED_VALUE"""),"Nikki Dix, (352) 219-4079")</f>
        <v>Nikki Dix, (352) 219-4079</v>
      </c>
      <c r="O466" t="str">
        <f>IFERROR(__xludf.DUMMYFUNCTION("""COMPUTED_VALUE"""),"Erin Tice")</f>
        <v>Erin Tice</v>
      </c>
      <c r="P466" t="str">
        <f>IFERROR(__xludf.DUMMYFUNCTION("""COMPUTED_VALUE"""),"Nikki Dix")</f>
        <v>Nikki Dix</v>
      </c>
      <c r="Q466" t="str">
        <f>IFERROR(__xludf.DUMMYFUNCTION("""COMPUTED_VALUE"""),"All items in working order")</f>
        <v>All items in working order</v>
      </c>
      <c r="AE466" s="11"/>
      <c r="AF466" t="s">
        <v>269</v>
      </c>
      <c r="AG466" s="18"/>
    </row>
    <row r="467">
      <c r="A467" s="10">
        <f>IFERROR(__xludf.DUMMYFUNCTION("""COMPUTED_VALUE"""),43871.565910486104)</f>
        <v>43871.56591</v>
      </c>
      <c r="B467" s="11" t="str">
        <f>IFERROR(__xludf.DUMMYFUNCTION("""COMPUTED_VALUE"""),"J Silas Tanner")</f>
        <v>J Silas Tanner</v>
      </c>
      <c r="C467" t="str">
        <f>IFERROR(__xludf.DUMMYFUNCTION("""COMPUTED_VALUE"""),"silas.tanner@floridadep.gov")</f>
        <v>silas.tanner@floridadep.gov</v>
      </c>
      <c r="D467" t="str">
        <f>IFERROR(__xludf.DUMMYFUNCTION("""COMPUTED_VALUE"""),"Research/Nikki")</f>
        <v>Research/Nikki</v>
      </c>
      <c r="E467" t="str">
        <f>IFERROR(__xludf.DUMMYFUNCTION("""COMPUTED_VALUE"""),"Vilano Landing")</f>
        <v>Vilano Landing</v>
      </c>
      <c r="F467" s="13">
        <f>IFERROR(__xludf.DUMMYFUNCTION("""COMPUTED_VALUE"""),0.3958333333321207)</f>
        <v>0.3958333333</v>
      </c>
      <c r="G467" s="14">
        <f>IFERROR(__xludf.DUMMYFUNCTION("""COMPUTED_VALUE"""),43872.0)</f>
        <v>43872</v>
      </c>
      <c r="H467" t="str">
        <f>IFERROR(__xludf.DUMMYFUNCTION("""COMPUTED_VALUE"""),"ICW SWMP sites")</f>
        <v>ICW SWMP sites</v>
      </c>
      <c r="I467" s="15">
        <f>IFERROR(__xludf.DUMMYFUNCTION("""COMPUTED_VALUE"""),0.6041666666678793)</f>
        <v>0.6041666667</v>
      </c>
      <c r="J467" s="16">
        <f>IFERROR(__xludf.DUMMYFUNCTION("""COMPUTED_VALUE"""),43872.625)</f>
        <v>43872.625</v>
      </c>
      <c r="K467" t="str">
        <f>IFERROR(__xludf.DUMMYFUNCTION("""COMPUTED_VALUE"""),"23ft Skiff (Bertha) FL7972LJ DEP07613")</f>
        <v>23ft Skiff (Bertha) FL7972LJ DEP07613</v>
      </c>
      <c r="M467" t="str">
        <f>IFERROR(__xludf.DUMMYFUNCTION("""COMPUTED_VALUE"""),"Ford F150 2015 (White) - DEP21448")</f>
        <v>Ford F150 2015 (White) - DEP21448</v>
      </c>
      <c r="N467" t="str">
        <f>IFERROR(__xludf.DUMMYFUNCTION("""COMPUTED_VALUE"""),"Silas Tanner, (904) 483-8423")</f>
        <v>Silas Tanner, (904) 483-8423</v>
      </c>
      <c r="O467" t="str">
        <f>IFERROR(__xludf.DUMMYFUNCTION("""COMPUTED_VALUE"""),"Alee Knoell, (619) 750-4833, Kaitlyn Campbell")</f>
        <v>Alee Knoell, (619) 750-4833, Kaitlyn Campbell</v>
      </c>
      <c r="P467" t="str">
        <f>IFERROR(__xludf.DUMMYFUNCTION("""COMPUTED_VALUE"""),"S. Tanner")</f>
        <v>S. Tanner</v>
      </c>
      <c r="Q467" t="str">
        <f>IFERROR(__xludf.DUMMYFUNCTION("""COMPUTED_VALUE"""),"All items in working order")</f>
        <v>All items in working order</v>
      </c>
      <c r="AE467" s="11"/>
      <c r="AF467" t="s">
        <v>218</v>
      </c>
      <c r="AG467" s="18"/>
    </row>
    <row r="468">
      <c r="A468" s="10">
        <f>IFERROR(__xludf.DUMMYFUNCTION("""COMPUTED_VALUE"""),43874.46721422453)</f>
        <v>43874.46721</v>
      </c>
      <c r="B468" s="11" t="str">
        <f>IFERROR(__xludf.DUMMYFUNCTION("""COMPUTED_VALUE"""),"J Silas Tanner")</f>
        <v>J Silas Tanner</v>
      </c>
      <c r="C468" t="str">
        <f>IFERROR(__xludf.DUMMYFUNCTION("""COMPUTED_VALUE"""),"silas.tanner@floridadep.gov")</f>
        <v>silas.tanner@floridadep.gov</v>
      </c>
      <c r="D468" t="str">
        <f>IFERROR(__xludf.DUMMYFUNCTION("""COMPUTED_VALUE"""),"Research/Pam")</f>
        <v>Research/Pam</v>
      </c>
      <c r="E468" t="str">
        <f>IFERROR(__xludf.DUMMYFUNCTION("""COMPUTED_VALUE"""),"Crane ramp")</f>
        <v>Crane ramp</v>
      </c>
      <c r="F468" s="13">
        <f>IFERROR(__xludf.DUMMYFUNCTION("""COMPUTED_VALUE"""),0.5006944444430701)</f>
        <v>0.5006944444</v>
      </c>
      <c r="G468" s="14">
        <f>IFERROR(__xludf.DUMMYFUNCTION("""COMPUTED_VALUE"""),43874.0)</f>
        <v>43874</v>
      </c>
      <c r="H468" t="str">
        <f>IFERROR(__xludf.DUMMYFUNCTION("""COMPUTED_VALUE"""),"Marsh Creek &amp; site 22 platforms")</f>
        <v>Marsh Creek &amp; site 22 platforms</v>
      </c>
      <c r="I468" s="15">
        <f>IFERROR(__xludf.DUMMYFUNCTION("""COMPUTED_VALUE"""),0.6666666666678793)</f>
        <v>0.6666666667</v>
      </c>
      <c r="J468" s="16">
        <f>IFERROR(__xludf.DUMMYFUNCTION("""COMPUTED_VALUE"""),43874.6875)</f>
        <v>43874.6875</v>
      </c>
      <c r="K468" t="str">
        <f>IFERROR(__xludf.DUMMYFUNCTION("""COMPUTED_VALUE"""),"20ft Sea Ark FL5351SJ UNF 2015")</f>
        <v>20ft Sea Ark FL5351SJ UNF 2015</v>
      </c>
      <c r="M468" t="str">
        <f>IFERROR(__xludf.DUMMYFUNCTION("""COMPUTED_VALUE"""),"Ford F250 2017 (Moby Dix) - DEP0021578")</f>
        <v>Ford F250 2017 (Moby Dix) - DEP0021578</v>
      </c>
      <c r="N468" t="str">
        <f>IFERROR(__xludf.DUMMYFUNCTION("""COMPUTED_VALUE"""),"Shannon Dunnigan, (803) 727-5734, Silas Tanner, (904) 483-8423")</f>
        <v>Shannon Dunnigan, (803) 727-5734, Silas Tanner, (904) 483-8423</v>
      </c>
      <c r="O468" t="str">
        <f>IFERROR(__xludf.DUMMYFUNCTION("""COMPUTED_VALUE"""),"Gabriela Canas, (904) 891-9743, Courtney Hackney")</f>
        <v>Gabriela Canas, (904) 891-9743, Courtney Hackney</v>
      </c>
      <c r="P468" t="str">
        <f>IFERROR(__xludf.DUMMYFUNCTION("""COMPUTED_VALUE"""),"S. Tanner")</f>
        <v>S. Tanner</v>
      </c>
      <c r="Q468" t="str">
        <f>IFERROR(__xludf.DUMMYFUNCTION("""COMPUTED_VALUE"""),"All items in working order")</f>
        <v>All items in working order</v>
      </c>
      <c r="AE468" s="11"/>
      <c r="AF468" t="s">
        <v>262</v>
      </c>
      <c r="AG468" s="18"/>
    </row>
    <row r="469">
      <c r="A469" s="10">
        <f>IFERROR(__xludf.DUMMYFUNCTION("""COMPUTED_VALUE"""),43875.305054895834)</f>
        <v>43875.30505</v>
      </c>
      <c r="B469" s="11" t="str">
        <f>IFERROR(__xludf.DUMMYFUNCTION("""COMPUTED_VALUE"""),"Pam Marcum")</f>
        <v>Pam Marcum</v>
      </c>
      <c r="C469" t="str">
        <f>IFERROR(__xludf.DUMMYFUNCTION("""COMPUTED_VALUE"""),"pamela.marcum@floridadep.govs")</f>
        <v>pamela.marcum@floridadep.govs</v>
      </c>
      <c r="D469" t="str">
        <f>IFERROR(__xludf.DUMMYFUNCTION("""COMPUTED_VALUE"""),"Administration")</f>
        <v>Administration</v>
      </c>
      <c r="E469" t="str">
        <f>IFERROR(__xludf.DUMMYFUNCTION("""COMPUTED_VALUE"""),"Butler")</f>
        <v>Butler</v>
      </c>
      <c r="F469" s="13">
        <f>IFERROR(__xludf.DUMMYFUNCTION("""COMPUTED_VALUE"""),0.3125)</f>
        <v>0.3125</v>
      </c>
      <c r="G469" s="14">
        <f>IFERROR(__xludf.DUMMYFUNCTION("""COMPUTED_VALUE"""),43875.0)</f>
        <v>43875</v>
      </c>
      <c r="H469" t="str">
        <f>IFERROR(__xludf.DUMMYFUNCTION("""COMPUTED_VALUE"""),"Butler flats")</f>
        <v>Butler flats</v>
      </c>
      <c r="I469" s="15">
        <f>IFERROR(__xludf.DUMMYFUNCTION("""COMPUTED_VALUE"""),0.4583333333321207)</f>
        <v>0.4583333333</v>
      </c>
      <c r="J469" s="16">
        <f>IFERROR(__xludf.DUMMYFUNCTION("""COMPUTED_VALUE"""),43875.5)</f>
        <v>43875.5</v>
      </c>
      <c r="K469" t="str">
        <f>IFERROR(__xludf.DUMMYFUNCTION("""COMPUTED_VALUE"""),"17ft Skiff (Marsha) FL0642GW DEP07239")</f>
        <v>17ft Skiff (Marsha) FL0642GW DEP07239</v>
      </c>
      <c r="M469" t="str">
        <f>IFERROR(__xludf.DUMMYFUNCTION("""COMPUTED_VALUE"""),"Ford F150 2015 (White) - DEP21448")</f>
        <v>Ford F150 2015 (White) - DEP21448</v>
      </c>
      <c r="N469" t="str">
        <f>IFERROR(__xludf.DUMMYFUNCTION("""COMPUTED_VALUE"""),"Pam Marcum, (480) 332-5414")</f>
        <v>Pam Marcum, (480) 332-5414</v>
      </c>
      <c r="O469" t="str">
        <f>IFERROR(__xludf.DUMMYFUNCTION("""COMPUTED_VALUE"""),"Jeff Finnan, Mike Daragh")</f>
        <v>Jeff Finnan, Mike Daragh</v>
      </c>
      <c r="P469" t="str">
        <f>IFERROR(__xludf.DUMMYFUNCTION("""COMPUTED_VALUE"""),"Pam")</f>
        <v>Pam</v>
      </c>
      <c r="Q469" t="str">
        <f>IFERROR(__xludf.DUMMYFUNCTION("""COMPUTED_VALUE"""),"All items in working order")</f>
        <v>All items in working order</v>
      </c>
      <c r="AE469" s="11"/>
      <c r="AF469" t="s">
        <v>668</v>
      </c>
      <c r="AG469" s="18"/>
    </row>
    <row r="470">
      <c r="A470" s="10">
        <f>IFERROR(__xludf.DUMMYFUNCTION("""COMPUTED_VALUE"""),43878.32801315973)</f>
        <v>43878.32801</v>
      </c>
      <c r="B470" s="11" t="str">
        <f>IFERROR(__xludf.DUMMYFUNCTION("""COMPUTED_VALUE"""),"Pamela Marcum")</f>
        <v>Pamela Marcum</v>
      </c>
      <c r="C470" t="str">
        <f>IFERROR(__xludf.DUMMYFUNCTION("""COMPUTED_VALUE"""),"Pamela.Marcum@floridadep.gov")</f>
        <v>Pamela.Marcum@floridadep.gov</v>
      </c>
      <c r="D470" t="str">
        <f>IFERROR(__xludf.DUMMYFUNCTION("""COMPUTED_VALUE"""),"Research/Shannon")</f>
        <v>Research/Shannon</v>
      </c>
      <c r="E470" t="str">
        <f>IFERROR(__xludf.DUMMYFUNCTION("""COMPUTED_VALUE"""),"Aunt Kate's")</f>
        <v>Aunt Kate's</v>
      </c>
      <c r="F470" s="13">
        <f>IFERROR(__xludf.DUMMYFUNCTION("""COMPUTED_VALUE"""),0.3541666666678793)</f>
        <v>0.3541666667</v>
      </c>
      <c r="G470" s="14">
        <f>IFERROR(__xludf.DUMMYFUNCTION("""COMPUTED_VALUE"""),43878.0)</f>
        <v>43878</v>
      </c>
      <c r="H470" t="str">
        <f>IFERROR(__xludf.DUMMYFUNCTION("""COMPUTED_VALUE"""),"guana river")</f>
        <v>guana river</v>
      </c>
      <c r="I470" s="15">
        <f>IFERROR(__xludf.DUMMYFUNCTION("""COMPUTED_VALUE"""),0.5208333333321207)</f>
        <v>0.5208333333</v>
      </c>
      <c r="J470" s="16">
        <f>IFERROR(__xludf.DUMMYFUNCTION("""COMPUTED_VALUE"""),43878.54166666667)</f>
        <v>43878.54167</v>
      </c>
      <c r="K470" t="str">
        <f>IFERROR(__xludf.DUMMYFUNCTION("""COMPUTED_VALUE"""),"20ft Sea Ark FL5351SJ UNF 2015")</f>
        <v>20ft Sea Ark FL5351SJ UNF 2015</v>
      </c>
      <c r="M470" t="str">
        <f>IFERROR(__xludf.DUMMYFUNCTION("""COMPUTED_VALUE"""),"Ford F250 2017 (Moby Dix) - DEP0021578")</f>
        <v>Ford F250 2017 (Moby Dix) - DEP0021578</v>
      </c>
      <c r="N470" t="str">
        <f>IFERROR(__xludf.DUMMYFUNCTION("""COMPUTED_VALUE"""),"Pam Marcum, (480) 332-5414")</f>
        <v>Pam Marcum, (480) 332-5414</v>
      </c>
      <c r="O470" t="str">
        <f>IFERROR(__xludf.DUMMYFUNCTION("""COMPUTED_VALUE"""),"Alee Knoell, (619) 750-4833, Mike Darragh, Stefana Moscardini, Kelly Sullivan, Paul Yonally")</f>
        <v>Alee Knoell, (619) 750-4833, Mike Darragh, Stefana Moscardini, Kelly Sullivan, Paul Yonally</v>
      </c>
      <c r="P470" t="str">
        <f>IFERROR(__xludf.DUMMYFUNCTION("""COMPUTED_VALUE"""),"Pam")</f>
        <v>Pam</v>
      </c>
      <c r="Q470" t="str">
        <f>IFERROR(__xludf.DUMMYFUNCTION("""COMPUTED_VALUE"""),"All items in working order")</f>
        <v>All items in working order</v>
      </c>
      <c r="AE470" s="11"/>
      <c r="AF470" t="s">
        <v>269</v>
      </c>
      <c r="AG470" s="18"/>
    </row>
    <row r="471">
      <c r="A471" s="10">
        <f>IFERROR(__xludf.DUMMYFUNCTION("""COMPUTED_VALUE"""),43878.383327187505)</f>
        <v>43878.38333</v>
      </c>
      <c r="B471" s="11" t="str">
        <f>IFERROR(__xludf.DUMMYFUNCTION("""COMPUTED_VALUE"""),"James Tomazinis")</f>
        <v>James Tomazinis</v>
      </c>
      <c r="C471" t="str">
        <f>IFERROR(__xludf.DUMMYFUNCTION("""COMPUTED_VALUE"""),"james.tomazinis@floridadep.gov")</f>
        <v>james.tomazinis@floridadep.gov</v>
      </c>
      <c r="D471" t="str">
        <f>IFERROR(__xludf.DUMMYFUNCTION("""COMPUTED_VALUE"""),"Stewardship (Aquatic)")</f>
        <v>Stewardship (Aquatic)</v>
      </c>
      <c r="E471" t="str">
        <f>IFERROR(__xludf.DUMMYFUNCTION("""COMPUTED_VALUE"""),"Sawpit")</f>
        <v>Sawpit</v>
      </c>
      <c r="F471" s="13">
        <f>IFERROR(__xludf.DUMMYFUNCTION("""COMPUTED_VALUE"""),0.5)</f>
        <v>0.5</v>
      </c>
      <c r="G471" s="14">
        <f>IFERROR(__xludf.DUMMYFUNCTION("""COMPUTED_VALUE"""),43878.0)</f>
        <v>43878</v>
      </c>
      <c r="H471" t="str">
        <f>IFERROR(__xludf.DUMMYFUNCTION("""COMPUTED_VALUE"""),"Nassau/Amelia River Oyster Rakes")</f>
        <v>Nassau/Amelia River Oyster Rakes</v>
      </c>
      <c r="I471" s="15">
        <f>IFERROR(__xludf.DUMMYFUNCTION("""COMPUTED_VALUE"""),0.6666666666678793)</f>
        <v>0.6666666667</v>
      </c>
      <c r="J471" s="16"/>
      <c r="K471" t="str">
        <f>IFERROR(__xludf.DUMMYFUNCTION("""COMPUTED_VALUE"""),"23ft Skiff (Bertha) FL7972LJ DEP07613")</f>
        <v>23ft Skiff (Bertha) FL7972LJ DEP07613</v>
      </c>
      <c r="M471" t="str">
        <f>IFERROR(__xludf.DUMMYFUNCTION("""COMPUTED_VALUE"""),"Ford F150 2018 (AP) - DEP21637")</f>
        <v>Ford F150 2018 (AP) - DEP21637</v>
      </c>
      <c r="N471" t="str">
        <f>IFERROR(__xludf.DUMMYFUNCTION("""COMPUTED_VALUE"""),"Jimmy Tomazinis, (904) 547-0094")</f>
        <v>Jimmy Tomazinis, (904) 547-0094</v>
      </c>
      <c r="O471" t="str">
        <f>IFERROR(__xludf.DUMMYFUNCTION("""COMPUTED_VALUE"""),"Jean Olbert, Joe Marchionno and others")</f>
        <v>Jean Olbert, Joe Marchionno and others</v>
      </c>
      <c r="P471" t="str">
        <f>IFERROR(__xludf.DUMMYFUNCTION("""COMPUTED_VALUE"""),"Jimmy")</f>
        <v>Jimmy</v>
      </c>
      <c r="Q471" t="str">
        <f>IFERROR(__xludf.DUMMYFUNCTION("""COMPUTED_VALUE"""),"All items in working order")</f>
        <v>All items in working order</v>
      </c>
      <c r="AE471" s="11"/>
      <c r="AF471" t="s">
        <v>32</v>
      </c>
      <c r="AG471" s="18"/>
    </row>
    <row r="472">
      <c r="A472" s="10">
        <f>IFERROR(__xludf.DUMMYFUNCTION("""COMPUTED_VALUE"""),43879.37892613426)</f>
        <v>43879.37893</v>
      </c>
      <c r="B472" s="11" t="str">
        <f>IFERROR(__xludf.DUMMYFUNCTION("""COMPUTED_VALUE"""),"Pam Marcum")</f>
        <v>Pam Marcum</v>
      </c>
      <c r="C472" t="str">
        <f>IFERROR(__xludf.DUMMYFUNCTION("""COMPUTED_VALUE"""),"Pamela.Marcum@floridadep.gov")</f>
        <v>Pamela.Marcum@floridadep.gov</v>
      </c>
      <c r="D472" t="str">
        <f>IFERROR(__xludf.DUMMYFUNCTION("""COMPUTED_VALUE"""),"Research/Nikki")</f>
        <v>Research/Nikki</v>
      </c>
      <c r="E472" t="str">
        <f>IFERROR(__xludf.DUMMYFUNCTION("""COMPUTED_VALUE"""),"Aunt Kate's")</f>
        <v>Aunt Kate's</v>
      </c>
      <c r="F472" s="13">
        <f>IFERROR(__xludf.DUMMYFUNCTION("""COMPUTED_VALUE"""),0.3958333333321207)</f>
        <v>0.3958333333</v>
      </c>
      <c r="G472" s="14">
        <f>IFERROR(__xludf.DUMMYFUNCTION("""COMPUTED_VALUE"""),43879.0)</f>
        <v>43879</v>
      </c>
      <c r="H472" t="str">
        <f>IFERROR(__xludf.DUMMYFUNCTION("""COMPUTED_VALUE"""),"San Sebastian/Pine Island")</f>
        <v>San Sebastian/Pine Island</v>
      </c>
      <c r="I472" s="15">
        <f>IFERROR(__xludf.DUMMYFUNCTION("""COMPUTED_VALUE"""),0.5416666666678793)</f>
        <v>0.5416666667</v>
      </c>
      <c r="J472" s="16">
        <f>IFERROR(__xludf.DUMMYFUNCTION("""COMPUTED_VALUE"""),43879.5625)</f>
        <v>43879.5625</v>
      </c>
      <c r="K472" t="str">
        <f>IFERROR(__xludf.DUMMYFUNCTION("""COMPUTED_VALUE"""),"20ft Sea Ark FL5351SJ UNF 2015")</f>
        <v>20ft Sea Ark FL5351SJ UNF 2015</v>
      </c>
      <c r="M472" t="str">
        <f>IFERROR(__xludf.DUMMYFUNCTION("""COMPUTED_VALUE"""),"Ford F250 2017 (Moby Dix) - DEP0021578")</f>
        <v>Ford F250 2017 (Moby Dix) - DEP0021578</v>
      </c>
      <c r="N472" t="str">
        <f>IFERROR(__xludf.DUMMYFUNCTION("""COMPUTED_VALUE"""),"Pam Marcum, (480) 332-5414")</f>
        <v>Pam Marcum, (480) 332-5414</v>
      </c>
      <c r="O472" t="str">
        <f>IFERROR(__xludf.DUMMYFUNCTION("""COMPUTED_VALUE"""),"Alee Knoell, (619) 750-4833, Rauney Mitchell, Traci Yochum, Jeff Finnan, Chris Blanco")</f>
        <v>Alee Knoell, (619) 750-4833, Rauney Mitchell, Traci Yochum, Jeff Finnan, Chris Blanco</v>
      </c>
      <c r="P472" t="str">
        <f>IFERROR(__xludf.DUMMYFUNCTION("""COMPUTED_VALUE"""),"Pam")</f>
        <v>Pam</v>
      </c>
      <c r="Q472" t="str">
        <f>IFERROR(__xludf.DUMMYFUNCTION("""COMPUTED_VALUE"""),"All items in working order")</f>
        <v>All items in working order</v>
      </c>
      <c r="AE472" s="11"/>
      <c r="AF472" t="s">
        <v>218</v>
      </c>
      <c r="AG472" s="18"/>
    </row>
    <row r="473">
      <c r="A473" s="10">
        <f>IFERROR(__xludf.DUMMYFUNCTION("""COMPUTED_VALUE"""),43880.41746081018)</f>
        <v>43880.41746</v>
      </c>
      <c r="B473" s="11" t="str">
        <f>IFERROR(__xludf.DUMMYFUNCTION("""COMPUTED_VALUE"""),"Pamela Marcum")</f>
        <v>Pamela Marcum</v>
      </c>
      <c r="C473" t="str">
        <f>IFERROR(__xludf.DUMMYFUNCTION("""COMPUTED_VALUE"""),"Pamela.Marcum@FloridaDEP.gov")</f>
        <v>Pamela.Marcum@FloridaDEP.gov</v>
      </c>
      <c r="D473" t="str">
        <f>IFERROR(__xludf.DUMMYFUNCTION("""COMPUTED_VALUE"""),"Research/Nikki")</f>
        <v>Research/Nikki</v>
      </c>
      <c r="E473" t="str">
        <f>IFERROR(__xludf.DUMMYFUNCTION("""COMPUTED_VALUE"""),"Aunt Kate's")</f>
        <v>Aunt Kate's</v>
      </c>
      <c r="F473" s="13">
        <f>IFERROR(__xludf.DUMMYFUNCTION("""COMPUTED_VALUE"""),0.4375)</f>
        <v>0.4375</v>
      </c>
      <c r="G473" s="14">
        <f>IFERROR(__xludf.DUMMYFUNCTION("""COMPUTED_VALUE"""),43880.0)</f>
        <v>43880</v>
      </c>
      <c r="H473" t="str">
        <f>IFERROR(__xludf.DUMMYFUNCTION("""COMPUTED_VALUE"""),"Robinson's Creek")</f>
        <v>Robinson's Creek</v>
      </c>
      <c r="I473" s="15">
        <f>IFERROR(__xludf.DUMMYFUNCTION("""COMPUTED_VALUE"""),0.5208333333321207)</f>
        <v>0.5208333333</v>
      </c>
      <c r="J473" s="16">
        <f>IFERROR(__xludf.DUMMYFUNCTION("""COMPUTED_VALUE"""),43880.54166666667)</f>
        <v>43880.54167</v>
      </c>
      <c r="K473" t="str">
        <f>IFERROR(__xludf.DUMMYFUNCTION("""COMPUTED_VALUE"""),"20ft Sea Ark FL5351SJ UNF 2015")</f>
        <v>20ft Sea Ark FL5351SJ UNF 2015</v>
      </c>
      <c r="M473" t="str">
        <f>IFERROR(__xludf.DUMMYFUNCTION("""COMPUTED_VALUE"""),"Ford F250 2017 (Moby Dix) - DEP0021578")</f>
        <v>Ford F250 2017 (Moby Dix) - DEP0021578</v>
      </c>
      <c r="N473" t="str">
        <f>IFERROR(__xludf.DUMMYFUNCTION("""COMPUTED_VALUE"""),"Pam Marcum, (480) 332-5414")</f>
        <v>Pam Marcum, (480) 332-5414</v>
      </c>
      <c r="O473" t="str">
        <f>IFERROR(__xludf.DUMMYFUNCTION("""COMPUTED_VALUE"""),"Alee Knoell, (619) 750-4833, Jeff Finnan, Zach Lepera, Spencer Baba")</f>
        <v>Alee Knoell, (619) 750-4833, Jeff Finnan, Zach Lepera, Spencer Baba</v>
      </c>
      <c r="P473" t="str">
        <f>IFERROR(__xludf.DUMMYFUNCTION("""COMPUTED_VALUE"""),"Pam")</f>
        <v>Pam</v>
      </c>
      <c r="Q473" t="str">
        <f>IFERROR(__xludf.DUMMYFUNCTION("""COMPUTED_VALUE"""),"All items in working order")</f>
        <v>All items in working order</v>
      </c>
      <c r="AE473" s="11"/>
      <c r="AF473" t="s">
        <v>218</v>
      </c>
      <c r="AG473" s="18"/>
    </row>
    <row r="474">
      <c r="A474" s="10">
        <f>IFERROR(__xludf.DUMMYFUNCTION("""COMPUTED_VALUE"""),43881.46326886574)</f>
        <v>43881.46327</v>
      </c>
      <c r="B474" s="11" t="str">
        <f>IFERROR(__xludf.DUMMYFUNCTION("""COMPUTED_VALUE"""),"Pam Marcum")</f>
        <v>Pam Marcum</v>
      </c>
      <c r="C474" t="str">
        <f>IFERROR(__xludf.DUMMYFUNCTION("""COMPUTED_VALUE"""),"Pamela.Marcum@dep.state.fl.us")</f>
        <v>Pamela.Marcum@dep.state.fl.us</v>
      </c>
      <c r="D474" t="str">
        <f>IFERROR(__xludf.DUMMYFUNCTION("""COMPUTED_VALUE"""),"Administration")</f>
        <v>Administration</v>
      </c>
      <c r="E474" t="str">
        <f>IFERROR(__xludf.DUMMYFUNCTION("""COMPUTED_VALUE"""),"Aunt Kate's")</f>
        <v>Aunt Kate's</v>
      </c>
      <c r="F474" s="13">
        <f>IFERROR(__xludf.DUMMYFUNCTION("""COMPUTED_VALUE"""),0.4791666666678793)</f>
        <v>0.4791666667</v>
      </c>
      <c r="G474" s="14">
        <f>IFERROR(__xludf.DUMMYFUNCTION("""COMPUTED_VALUE"""),43881.0)</f>
        <v>43881</v>
      </c>
      <c r="H474" t="str">
        <f>IFERROR(__xludf.DUMMYFUNCTION("""COMPUTED_VALUE"""),"Guana River")</f>
        <v>Guana River</v>
      </c>
      <c r="I474" s="15">
        <f>IFERROR(__xludf.DUMMYFUNCTION("""COMPUTED_VALUE"""),0.5833333333321207)</f>
        <v>0.5833333333</v>
      </c>
      <c r="J474" s="16">
        <f>IFERROR(__xludf.DUMMYFUNCTION("""COMPUTED_VALUE"""),43881.60416666667)</f>
        <v>43881.60417</v>
      </c>
      <c r="K474" t="str">
        <f>IFERROR(__xludf.DUMMYFUNCTION("""COMPUTED_VALUE"""),"20ft Sea Ark FL5351SJ UNF 2015")</f>
        <v>20ft Sea Ark FL5351SJ UNF 2015</v>
      </c>
      <c r="M474" t="str">
        <f>IFERROR(__xludf.DUMMYFUNCTION("""COMPUTED_VALUE"""),"Ford F250 2017 (Moby Dix) - DEP0021578")</f>
        <v>Ford F250 2017 (Moby Dix) - DEP0021578</v>
      </c>
      <c r="N474" t="str">
        <f>IFERROR(__xludf.DUMMYFUNCTION("""COMPUTED_VALUE"""),"Nikki Dix, (352) 219-4079, Pam Marcum, (480) 332-5414, Jimmy Tomazinis, (904) 547-0094")</f>
        <v>Nikki Dix, (352) 219-4079, Pam Marcum, (480) 332-5414, Jimmy Tomazinis, (904) 547-0094</v>
      </c>
      <c r="O474" t="str">
        <f>IFERROR(__xludf.DUMMYFUNCTION("""COMPUTED_VALUE"""),"Alee Knoell, (619) 750-4833")</f>
        <v>Alee Knoell, (619) 750-4833</v>
      </c>
      <c r="P474" t="str">
        <f>IFERROR(__xludf.DUMMYFUNCTION("""COMPUTED_VALUE"""),"Pam")</f>
        <v>Pam</v>
      </c>
      <c r="Q474" t="str">
        <f>IFERROR(__xludf.DUMMYFUNCTION("""COMPUTED_VALUE"""),"All items in working order")</f>
        <v>All items in working order</v>
      </c>
      <c r="AE474" s="11"/>
      <c r="AF474" t="s">
        <v>668</v>
      </c>
      <c r="AG474" s="18"/>
    </row>
    <row r="475">
      <c r="A475" s="10">
        <f>IFERROR(__xludf.DUMMYFUNCTION("""COMPUTED_VALUE"""),43886.313399374994)</f>
        <v>43886.3134</v>
      </c>
      <c r="B475" s="11" t="str">
        <f>IFERROR(__xludf.DUMMYFUNCTION("""COMPUTED_VALUE"""),"J Silas Tanner")</f>
        <v>J Silas Tanner</v>
      </c>
      <c r="C475" t="str">
        <f>IFERROR(__xludf.DUMMYFUNCTION("""COMPUTED_VALUE"""),"silas.tanner@floridadep.gov")</f>
        <v>silas.tanner@floridadep.gov</v>
      </c>
      <c r="D475" t="str">
        <f>IFERROR(__xludf.DUMMYFUNCTION("""COMPUTED_VALUE"""),"Research/Nikki")</f>
        <v>Research/Nikki</v>
      </c>
      <c r="E475" t="str">
        <f>IFERROR(__xludf.DUMMYFUNCTION("""COMPUTED_VALUE"""),"Douglas Crane, Green Road")</f>
        <v>Douglas Crane, Green Road</v>
      </c>
      <c r="F475" s="13">
        <f>IFERROR(__xludf.DUMMYFUNCTION("""COMPUTED_VALUE"""),0.3854166666678793)</f>
        <v>0.3854166667</v>
      </c>
      <c r="G475" s="14">
        <f>IFERROR(__xludf.DUMMYFUNCTION("""COMPUTED_VALUE"""),43886.0)</f>
        <v>43886</v>
      </c>
      <c r="H475" t="str">
        <f>IFERROR(__xludf.DUMMYFUNCTION("""COMPUTED_VALUE"""),"ICW SWMP Sites: San Sebastian &amp; Fort Matanzas")</f>
        <v>ICW SWMP Sites: San Sebastian &amp; Fort Matanzas</v>
      </c>
      <c r="I475" s="15">
        <f>IFERROR(__xludf.DUMMYFUNCTION("""COMPUTED_VALUE"""),0.625)</f>
        <v>0.625</v>
      </c>
      <c r="J475" s="16">
        <f>IFERROR(__xludf.DUMMYFUNCTION("""COMPUTED_VALUE"""),43886.66666666667)</f>
        <v>43886.66667</v>
      </c>
      <c r="K475" t="str">
        <f>IFERROR(__xludf.DUMMYFUNCTION("""COMPUTED_VALUE"""),"20ft Sea Ark FL5351SJ UNF 2015")</f>
        <v>20ft Sea Ark FL5351SJ UNF 2015</v>
      </c>
      <c r="M475" t="str">
        <f>IFERROR(__xludf.DUMMYFUNCTION("""COMPUTED_VALUE"""),"Ford F250 2017 (Moby Dix) - DEP0021578")</f>
        <v>Ford F250 2017 (Moby Dix) - DEP0021578</v>
      </c>
      <c r="N475" t="str">
        <f>IFERROR(__xludf.DUMMYFUNCTION("""COMPUTED_VALUE"""),"Silas Tanner, (904) 483-8423")</f>
        <v>Silas Tanner, (904) 483-8423</v>
      </c>
      <c r="O475" t="str">
        <f>IFERROR(__xludf.DUMMYFUNCTION("""COMPUTED_VALUE"""),"Chris Blanco")</f>
        <v>Chris Blanco</v>
      </c>
      <c r="P475" t="str">
        <f>IFERROR(__xludf.DUMMYFUNCTION("""COMPUTED_VALUE"""),"S. Tanner")</f>
        <v>S. Tanner</v>
      </c>
      <c r="Q475" t="str">
        <f>IFERROR(__xludf.DUMMYFUNCTION("""COMPUTED_VALUE"""),"All items in working order")</f>
        <v>All items in working order</v>
      </c>
      <c r="AE475" s="11"/>
      <c r="AF475" t="s">
        <v>218</v>
      </c>
      <c r="AG475" s="18"/>
    </row>
    <row r="476">
      <c r="A476" s="10">
        <f>IFERROR(__xludf.DUMMYFUNCTION("""COMPUTED_VALUE"""),43887.30994584491)</f>
        <v>43887.30995</v>
      </c>
      <c r="B476" s="11" t="str">
        <f>IFERROR(__xludf.DUMMYFUNCTION("""COMPUTED_VALUE"""),"Silas Tanner")</f>
        <v>Silas Tanner</v>
      </c>
      <c r="C476" t="str">
        <f>IFERROR(__xludf.DUMMYFUNCTION("""COMPUTED_VALUE"""),"silas.tanner@floridadep.gov")</f>
        <v>silas.tanner@floridadep.gov</v>
      </c>
      <c r="D476" t="str">
        <f>IFERROR(__xludf.DUMMYFUNCTION("""COMPUTED_VALUE"""),"Research/Nikki")</f>
        <v>Research/Nikki</v>
      </c>
      <c r="E476" t="str">
        <f>IFERROR(__xludf.DUMMYFUNCTION("""COMPUTED_VALUE"""),"ICW Palm Valley")</f>
        <v>ICW Palm Valley</v>
      </c>
      <c r="F476" s="13">
        <f>IFERROR(__xludf.DUMMYFUNCTION("""COMPUTED_VALUE"""),0.3229166666678793)</f>
        <v>0.3229166667</v>
      </c>
      <c r="G476" s="14">
        <f>IFERROR(__xludf.DUMMYFUNCTION("""COMPUTED_VALUE"""),43887.0)</f>
        <v>43887</v>
      </c>
      <c r="H476" t="str">
        <f>IFERROR(__xludf.DUMMYFUNCTION("""COMPUTED_VALUE"""),"ICW Pine Island SWMP station")</f>
        <v>ICW Pine Island SWMP station</v>
      </c>
      <c r="I476" s="15">
        <f>IFERROR(__xludf.DUMMYFUNCTION("""COMPUTED_VALUE"""),0.375)</f>
        <v>0.375</v>
      </c>
      <c r="J476" s="16">
        <f>IFERROR(__xludf.DUMMYFUNCTION("""COMPUTED_VALUE"""),43887.38541666667)</f>
        <v>43887.38542</v>
      </c>
      <c r="K476" t="str">
        <f>IFERROR(__xludf.DUMMYFUNCTION("""COMPUTED_VALUE"""),"20ft Sea Ark FL5351SJ UNF 2015")</f>
        <v>20ft Sea Ark FL5351SJ UNF 2015</v>
      </c>
      <c r="M476" t="str">
        <f>IFERROR(__xludf.DUMMYFUNCTION("""COMPUTED_VALUE"""),"Ford F250 2017 (Moby Dix) - DEP0021578")</f>
        <v>Ford F250 2017 (Moby Dix) - DEP0021578</v>
      </c>
      <c r="N476" t="str">
        <f>IFERROR(__xludf.DUMMYFUNCTION("""COMPUTED_VALUE"""),"Silas Tanner, (904) 483-8423")</f>
        <v>Silas Tanner, (904) 483-8423</v>
      </c>
      <c r="O476" t="str">
        <f>IFERROR(__xludf.DUMMYFUNCTION("""COMPUTED_VALUE"""),"Chris Blanco")</f>
        <v>Chris Blanco</v>
      </c>
      <c r="P476" t="str">
        <f>IFERROR(__xludf.DUMMYFUNCTION("""COMPUTED_VALUE"""),"S. Tanner")</f>
        <v>S. Tanner</v>
      </c>
      <c r="Q476" t="str">
        <f>IFERROR(__xludf.DUMMYFUNCTION("""COMPUTED_VALUE"""),"All items in working order")</f>
        <v>All items in working order</v>
      </c>
      <c r="AE476" s="11"/>
      <c r="AF476" t="s">
        <v>218</v>
      </c>
      <c r="AG476" s="18"/>
    </row>
    <row r="477">
      <c r="A477" s="10">
        <f>IFERROR(__xludf.DUMMYFUNCTION("""COMPUTED_VALUE"""),43893.297057986114)</f>
        <v>43893.29706</v>
      </c>
      <c r="B477" s="11" t="str">
        <f>IFERROR(__xludf.DUMMYFUNCTION("""COMPUTED_VALUE"""),"Pam Marcum")</f>
        <v>Pam Marcum</v>
      </c>
      <c r="C477" t="str">
        <f>IFERROR(__xludf.DUMMYFUNCTION("""COMPUTED_VALUE"""),"pamela.marcum@floridadep.gov")</f>
        <v>pamela.marcum@floridadep.gov</v>
      </c>
      <c r="D477" t="str">
        <f>IFERROR(__xludf.DUMMYFUNCTION("""COMPUTED_VALUE"""),"Research/Nikki")</f>
        <v>Research/Nikki</v>
      </c>
      <c r="E477" t="str">
        <f>IFERROR(__xludf.DUMMYFUNCTION("""COMPUTED_VALUE"""),"Vilano")</f>
        <v>Vilano</v>
      </c>
      <c r="F477" s="13">
        <f>IFERROR(__xludf.DUMMYFUNCTION("""COMPUTED_VALUE"""),0.2916666666678793)</f>
        <v>0.2916666667</v>
      </c>
      <c r="G477" s="14">
        <f>IFERROR(__xludf.DUMMYFUNCTION("""COMPUTED_VALUE"""),43893.0)</f>
        <v>43893</v>
      </c>
      <c r="H477" t="str">
        <f>IFERROR(__xludf.DUMMYFUNCTION("""COMPUTED_VALUE"""),"Spat trees SR, GR, TR, SA, FM")</f>
        <v>Spat trees SR, GR, TR, SA, FM</v>
      </c>
      <c r="I477" s="15">
        <f>IFERROR(__xludf.DUMMYFUNCTION("""COMPUTED_VALUE"""),0.6666666666678793)</f>
        <v>0.6666666667</v>
      </c>
      <c r="J477" s="16">
        <f>IFERROR(__xludf.DUMMYFUNCTION("""COMPUTED_VALUE"""),43893.67708333333)</f>
        <v>43893.67708</v>
      </c>
      <c r="K477" t="str">
        <f>IFERROR(__xludf.DUMMYFUNCTION("""COMPUTED_VALUE"""),"20ft Sea Ark FL5351SJ UNF 2015")</f>
        <v>20ft Sea Ark FL5351SJ UNF 2015</v>
      </c>
      <c r="M477" t="str">
        <f>IFERROR(__xludf.DUMMYFUNCTION("""COMPUTED_VALUE"""),"Ford F250 2017 (Moby Dix) - DEP0021578")</f>
        <v>Ford F250 2017 (Moby Dix) - DEP0021578</v>
      </c>
      <c r="N477" t="str">
        <f>IFERROR(__xludf.DUMMYFUNCTION("""COMPUTED_VALUE"""),"Pam Marcum, (480) 332-5414")</f>
        <v>Pam Marcum, (480) 332-5414</v>
      </c>
      <c r="O477" t="str">
        <f>IFERROR(__xludf.DUMMYFUNCTION("""COMPUTED_VALUE"""),"Alee Knoell, (619) 750-4833, Adrienne Breef-Pilz (TR GR only)")</f>
        <v>Alee Knoell, (619) 750-4833, Adrienne Breef-Pilz (TR GR only)</v>
      </c>
      <c r="P477" t="str">
        <f>IFERROR(__xludf.DUMMYFUNCTION("""COMPUTED_VALUE"""),"Pam")</f>
        <v>Pam</v>
      </c>
      <c r="Q477" t="str">
        <f>IFERROR(__xludf.DUMMYFUNCTION("""COMPUTED_VALUE"""),"All items in working order")</f>
        <v>All items in working order</v>
      </c>
      <c r="AE477" s="11"/>
      <c r="AF477" t="s">
        <v>218</v>
      </c>
      <c r="AG477" s="18"/>
    </row>
    <row r="478">
      <c r="A478" s="10">
        <f>IFERROR(__xludf.DUMMYFUNCTION("""COMPUTED_VALUE"""),43894.47825983797)</f>
        <v>43894.47826</v>
      </c>
      <c r="B478" s="11" t="str">
        <f>IFERROR(__xludf.DUMMYFUNCTION("""COMPUTED_VALUE"""),"Shannon Dunnigan")</f>
        <v>Shannon Dunnigan</v>
      </c>
      <c r="C478" t="str">
        <f>IFERROR(__xludf.DUMMYFUNCTION("""COMPUTED_VALUE"""),"shannon.dunnigan@dep.state.fl.us")</f>
        <v>shannon.dunnigan@dep.state.fl.us</v>
      </c>
      <c r="D478" t="str">
        <f>IFERROR(__xludf.DUMMYFUNCTION("""COMPUTED_VALUE"""),"Research/Nikki")</f>
        <v>Research/Nikki</v>
      </c>
      <c r="E478" t="str">
        <f>IFERROR(__xludf.DUMMYFUNCTION("""COMPUTED_VALUE"""),"Crane")</f>
        <v>Crane</v>
      </c>
      <c r="F478" s="13">
        <f>IFERROR(__xludf.DUMMYFUNCTION("""COMPUTED_VALUE"""),0.5104166666678793)</f>
        <v>0.5104166667</v>
      </c>
      <c r="G478" s="14">
        <f>IFERROR(__xludf.DUMMYFUNCTION("""COMPUTED_VALUE"""),43894.0)</f>
        <v>43894</v>
      </c>
      <c r="H478" t="str">
        <f>IFERROR(__xludf.DUMMYFUNCTION("""COMPUTED_VALUE"""),"Gabby’s Creek")</f>
        <v>Gabby’s Creek</v>
      </c>
      <c r="I478" s="15">
        <f>IFERROR(__xludf.DUMMYFUNCTION("""COMPUTED_VALUE"""),0.7083333333321207)</f>
        <v>0.7083333333</v>
      </c>
      <c r="J478" s="16">
        <f>IFERROR(__xludf.DUMMYFUNCTION("""COMPUTED_VALUE"""),43894.75)</f>
        <v>43894.75</v>
      </c>
      <c r="K478" t="str">
        <f>IFERROR(__xludf.DUMMYFUNCTION("""COMPUTED_VALUE"""),"20ft Sea Ark FL5351SJ UNF 2015")</f>
        <v>20ft Sea Ark FL5351SJ UNF 2015</v>
      </c>
      <c r="M478" t="str">
        <f>IFERROR(__xludf.DUMMYFUNCTION("""COMPUTED_VALUE"""),"Ford F250 2017 (Moby Dix) - DEP0021578")</f>
        <v>Ford F250 2017 (Moby Dix) - DEP0021578</v>
      </c>
      <c r="N478" t="str">
        <f>IFERROR(__xludf.DUMMYFUNCTION("""COMPUTED_VALUE"""),"Shannon Dunnigan, (803) 727-5734")</f>
        <v>Shannon Dunnigan, (803) 727-5734</v>
      </c>
      <c r="O478" t="str">
        <f>IFERROR(__xludf.DUMMYFUNCTION("""COMPUTED_VALUE"""),"Gabriela Canas, (904) 891-9743, Alee Knoell, (619) 750-4833, Chris Blanco")</f>
        <v>Gabriela Canas, (904) 891-9743, Alee Knoell, (619) 750-4833, Chris Blanco</v>
      </c>
      <c r="P478" t="str">
        <f>IFERROR(__xludf.DUMMYFUNCTION("""COMPUTED_VALUE"""),"Shannon")</f>
        <v>Shannon</v>
      </c>
      <c r="Q478" t="str">
        <f>IFERROR(__xludf.DUMMYFUNCTION("""COMPUTED_VALUE"""),"All items in working order")</f>
        <v>All items in working order</v>
      </c>
      <c r="AE478" s="11"/>
      <c r="AF478" t="s">
        <v>218</v>
      </c>
      <c r="AG478" s="18"/>
    </row>
    <row r="479">
      <c r="A479" s="10">
        <f>IFERROR(__xludf.DUMMYFUNCTION("""COMPUTED_VALUE"""),43896.33656585648)</f>
        <v>43896.33657</v>
      </c>
      <c r="B479" s="11" t="str">
        <f>IFERROR(__xludf.DUMMYFUNCTION("""COMPUTED_VALUE"""),"Alexandria Knoell")</f>
        <v>Alexandria Knoell</v>
      </c>
      <c r="C479" t="str">
        <f>IFERROR(__xludf.DUMMYFUNCTION("""COMPUTED_VALUE"""),"alee.knoell@floridadep.gov")</f>
        <v>alee.knoell@floridadep.gov</v>
      </c>
      <c r="D479" t="str">
        <f>IFERROR(__xludf.DUMMYFUNCTION("""COMPUTED_VALUE"""),"Research/Nikki")</f>
        <v>Research/Nikki</v>
      </c>
      <c r="E479" t="str">
        <f>IFERROR(__xludf.DUMMYFUNCTION("""COMPUTED_VALUE"""),"Crane")</f>
        <v>Crane</v>
      </c>
      <c r="F479" s="13">
        <f>IFERROR(__xludf.DUMMYFUNCTION("""COMPUTED_VALUE"""),0.3541666666678793)</f>
        <v>0.3541666667</v>
      </c>
      <c r="G479" s="14">
        <f>IFERROR(__xludf.DUMMYFUNCTION("""COMPUTED_VALUE"""),43896.0)</f>
        <v>43896</v>
      </c>
      <c r="H479" t="str">
        <f>IFERROR(__xludf.DUMMYFUNCTION("""COMPUTED_VALUE"""),"Gabbys creek")</f>
        <v>Gabbys creek</v>
      </c>
      <c r="I479" s="15">
        <f>IFERROR(__xludf.DUMMYFUNCTION("""COMPUTED_VALUE"""),0.6666666666678793)</f>
        <v>0.6666666667</v>
      </c>
      <c r="J479" s="16">
        <f>IFERROR(__xludf.DUMMYFUNCTION("""COMPUTED_VALUE"""),43957.6875)</f>
        <v>43957.6875</v>
      </c>
      <c r="K479" t="str">
        <f>IFERROR(__xludf.DUMMYFUNCTION("""COMPUTED_VALUE"""),"20ft Sea Ark FL5351SJ UNF 2015")</f>
        <v>20ft Sea Ark FL5351SJ UNF 2015</v>
      </c>
      <c r="M479" t="str">
        <f>IFERROR(__xludf.DUMMYFUNCTION("""COMPUTED_VALUE"""),"Ford F250 2017 (Moby Dix) - DEP0021578")</f>
        <v>Ford F250 2017 (Moby Dix) - DEP0021578</v>
      </c>
      <c r="N479" t="str">
        <f>IFERROR(__xludf.DUMMYFUNCTION("""COMPUTED_VALUE"""),"Gabby Canas")</f>
        <v>Gabby Canas</v>
      </c>
      <c r="O479" t="str">
        <f>IFERROR(__xludf.DUMMYFUNCTION("""COMPUTED_VALUE"""),"Alee Knoell, (619) 750-4833, Mathew Stirchio, Chris blanco, Julie Campbell ")</f>
        <v>Alee Knoell, (619) 750-4833, Mathew Stirchio, Chris blanco, Julie Campbell </v>
      </c>
      <c r="P479" t="str">
        <f>IFERROR(__xludf.DUMMYFUNCTION("""COMPUTED_VALUE"""),"Gabby Canas")</f>
        <v>Gabby Canas</v>
      </c>
      <c r="Q479" t="str">
        <f>IFERROR(__xludf.DUMMYFUNCTION("""COMPUTED_VALUE"""),"All items in working order")</f>
        <v>All items in working order</v>
      </c>
      <c r="AE479" s="11"/>
      <c r="AF479" t="s">
        <v>218</v>
      </c>
      <c r="AG479" s="18"/>
    </row>
    <row r="480">
      <c r="A480" s="10">
        <f>IFERROR(__xludf.DUMMYFUNCTION("""COMPUTED_VALUE"""),43899.32906851852)</f>
        <v>43899.32907</v>
      </c>
      <c r="B480" s="11" t="str">
        <f>IFERROR(__xludf.DUMMYFUNCTION("""COMPUTED_VALUE"""),"James Tomazinis")</f>
        <v>James Tomazinis</v>
      </c>
      <c r="C480" t="str">
        <f>IFERROR(__xludf.DUMMYFUNCTION("""COMPUTED_VALUE"""),"james.tomazinis@floridadep.gov")</f>
        <v>james.tomazinis@floridadep.gov</v>
      </c>
      <c r="D480" t="str">
        <f>IFERROR(__xludf.DUMMYFUNCTION("""COMPUTED_VALUE"""),"Stewardship (Aquatic)")</f>
        <v>Stewardship (Aquatic)</v>
      </c>
      <c r="E480" t="str">
        <f>IFERROR(__xludf.DUMMYFUNCTION("""COMPUTED_VALUE"""),"Holly Point, Dee Dee Bartels")</f>
        <v>Holly Point, Dee Dee Bartels</v>
      </c>
      <c r="F480" s="13">
        <f>IFERROR(__xludf.DUMMYFUNCTION("""COMPUTED_VALUE"""),0.4166666666678793)</f>
        <v>0.4166666667</v>
      </c>
      <c r="G480" s="14">
        <f>IFERROR(__xludf.DUMMYFUNCTION("""COMPUTED_VALUE"""),43899.0)</f>
        <v>43899</v>
      </c>
      <c r="H480" t="str">
        <f>IFERROR(__xludf.DUMMYFUNCTION("""COMPUTED_VALUE"""),"NEAP WQ Sites")</f>
        <v>NEAP WQ Sites</v>
      </c>
      <c r="I480" s="15">
        <f>IFERROR(__xludf.DUMMYFUNCTION("""COMPUTED_VALUE"""),0.625)</f>
        <v>0.625</v>
      </c>
      <c r="J480" s="16"/>
      <c r="K480" t="str">
        <f>IFERROR(__xludf.DUMMYFUNCTION("""COMPUTED_VALUE"""),"17ft Skiff (Marsha) FL0642GW DEP07239")</f>
        <v>17ft Skiff (Marsha) FL0642GW DEP07239</v>
      </c>
      <c r="M480" t="str">
        <f>IFERROR(__xludf.DUMMYFUNCTION("""COMPUTED_VALUE"""),"Ford F150 2010 (4 Door) - DEP07668")</f>
        <v>Ford F150 2010 (4 Door) - DEP07668</v>
      </c>
      <c r="N480" t="str">
        <f>IFERROR(__xludf.DUMMYFUNCTION("""COMPUTED_VALUE"""),"Jimmy Tomazinis, (904) 547-0094")</f>
        <v>Jimmy Tomazinis, (904) 547-0094</v>
      </c>
      <c r="O480" t="str">
        <f>IFERROR(__xludf.DUMMYFUNCTION("""COMPUTED_VALUE"""),"Suzi")</f>
        <v>Suzi</v>
      </c>
      <c r="P480" t="str">
        <f>IFERROR(__xludf.DUMMYFUNCTION("""COMPUTED_VALUE"""),"Jimmy")</f>
        <v>Jimmy</v>
      </c>
      <c r="Q480" t="str">
        <f>IFERROR(__xludf.DUMMYFUNCTION("""COMPUTED_VALUE"""),"All items in working order")</f>
        <v>All items in working order</v>
      </c>
      <c r="AE480" s="11"/>
      <c r="AF480" t="s">
        <v>32</v>
      </c>
      <c r="AG480" s="18"/>
    </row>
    <row r="481">
      <c r="A481" s="10">
        <f>IFERROR(__xludf.DUMMYFUNCTION("""COMPUTED_VALUE"""),43899.36991033565)</f>
        <v>43899.36991</v>
      </c>
      <c r="B481" s="11" t="str">
        <f>IFERROR(__xludf.DUMMYFUNCTION("""COMPUTED_VALUE"""),"Jessica Lee")</f>
        <v>Jessica Lee</v>
      </c>
      <c r="C481" t="str">
        <f>IFERROR(__xludf.DUMMYFUNCTION("""COMPUTED_VALUE"""),"jessica.lee@FloridaDEP.gov")</f>
        <v>jessica.lee@FloridaDEP.gov</v>
      </c>
      <c r="D481" t="str">
        <f>IFERROR(__xludf.DUMMYFUNCTION("""COMPUTED_VALUE"""),"Research/Nikki")</f>
        <v>Research/Nikki</v>
      </c>
      <c r="E481" t="str">
        <f>IFERROR(__xludf.DUMMYFUNCTION("""COMPUTED_VALUE"""),"Guana River")</f>
        <v>Guana River</v>
      </c>
      <c r="F481" s="13">
        <f>IFERROR(__xludf.DUMMYFUNCTION("""COMPUTED_VALUE"""),0.40625)</f>
        <v>0.40625</v>
      </c>
      <c r="G481" s="14">
        <f>IFERROR(__xludf.DUMMYFUNCTION("""COMPUTED_VALUE"""),43899.0)</f>
        <v>43899</v>
      </c>
      <c r="H481" t="str">
        <f>IFERROR(__xludf.DUMMYFUNCTION("""COMPUTED_VALUE"""),"Guana River")</f>
        <v>Guana River</v>
      </c>
      <c r="I481" s="15">
        <f>IFERROR(__xludf.DUMMYFUNCTION("""COMPUTED_VALUE"""),0.4791666666678793)</f>
        <v>0.4791666667</v>
      </c>
      <c r="J481" s="16">
        <f>IFERROR(__xludf.DUMMYFUNCTION("""COMPUTED_VALUE"""),43899.5)</f>
        <v>43899.5</v>
      </c>
      <c r="K481" t="str">
        <f>IFERROR(__xludf.DUMMYFUNCTION("""COMPUTED_VALUE"""),"Jon Boat FL0484NP DEP06819")</f>
        <v>Jon Boat FL0484NP DEP06819</v>
      </c>
      <c r="M481" t="str">
        <f>IFERROR(__xludf.DUMMYFUNCTION("""COMPUTED_VALUE"""),"Ford F250 2017 (Moby Dix) - DEP0021578")</f>
        <v>Ford F250 2017 (Moby Dix) - DEP0021578</v>
      </c>
      <c r="N481" t="str">
        <f>IFERROR(__xludf.DUMMYFUNCTION("""COMPUTED_VALUE"""),"Pam Marcum, (480) 332-5414")</f>
        <v>Pam Marcum, (480) 332-5414</v>
      </c>
      <c r="P481" t="str">
        <f>IFERROR(__xludf.DUMMYFUNCTION("""COMPUTED_VALUE"""),"Pam")</f>
        <v>Pam</v>
      </c>
      <c r="Q481" t="str">
        <f>IFERROR(__xludf.DUMMYFUNCTION("""COMPUTED_VALUE"""),"All items in working order")</f>
        <v>All items in working order</v>
      </c>
      <c r="AE481" s="11"/>
      <c r="AF481" t="s">
        <v>218</v>
      </c>
      <c r="AG481" s="18"/>
    </row>
    <row r="482">
      <c r="A482" s="10">
        <f>IFERROR(__xludf.DUMMYFUNCTION("""COMPUTED_VALUE"""),43900.40784344907)</f>
        <v>43900.40784</v>
      </c>
      <c r="B482" s="11" t="str">
        <f>IFERROR(__xludf.DUMMYFUNCTION("""COMPUTED_VALUE"""),"Alexandria Knoell")</f>
        <v>Alexandria Knoell</v>
      </c>
      <c r="C482" t="str">
        <f>IFERROR(__xludf.DUMMYFUNCTION("""COMPUTED_VALUE"""),"alee.knoell@floridadep.gov")</f>
        <v>alee.knoell@floridadep.gov</v>
      </c>
      <c r="D482" t="str">
        <f>IFERROR(__xludf.DUMMYFUNCTION("""COMPUTED_VALUE"""),"Research/Pam")</f>
        <v>Research/Pam</v>
      </c>
      <c r="E482" t="str">
        <f>IFERROR(__xludf.DUMMYFUNCTION("""COMPUTED_VALUE"""),"Vilano")</f>
        <v>Vilano</v>
      </c>
      <c r="F482" s="13">
        <f>IFERROR(__xludf.DUMMYFUNCTION("""COMPUTED_VALUE"""),0.4166666666678793)</f>
        <v>0.4166666667</v>
      </c>
      <c r="G482" s="14">
        <f>IFERROR(__xludf.DUMMYFUNCTION("""COMPUTED_VALUE"""),43900.0)</f>
        <v>43900</v>
      </c>
      <c r="H482" t="str">
        <f>IFERROR(__xludf.DUMMYFUNCTION("""COMPUTED_VALUE"""),"Icw swmp sites")</f>
        <v>Icw swmp sites</v>
      </c>
      <c r="I482" s="15">
        <f>IFERROR(__xludf.DUMMYFUNCTION("""COMPUTED_VALUE"""),0.625)</f>
        <v>0.625</v>
      </c>
      <c r="J482" s="16">
        <f>IFERROR(__xludf.DUMMYFUNCTION("""COMPUTED_VALUE"""),43900.64583333333)</f>
        <v>43900.64583</v>
      </c>
      <c r="K482" t="str">
        <f>IFERROR(__xludf.DUMMYFUNCTION("""COMPUTED_VALUE"""),"23ft Skiff (Bertha) FL7972LJ DEP07613")</f>
        <v>23ft Skiff (Bertha) FL7972LJ DEP07613</v>
      </c>
      <c r="M482" t="str">
        <f>IFERROR(__xludf.DUMMYFUNCTION("""COMPUTED_VALUE"""),"Ford F250 2017 (Moby Dix) - DEP0021578")</f>
        <v>Ford F250 2017 (Moby Dix) - DEP0021578</v>
      </c>
      <c r="N482" t="str">
        <f>IFERROR(__xludf.DUMMYFUNCTION("""COMPUTED_VALUE"""),"Silas Tanner, (904) 483-8423")</f>
        <v>Silas Tanner, (904) 483-8423</v>
      </c>
      <c r="O482" t="str">
        <f>IFERROR(__xludf.DUMMYFUNCTION("""COMPUTED_VALUE"""),"Alee Knoell, (619) 750-4833, Chris Blanco")</f>
        <v>Alee Knoell, (619) 750-4833, Chris Blanco</v>
      </c>
      <c r="P482" t="str">
        <f>IFERROR(__xludf.DUMMYFUNCTION("""COMPUTED_VALUE"""),"James Silas Tanner ")</f>
        <v>James Silas Tanner </v>
      </c>
      <c r="Q482" t="str">
        <f>IFERROR(__xludf.DUMMYFUNCTION("""COMPUTED_VALUE"""),"All items in working order")</f>
        <v>All items in working order</v>
      </c>
      <c r="AE482" s="11"/>
      <c r="AF482" t="s">
        <v>262</v>
      </c>
      <c r="AG482" s="18"/>
    </row>
    <row r="483">
      <c r="A483" s="10">
        <f>IFERROR(__xludf.DUMMYFUNCTION("""COMPUTED_VALUE"""),43901.41088331019)</f>
        <v>43901.41088</v>
      </c>
      <c r="B483" s="11" t="str">
        <f>IFERROR(__xludf.DUMMYFUNCTION("""COMPUTED_VALUE"""),"Jessica Lee")</f>
        <v>Jessica Lee</v>
      </c>
      <c r="C483" t="str">
        <f>IFERROR(__xludf.DUMMYFUNCTION("""COMPUTED_VALUE"""),"jessica.lee@FloridaDEP.gov")</f>
        <v>jessica.lee@FloridaDEP.gov</v>
      </c>
      <c r="D483" t="str">
        <f>IFERROR(__xludf.DUMMYFUNCTION("""COMPUTED_VALUE"""),"Research/Nikki")</f>
        <v>Research/Nikki</v>
      </c>
      <c r="E483" t="str">
        <f>IFERROR(__xludf.DUMMYFUNCTION("""COMPUTED_VALUE"""),"Guana River")</f>
        <v>Guana River</v>
      </c>
      <c r="F483" s="13">
        <f>IFERROR(__xludf.DUMMYFUNCTION("""COMPUTED_VALUE"""),0.4895833333321207)</f>
        <v>0.4895833333</v>
      </c>
      <c r="G483" s="14">
        <f>IFERROR(__xludf.DUMMYFUNCTION("""COMPUTED_VALUE"""),43901.0)</f>
        <v>43901</v>
      </c>
      <c r="H483" t="str">
        <f>IFERROR(__xludf.DUMMYFUNCTION("""COMPUTED_VALUE"""),"Guana River")</f>
        <v>Guana River</v>
      </c>
      <c r="I483" s="15">
        <f>IFERROR(__xludf.DUMMYFUNCTION("""COMPUTED_VALUE"""),0.5520833333321207)</f>
        <v>0.5520833333</v>
      </c>
      <c r="J483" s="16">
        <f>IFERROR(__xludf.DUMMYFUNCTION("""COMPUTED_VALUE"""),43901.5625)</f>
        <v>43901.5625</v>
      </c>
      <c r="K483" t="str">
        <f>IFERROR(__xludf.DUMMYFUNCTION("""COMPUTED_VALUE"""),"Jon Boat FL0484NP DEP06819")</f>
        <v>Jon Boat FL0484NP DEP06819</v>
      </c>
      <c r="M483" t="str">
        <f>IFERROR(__xludf.DUMMYFUNCTION("""COMPUTED_VALUE"""),"Ford F150 2008 (SWMP Thing) - DEP18041")</f>
        <v>Ford F150 2008 (SWMP Thing) - DEP18041</v>
      </c>
      <c r="N483" t="str">
        <f>IFERROR(__xludf.DUMMYFUNCTION("""COMPUTED_VALUE"""),"Pam Marcum, (480) 332-5414")</f>
        <v>Pam Marcum, (480) 332-5414</v>
      </c>
      <c r="P483" t="str">
        <f>IFERROR(__xludf.DUMMYFUNCTION("""COMPUTED_VALUE"""),"Jess")</f>
        <v>Jess</v>
      </c>
      <c r="Q483" t="str">
        <f>IFERROR(__xludf.DUMMYFUNCTION("""COMPUTED_VALUE"""),"All items in working order")</f>
        <v>All items in working order</v>
      </c>
      <c r="AE483" s="11"/>
      <c r="AF483" t="s">
        <v>218</v>
      </c>
      <c r="AG483" s="18"/>
    </row>
    <row r="484">
      <c r="A484" s="10">
        <f>IFERROR(__xludf.DUMMYFUNCTION("""COMPUTED_VALUE"""),43906.741598726854)</f>
        <v>43906.7416</v>
      </c>
      <c r="B484" s="11" t="str">
        <f>IFERROR(__xludf.DUMMYFUNCTION("""COMPUTED_VALUE"""),"Pam Marcum")</f>
        <v>Pam Marcum</v>
      </c>
      <c r="C484" t="str">
        <f>IFERROR(__xludf.DUMMYFUNCTION("""COMPUTED_VALUE"""),"pamela.marcum@dep.state.fl.us")</f>
        <v>pamela.marcum@dep.state.fl.us</v>
      </c>
      <c r="D484" t="str">
        <f>IFERROR(__xludf.DUMMYFUNCTION("""COMPUTED_VALUE"""),"Administration")</f>
        <v>Administration</v>
      </c>
      <c r="E484" t="str">
        <f>IFERROR(__xludf.DUMMYFUNCTION("""COMPUTED_VALUE"""),"Bings")</f>
        <v>Bings</v>
      </c>
      <c r="F484" s="13">
        <f>IFERROR(__xludf.DUMMYFUNCTION("""COMPUTED_VALUE"""),0.7395833333321207)</f>
        <v>0.7395833333</v>
      </c>
      <c r="G484" s="14">
        <f>IFERROR(__xludf.DUMMYFUNCTION("""COMPUTED_VALUE"""),43906.0)</f>
        <v>43906</v>
      </c>
      <c r="H484" t="str">
        <f>IFERROR(__xludf.DUMMYFUNCTION("""COMPUTED_VALUE"""),"Washington oaks platforms")</f>
        <v>Washington oaks platforms</v>
      </c>
      <c r="I484" s="15">
        <f>IFERROR(__xludf.DUMMYFUNCTION("""COMPUTED_VALUE"""),0.7916666666678793)</f>
        <v>0.7916666667</v>
      </c>
      <c r="J484" s="16">
        <f>IFERROR(__xludf.DUMMYFUNCTION("""COMPUTED_VALUE"""),43906.83333333333)</f>
        <v>43906.83333</v>
      </c>
      <c r="K484" t="str">
        <f>IFERROR(__xludf.DUMMYFUNCTION("""COMPUTED_VALUE"""),"20ft Sea Ark FL5351SJ UNF 2015")</f>
        <v>20ft Sea Ark FL5351SJ UNF 2015</v>
      </c>
      <c r="M484" t="str">
        <f>IFERROR(__xludf.DUMMYFUNCTION("""COMPUTED_VALUE"""),"Ford F150 2008 (SWMP Thing) - DEP18041")</f>
        <v>Ford F150 2008 (SWMP Thing) - DEP18041</v>
      </c>
      <c r="N484" t="str">
        <f>IFERROR(__xludf.DUMMYFUNCTION("""COMPUTED_VALUE"""),"Pam Marcum, (480) 332-5414")</f>
        <v>Pam Marcum, (480) 332-5414</v>
      </c>
      <c r="O484" t="str">
        <f>IFERROR(__xludf.DUMMYFUNCTION("""COMPUTED_VALUE"""),"Alee Knoell, (619) 750-4833")</f>
        <v>Alee Knoell, (619) 750-4833</v>
      </c>
      <c r="P484" t="str">
        <f>IFERROR(__xludf.DUMMYFUNCTION("""COMPUTED_VALUE"""),"Pam")</f>
        <v>Pam</v>
      </c>
      <c r="Q484" t="str">
        <f>IFERROR(__xludf.DUMMYFUNCTION("""COMPUTED_VALUE"""),"All items in working order")</f>
        <v>All items in working order</v>
      </c>
      <c r="AE484" s="11"/>
      <c r="AF484" t="s">
        <v>668</v>
      </c>
      <c r="AG484" s="18"/>
    </row>
    <row r="485">
      <c r="A485" s="10">
        <f>IFERROR(__xludf.DUMMYFUNCTION("""COMPUTED_VALUE"""),43907.31685435185)</f>
        <v>43907.31685</v>
      </c>
      <c r="B485" s="11" t="str">
        <f>IFERROR(__xludf.DUMMYFUNCTION("""COMPUTED_VALUE"""),"Pam Marcum")</f>
        <v>Pam Marcum</v>
      </c>
      <c r="C485" t="str">
        <f>IFERROR(__xludf.DUMMYFUNCTION("""COMPUTED_VALUE"""),"pamela.marcum@floridadep.gov")</f>
        <v>pamela.marcum@floridadep.gov</v>
      </c>
      <c r="D485" t="str">
        <f>IFERROR(__xludf.DUMMYFUNCTION("""COMPUTED_VALUE"""),"Research/Nikki")</f>
        <v>Research/Nikki</v>
      </c>
      <c r="E485" t="str">
        <f>IFERROR(__xludf.DUMMYFUNCTION("""COMPUTED_VALUE"""),"Bings")</f>
        <v>Bings</v>
      </c>
      <c r="F485" s="13">
        <f>IFERROR(__xludf.DUMMYFUNCTION("""COMPUTED_VALUE"""),0.3125)</f>
        <v>0.3125</v>
      </c>
      <c r="G485" s="14">
        <f>IFERROR(__xludf.DUMMYFUNCTION("""COMPUTED_VALUE"""),43907.0)</f>
        <v>43907</v>
      </c>
      <c r="H485" t="str">
        <f>IFERROR(__xludf.DUMMYFUNCTION("""COMPUTED_VALUE"""),"Washington oaks platform")</f>
        <v>Washington oaks platform</v>
      </c>
      <c r="I485" s="15">
        <f>IFERROR(__xludf.DUMMYFUNCTION("""COMPUTED_VALUE"""),0.375)</f>
        <v>0.375</v>
      </c>
      <c r="J485" s="16">
        <f>IFERROR(__xludf.DUMMYFUNCTION("""COMPUTED_VALUE"""),43907.4375)</f>
        <v>43907.4375</v>
      </c>
      <c r="K485" t="str">
        <f>IFERROR(__xludf.DUMMYFUNCTION("""COMPUTED_VALUE"""),"20ft Sea Ark FL5351SJ UNF 2015")</f>
        <v>20ft Sea Ark FL5351SJ UNF 2015</v>
      </c>
      <c r="M485" t="str">
        <f>IFERROR(__xludf.DUMMYFUNCTION("""COMPUTED_VALUE"""),"Ford F150 2008 (SWMP Thing) - DEP18041")</f>
        <v>Ford F150 2008 (SWMP Thing) - DEP18041</v>
      </c>
      <c r="N485" t="str">
        <f>IFERROR(__xludf.DUMMYFUNCTION("""COMPUTED_VALUE"""),"Pam Marcum, (480) 332-5414")</f>
        <v>Pam Marcum, (480) 332-5414</v>
      </c>
      <c r="O485" t="str">
        <f>IFERROR(__xludf.DUMMYFUNCTION("""COMPUTED_VALUE"""),"Alee Knoell, (619) 750-4833")</f>
        <v>Alee Knoell, (619) 750-4833</v>
      </c>
      <c r="P485" t="str">
        <f>IFERROR(__xludf.DUMMYFUNCTION("""COMPUTED_VALUE"""),"Pam")</f>
        <v>Pam</v>
      </c>
      <c r="Q485" t="str">
        <f>IFERROR(__xludf.DUMMYFUNCTION("""COMPUTED_VALUE"""),"All items in working order")</f>
        <v>All items in working order</v>
      </c>
      <c r="AE485" s="11"/>
      <c r="AF485" t="s">
        <v>218</v>
      </c>
      <c r="AG485" s="18"/>
    </row>
    <row r="486">
      <c r="A486" s="10">
        <f>IFERROR(__xludf.DUMMYFUNCTION("""COMPUTED_VALUE"""),43908.36985476851)</f>
        <v>43908.36985</v>
      </c>
      <c r="B486" s="11" t="str">
        <f>IFERROR(__xludf.DUMMYFUNCTION("""COMPUTED_VALUE"""),"Pam Marcum")</f>
        <v>Pam Marcum</v>
      </c>
      <c r="C486" t="str">
        <f>IFERROR(__xludf.DUMMYFUNCTION("""COMPUTED_VALUE"""),"Pamela.Marcum@FloridaDEP.gov")</f>
        <v>Pamela.Marcum@FloridaDEP.gov</v>
      </c>
      <c r="D486" t="str">
        <f>IFERROR(__xludf.DUMMYFUNCTION("""COMPUTED_VALUE"""),"Research/Nikki")</f>
        <v>Research/Nikki</v>
      </c>
      <c r="E486" t="str">
        <f>IFERROR(__xludf.DUMMYFUNCTION("""COMPUTED_VALUE"""),"Aunt Kate's")</f>
        <v>Aunt Kate's</v>
      </c>
      <c r="F486" s="13">
        <f>IFERROR(__xludf.DUMMYFUNCTION("""COMPUTED_VALUE"""),0.3958333333321207)</f>
        <v>0.3958333333</v>
      </c>
      <c r="G486" s="14">
        <f>IFERROR(__xludf.DUMMYFUNCTION("""COMPUTED_VALUE"""),43908.0)</f>
        <v>43908</v>
      </c>
      <c r="H486" t="str">
        <f>IFERROR(__xludf.DUMMYFUNCTION("""COMPUTED_VALUE"""),"Hat Island")</f>
        <v>Hat Island</v>
      </c>
      <c r="I486" s="15">
        <f>IFERROR(__xludf.DUMMYFUNCTION("""COMPUTED_VALUE"""),0.4583333333321207)</f>
        <v>0.4583333333</v>
      </c>
      <c r="J486" s="16">
        <f>IFERROR(__xludf.DUMMYFUNCTION("""COMPUTED_VALUE"""),43908.47916666667)</f>
        <v>43908.47917</v>
      </c>
      <c r="K486" t="str">
        <f>IFERROR(__xludf.DUMMYFUNCTION("""COMPUTED_VALUE"""),"20ft Sea Ark FL5351SJ UNF 2015")</f>
        <v>20ft Sea Ark FL5351SJ UNF 2015</v>
      </c>
      <c r="M486" t="str">
        <f>IFERROR(__xludf.DUMMYFUNCTION("""COMPUTED_VALUE"""),"Ford F150 2008 (SWMP Thing) - DEP18041")</f>
        <v>Ford F150 2008 (SWMP Thing) - DEP18041</v>
      </c>
      <c r="N486" t="str">
        <f>IFERROR(__xludf.DUMMYFUNCTION("""COMPUTED_VALUE"""),"Pam Marcum, (480) 332-5414")</f>
        <v>Pam Marcum, (480) 332-5414</v>
      </c>
      <c r="O486" t="str">
        <f>IFERROR(__xludf.DUMMYFUNCTION("""COMPUTED_VALUE"""),"Alee Knoell, (619) 750-4833")</f>
        <v>Alee Knoell, (619) 750-4833</v>
      </c>
      <c r="P486" t="str">
        <f>IFERROR(__xludf.DUMMYFUNCTION("""COMPUTED_VALUE"""),"Pam")</f>
        <v>Pam</v>
      </c>
      <c r="Q486" t="str">
        <f>IFERROR(__xludf.DUMMYFUNCTION("""COMPUTED_VALUE"""),"All items in working order")</f>
        <v>All items in working order</v>
      </c>
      <c r="AE486" s="11"/>
      <c r="AF486" t="s">
        <v>218</v>
      </c>
      <c r="AG486" s="18"/>
    </row>
    <row r="487">
      <c r="A487" s="10">
        <f>IFERROR(__xludf.DUMMYFUNCTION("""COMPUTED_VALUE"""),43908.62035174769)</f>
        <v>43908.62035</v>
      </c>
      <c r="B487" s="11" t="str">
        <f>IFERROR(__xludf.DUMMYFUNCTION("""COMPUTED_VALUE"""),"Pam Marcum")</f>
        <v>Pam Marcum</v>
      </c>
      <c r="C487" t="str">
        <f>IFERROR(__xludf.DUMMYFUNCTION("""COMPUTED_VALUE"""),"Pamela.Marcum@FloridaDEP.gov")</f>
        <v>Pamela.Marcum@FloridaDEP.gov</v>
      </c>
      <c r="D487" t="str">
        <f>IFERROR(__xludf.DUMMYFUNCTION("""COMPUTED_VALUE"""),"Administration")</f>
        <v>Administration</v>
      </c>
      <c r="E487" t="str">
        <f>IFERROR(__xludf.DUMMYFUNCTION("""COMPUTED_VALUE"""),"Aunt Kate's")</f>
        <v>Aunt Kate's</v>
      </c>
      <c r="F487" s="13">
        <f>IFERROR(__xludf.DUMMYFUNCTION("""COMPUTED_VALUE"""),0.6354166666678793)</f>
        <v>0.6354166667</v>
      </c>
      <c r="G487" s="14">
        <f>IFERROR(__xludf.DUMMYFUNCTION("""COMPUTED_VALUE"""),43908.0)</f>
        <v>43908</v>
      </c>
      <c r="H487" t="str">
        <f>IFERROR(__xludf.DUMMYFUNCTION("""COMPUTED_VALUE"""),"hat island")</f>
        <v>hat island</v>
      </c>
      <c r="I487" s="15">
        <f>IFERROR(__xludf.DUMMYFUNCTION("""COMPUTED_VALUE"""),0.7083333333321207)</f>
        <v>0.7083333333</v>
      </c>
      <c r="J487" s="16">
        <f>IFERROR(__xludf.DUMMYFUNCTION("""COMPUTED_VALUE"""),43908.71875)</f>
        <v>43908.71875</v>
      </c>
      <c r="K487" t="str">
        <f>IFERROR(__xludf.DUMMYFUNCTION("""COMPUTED_VALUE"""),"20ft Sea Ark FL5351SJ UNF 2015")</f>
        <v>20ft Sea Ark FL5351SJ UNF 2015</v>
      </c>
      <c r="M487" t="str">
        <f>IFERROR(__xludf.DUMMYFUNCTION("""COMPUTED_VALUE"""),"Ford F150 2008 (SWMP Thing) - DEP18041")</f>
        <v>Ford F150 2008 (SWMP Thing) - DEP18041</v>
      </c>
      <c r="N487" t="str">
        <f>IFERROR(__xludf.DUMMYFUNCTION("""COMPUTED_VALUE"""),"Pam Marcum, (480) 332-5414")</f>
        <v>Pam Marcum, (480) 332-5414</v>
      </c>
      <c r="O487" t="str">
        <f>IFERROR(__xludf.DUMMYFUNCTION("""COMPUTED_VALUE"""),"Alee Knoell, (619) 750-4833")</f>
        <v>Alee Knoell, (619) 750-4833</v>
      </c>
      <c r="P487" t="str">
        <f>IFERROR(__xludf.DUMMYFUNCTION("""COMPUTED_VALUE"""),"Pam")</f>
        <v>Pam</v>
      </c>
      <c r="Q487" t="str">
        <f>IFERROR(__xludf.DUMMYFUNCTION("""COMPUTED_VALUE"""),"All items in working order")</f>
        <v>All items in working order</v>
      </c>
      <c r="AE487" s="11"/>
      <c r="AF487" t="s">
        <v>668</v>
      </c>
      <c r="AG487" s="18"/>
    </row>
    <row r="488">
      <c r="A488" s="10">
        <f>IFERROR(__xludf.DUMMYFUNCTION("""COMPUTED_VALUE"""),43910.49422699073)</f>
        <v>43910.49423</v>
      </c>
      <c r="B488" s="11" t="str">
        <f>IFERROR(__xludf.DUMMYFUNCTION("""COMPUTED_VALUE"""),"Alexandria Knoell")</f>
        <v>Alexandria Knoell</v>
      </c>
      <c r="C488" t="str">
        <f>IFERROR(__xludf.DUMMYFUNCTION("""COMPUTED_VALUE"""),"alee.knoell@floridadep.gov")</f>
        <v>alee.knoell@floridadep.gov</v>
      </c>
      <c r="D488" t="str">
        <f>IFERROR(__xludf.DUMMYFUNCTION("""COMPUTED_VALUE"""),"Stewardship (Aquatic)")</f>
        <v>Stewardship (Aquatic)</v>
      </c>
      <c r="E488" t="str">
        <f>IFERROR(__xludf.DUMMYFUNCTION("""COMPUTED_VALUE"""),"Aunt Kates")</f>
        <v>Aunt Kates</v>
      </c>
      <c r="F488" s="13">
        <f>IFERROR(__xludf.DUMMYFUNCTION("""COMPUTED_VALUE"""),0.5104166666678793)</f>
        <v>0.5104166667</v>
      </c>
      <c r="G488" s="14">
        <f>IFERROR(__xludf.DUMMYFUNCTION("""COMPUTED_VALUE"""),43910.0)</f>
        <v>43910</v>
      </c>
      <c r="H488" t="str">
        <f>IFERROR(__xludf.DUMMYFUNCTION("""COMPUTED_VALUE"""),"Platforms")</f>
        <v>Platforms</v>
      </c>
      <c r="I488" s="15">
        <f>IFERROR(__xludf.DUMMYFUNCTION("""COMPUTED_VALUE"""),0.625)</f>
        <v>0.625</v>
      </c>
      <c r="J488" s="16">
        <f>IFERROR(__xludf.DUMMYFUNCTION("""COMPUTED_VALUE"""),43910.66666666667)</f>
        <v>43910.66667</v>
      </c>
      <c r="K488" t="str">
        <f>IFERROR(__xludf.DUMMYFUNCTION("""COMPUTED_VALUE"""),"20ft Sea Ark FL5351SJ UNF 2015")</f>
        <v>20ft Sea Ark FL5351SJ UNF 2015</v>
      </c>
      <c r="M488" t="str">
        <f>IFERROR(__xludf.DUMMYFUNCTION("""COMPUTED_VALUE"""),"Ford F150 2008 (SWMP Thing) - DEP18041")</f>
        <v>Ford F150 2008 (SWMP Thing) - DEP18041</v>
      </c>
      <c r="N488" t="str">
        <f>IFERROR(__xludf.DUMMYFUNCTION("""COMPUTED_VALUE"""),"Pam Marcum, (480) 332-5414")</f>
        <v>Pam Marcum, (480) 332-5414</v>
      </c>
      <c r="O488" t="str">
        <f>IFERROR(__xludf.DUMMYFUNCTION("""COMPUTED_VALUE"""),"Alee Knoell, (619) 750-4833")</f>
        <v>Alee Knoell, (619) 750-4833</v>
      </c>
      <c r="P488" t="str">
        <f>IFERROR(__xludf.DUMMYFUNCTION("""COMPUTED_VALUE"""),"Pam marcum")</f>
        <v>Pam marcum</v>
      </c>
      <c r="Q488" t="str">
        <f>IFERROR(__xludf.DUMMYFUNCTION("""COMPUTED_VALUE"""),"All items in working order")</f>
        <v>All items in working order</v>
      </c>
      <c r="AE488" s="11"/>
      <c r="AF488" t="s">
        <v>32</v>
      </c>
      <c r="AG488" s="18"/>
    </row>
    <row r="489">
      <c r="A489" s="10">
        <f>IFERROR(__xludf.DUMMYFUNCTION("""COMPUTED_VALUE"""),43910.67200489583)</f>
        <v>43910.672</v>
      </c>
      <c r="B489" s="11" t="str">
        <f>IFERROR(__xludf.DUMMYFUNCTION("""COMPUTED_VALUE"""),"Alexandria Knoell")</f>
        <v>Alexandria Knoell</v>
      </c>
      <c r="C489" t="str">
        <f>IFERROR(__xludf.DUMMYFUNCTION("""COMPUTED_VALUE"""),"alee.knoell@floridadep.gov")</f>
        <v>alee.knoell@floridadep.gov</v>
      </c>
      <c r="D489" t="str">
        <f>IFERROR(__xludf.DUMMYFUNCTION("""COMPUTED_VALUE"""),"Research/Nikki")</f>
        <v>Research/Nikki</v>
      </c>
      <c r="E489" t="str">
        <f>IFERROR(__xludf.DUMMYFUNCTION("""COMPUTED_VALUE"""),"Aunt kates")</f>
        <v>Aunt kates</v>
      </c>
      <c r="F489" s="13">
        <f>IFERROR(__xludf.DUMMYFUNCTION("""COMPUTED_VALUE"""),0.6666666666678793)</f>
        <v>0.6666666667</v>
      </c>
      <c r="G489" s="14">
        <f>IFERROR(__xludf.DUMMYFUNCTION("""COMPUTED_VALUE"""),43910.0)</f>
        <v>43910</v>
      </c>
      <c r="H489" t="str">
        <f>IFERROR(__xludf.DUMMYFUNCTION("""COMPUTED_VALUE"""),"Platforms ")</f>
        <v>Platforms </v>
      </c>
      <c r="I489" s="15">
        <f>IFERROR(__xludf.DUMMYFUNCTION("""COMPUTED_VALUE"""),0.75)</f>
        <v>0.75</v>
      </c>
      <c r="J489" s="16">
        <f>IFERROR(__xludf.DUMMYFUNCTION("""COMPUTED_VALUE"""),43910.77083333333)</f>
        <v>43910.77083</v>
      </c>
      <c r="K489" t="str">
        <f>IFERROR(__xludf.DUMMYFUNCTION("""COMPUTED_VALUE"""),"20ft Sea Ark FL5351SJ UNF 2015")</f>
        <v>20ft Sea Ark FL5351SJ UNF 2015</v>
      </c>
      <c r="M489" t="str">
        <f>IFERROR(__xludf.DUMMYFUNCTION("""COMPUTED_VALUE"""),"Ford F150 2008 (SWMP Thing) - DEP18041")</f>
        <v>Ford F150 2008 (SWMP Thing) - DEP18041</v>
      </c>
      <c r="N489" t="str">
        <f>IFERROR(__xludf.DUMMYFUNCTION("""COMPUTED_VALUE"""),"Pam Marcum, (480) 332-5414")</f>
        <v>Pam Marcum, (480) 332-5414</v>
      </c>
      <c r="O489" t="str">
        <f>IFERROR(__xludf.DUMMYFUNCTION("""COMPUTED_VALUE"""),"Alee Knoell, (619) 750-4833")</f>
        <v>Alee Knoell, (619) 750-4833</v>
      </c>
      <c r="P489" t="str">
        <f>IFERROR(__xludf.DUMMYFUNCTION("""COMPUTED_VALUE"""),"Pam marcum")</f>
        <v>Pam marcum</v>
      </c>
      <c r="Q489" t="str">
        <f>IFERROR(__xludf.DUMMYFUNCTION("""COMPUTED_VALUE"""),"All items in working order")</f>
        <v>All items in working order</v>
      </c>
      <c r="AE489" s="11"/>
      <c r="AF489" t="s">
        <v>218</v>
      </c>
      <c r="AG489" s="18"/>
    </row>
    <row r="490">
      <c r="A490" s="10">
        <f>IFERROR(__xludf.DUMMYFUNCTION("""COMPUTED_VALUE"""),43913.44119835648)</f>
        <v>43913.4412</v>
      </c>
      <c r="B490" s="11" t="str">
        <f>IFERROR(__xludf.DUMMYFUNCTION("""COMPUTED_VALUE"""),"Pam Marcum")</f>
        <v>Pam Marcum</v>
      </c>
      <c r="C490" t="str">
        <f>IFERROR(__xludf.DUMMYFUNCTION("""COMPUTED_VALUE"""),"pamela.marcum@floridadep.gov")</f>
        <v>pamela.marcum@floridadep.gov</v>
      </c>
      <c r="D490" t="str">
        <f>IFERROR(__xludf.DUMMYFUNCTION("""COMPUTED_VALUE"""),"Research/Nikki")</f>
        <v>Research/Nikki</v>
      </c>
      <c r="E490" t="str">
        <f>IFERROR(__xludf.DUMMYFUNCTION("""COMPUTED_VALUE"""),"Bings")</f>
        <v>Bings</v>
      </c>
      <c r="F490" s="13">
        <f>IFERROR(__xludf.DUMMYFUNCTION("""COMPUTED_VALUE"""),0.4375)</f>
        <v>0.4375</v>
      </c>
      <c r="G490" s="14">
        <f>IFERROR(__xludf.DUMMYFUNCTION("""COMPUTED_VALUE"""),43913.0)</f>
        <v>43913</v>
      </c>
      <c r="H490" t="str">
        <f>IFERROR(__xludf.DUMMYFUNCTION("""COMPUTED_VALUE"""),"Washington oaks platform")</f>
        <v>Washington oaks platform</v>
      </c>
      <c r="I490" s="15">
        <f>IFERROR(__xludf.DUMMYFUNCTION("""COMPUTED_VALUE"""),0.5416666666678793)</f>
        <v>0.5416666667</v>
      </c>
      <c r="J490" s="16">
        <f>IFERROR(__xludf.DUMMYFUNCTION("""COMPUTED_VALUE"""),43913.5625)</f>
        <v>43913.5625</v>
      </c>
      <c r="K490" t="str">
        <f>IFERROR(__xludf.DUMMYFUNCTION("""COMPUTED_VALUE"""),"20ft Sea Ark FL5351SJ UNF 2015")</f>
        <v>20ft Sea Ark FL5351SJ UNF 2015</v>
      </c>
      <c r="M490" t="str">
        <f>IFERROR(__xludf.DUMMYFUNCTION("""COMPUTED_VALUE"""),"Ford F150 2015 (White) - DEP21448")</f>
        <v>Ford F150 2015 (White) - DEP21448</v>
      </c>
      <c r="N490" t="str">
        <f>IFERROR(__xludf.DUMMYFUNCTION("""COMPUTED_VALUE"""),"Pam Marcum, (480) 332-5414")</f>
        <v>Pam Marcum, (480) 332-5414</v>
      </c>
      <c r="O490" t="str">
        <f>IFERROR(__xludf.DUMMYFUNCTION("""COMPUTED_VALUE"""),"Alee Knoell, (619) 750-4833")</f>
        <v>Alee Knoell, (619) 750-4833</v>
      </c>
      <c r="P490" t="str">
        <f>IFERROR(__xludf.DUMMYFUNCTION("""COMPUTED_VALUE"""),"Pam")</f>
        <v>Pam</v>
      </c>
      <c r="Q490" t="str">
        <f>IFERROR(__xludf.DUMMYFUNCTION("""COMPUTED_VALUE"""),"All items in working order")</f>
        <v>All items in working order</v>
      </c>
      <c r="AE490" s="11"/>
      <c r="AF490" t="s">
        <v>218</v>
      </c>
      <c r="AG490" s="18"/>
    </row>
    <row r="491">
      <c r="A491" s="10">
        <f>IFERROR(__xludf.DUMMYFUNCTION("""COMPUTED_VALUE"""),43913.626542523154)</f>
        <v>43913.62654</v>
      </c>
      <c r="B491" s="11" t="str">
        <f>IFERROR(__xludf.DUMMYFUNCTION("""COMPUTED_VALUE"""),"Pamela Marcum")</f>
        <v>Pamela Marcum</v>
      </c>
      <c r="C491" t="str">
        <f>IFERROR(__xludf.DUMMYFUNCTION("""COMPUTED_VALUE"""),"Pamela.Marcum@floridadep.gov")</f>
        <v>Pamela.Marcum@floridadep.gov</v>
      </c>
      <c r="D491" t="str">
        <f>IFERROR(__xludf.DUMMYFUNCTION("""COMPUTED_VALUE"""),"Research/Nikki")</f>
        <v>Research/Nikki</v>
      </c>
      <c r="E491" t="str">
        <f>IFERROR(__xludf.DUMMYFUNCTION("""COMPUTED_VALUE"""),"Bings")</f>
        <v>Bings</v>
      </c>
      <c r="F491" s="13">
        <f>IFERROR(__xludf.DUMMYFUNCTION("""COMPUTED_VALUE"""),0.625)</f>
        <v>0.625</v>
      </c>
      <c r="G491" s="14">
        <f>IFERROR(__xludf.DUMMYFUNCTION("""COMPUTED_VALUE"""),43913.0)</f>
        <v>43913</v>
      </c>
      <c r="H491" t="str">
        <f>IFERROR(__xludf.DUMMYFUNCTION("""COMPUTED_VALUE"""),"Washington oaks platform")</f>
        <v>Washington oaks platform</v>
      </c>
      <c r="I491" s="15">
        <f>IFERROR(__xludf.DUMMYFUNCTION("""COMPUTED_VALUE"""),0.6875)</f>
        <v>0.6875</v>
      </c>
      <c r="J491" s="16">
        <f>IFERROR(__xludf.DUMMYFUNCTION("""COMPUTED_VALUE"""),43913.72916666667)</f>
        <v>43913.72917</v>
      </c>
      <c r="K491" t="str">
        <f>IFERROR(__xludf.DUMMYFUNCTION("""COMPUTED_VALUE"""),"20ft Sea Ark FL5351SJ UNF 2015")</f>
        <v>20ft Sea Ark FL5351SJ UNF 2015</v>
      </c>
      <c r="M491" t="str">
        <f>IFERROR(__xludf.DUMMYFUNCTION("""COMPUTED_VALUE"""),"Ford F150 2015 (White) - DEP21448")</f>
        <v>Ford F150 2015 (White) - DEP21448</v>
      </c>
      <c r="N491" t="str">
        <f>IFERROR(__xludf.DUMMYFUNCTION("""COMPUTED_VALUE"""),"Pam Marcum, (480) 332-5414")</f>
        <v>Pam Marcum, (480) 332-5414</v>
      </c>
      <c r="O491" t="str">
        <f>IFERROR(__xludf.DUMMYFUNCTION("""COMPUTED_VALUE"""),"Alee Knoell, (619) 750-4833")</f>
        <v>Alee Knoell, (619) 750-4833</v>
      </c>
      <c r="P491" t="str">
        <f>IFERROR(__xludf.DUMMYFUNCTION("""COMPUTED_VALUE"""),"Pam")</f>
        <v>Pam</v>
      </c>
      <c r="Q491" t="str">
        <f>IFERROR(__xludf.DUMMYFUNCTION("""COMPUTED_VALUE"""),"All items in working order")</f>
        <v>All items in working order</v>
      </c>
      <c r="AE491" s="11"/>
      <c r="AF491" t="s">
        <v>218</v>
      </c>
      <c r="AG491" s="18"/>
    </row>
    <row r="492">
      <c r="A492" s="10">
        <f>IFERROR(__xludf.DUMMYFUNCTION("""COMPUTED_VALUE"""),43914.42500164352)</f>
        <v>43914.425</v>
      </c>
      <c r="B492" s="11" t="str">
        <f>IFERROR(__xludf.DUMMYFUNCTION("""COMPUTED_VALUE"""),"Pam Marcum")</f>
        <v>Pam Marcum</v>
      </c>
      <c r="C492" t="str">
        <f>IFERROR(__xludf.DUMMYFUNCTION("""COMPUTED_VALUE"""),"Pamela.Marcum@floridadep.gov")</f>
        <v>Pamela.Marcum@floridadep.gov</v>
      </c>
      <c r="D492" t="str">
        <f>IFERROR(__xludf.DUMMYFUNCTION("""COMPUTED_VALUE"""),"Research/Nikki")</f>
        <v>Research/Nikki</v>
      </c>
      <c r="E492" t="str">
        <f>IFERROR(__xludf.DUMMYFUNCTION("""COMPUTED_VALUE"""),"Shore Dr")</f>
        <v>Shore Dr</v>
      </c>
      <c r="F492" s="13">
        <f>IFERROR(__xludf.DUMMYFUNCTION("""COMPUTED_VALUE"""),0.4270833333321207)</f>
        <v>0.4270833333</v>
      </c>
      <c r="G492" s="14">
        <f>IFERROR(__xludf.DUMMYFUNCTION("""COMPUTED_VALUE"""),43914.0)</f>
        <v>43914</v>
      </c>
      <c r="H492" t="str">
        <f>IFERROR(__xludf.DUMMYFUNCTION("""COMPUTED_VALUE"""),"Site 22")</f>
        <v>Site 22</v>
      </c>
      <c r="I492" s="15">
        <f>IFERROR(__xludf.DUMMYFUNCTION("""COMPUTED_VALUE"""),0.5416666666678793)</f>
        <v>0.5416666667</v>
      </c>
      <c r="J492" s="16">
        <f>IFERROR(__xludf.DUMMYFUNCTION("""COMPUTED_VALUE"""),43914.5625)</f>
        <v>43914.5625</v>
      </c>
      <c r="K492" t="str">
        <f>IFERROR(__xludf.DUMMYFUNCTION("""COMPUTED_VALUE"""),"20ft Sea Ark FL5351SJ UNF 2015")</f>
        <v>20ft Sea Ark FL5351SJ UNF 2015</v>
      </c>
      <c r="M492" t="str">
        <f>IFERROR(__xludf.DUMMYFUNCTION("""COMPUTED_VALUE"""),"Ford F150 2015 (White) - DEP21448")</f>
        <v>Ford F150 2015 (White) - DEP21448</v>
      </c>
      <c r="N492" t="str">
        <f>IFERROR(__xludf.DUMMYFUNCTION("""COMPUTED_VALUE"""),"Pam Marcum, (480) 332-5414")</f>
        <v>Pam Marcum, (480) 332-5414</v>
      </c>
      <c r="O492" t="str">
        <f>IFERROR(__xludf.DUMMYFUNCTION("""COMPUTED_VALUE"""),"Alee Knoell, (619) 750-4833")</f>
        <v>Alee Knoell, (619) 750-4833</v>
      </c>
      <c r="P492" t="str">
        <f>IFERROR(__xludf.DUMMYFUNCTION("""COMPUTED_VALUE"""),"Pam")</f>
        <v>Pam</v>
      </c>
      <c r="Q492" t="str">
        <f>IFERROR(__xludf.DUMMYFUNCTION("""COMPUTED_VALUE"""),"All items in working order")</f>
        <v>All items in working order</v>
      </c>
      <c r="AE492" s="11"/>
      <c r="AF492" t="s">
        <v>218</v>
      </c>
      <c r="AG492" s="18"/>
    </row>
    <row r="493">
      <c r="A493" s="10">
        <f>IFERROR(__xludf.DUMMYFUNCTION("""COMPUTED_VALUE"""),43914.65506585649)</f>
        <v>43914.65507</v>
      </c>
      <c r="B493" s="11" t="str">
        <f>IFERROR(__xludf.DUMMYFUNCTION("""COMPUTED_VALUE"""),"Pam Marcum")</f>
        <v>Pam Marcum</v>
      </c>
      <c r="C493" t="str">
        <f>IFERROR(__xludf.DUMMYFUNCTION("""COMPUTED_VALUE"""),"pamela.marcum@floridadep.gov")</f>
        <v>pamela.marcum@floridadep.gov</v>
      </c>
      <c r="D493" t="str">
        <f>IFERROR(__xludf.DUMMYFUNCTION("""COMPUTED_VALUE"""),"Research/Nikki")</f>
        <v>Research/Nikki</v>
      </c>
      <c r="E493" t="str">
        <f>IFERROR(__xludf.DUMMYFUNCTION("""COMPUTED_VALUE"""),"Shore dr")</f>
        <v>Shore dr</v>
      </c>
      <c r="F493" s="13">
        <f>IFERROR(__xludf.DUMMYFUNCTION("""COMPUTED_VALUE"""),0.15277777777737356)</f>
        <v>0.1527777778</v>
      </c>
      <c r="G493" s="14">
        <f>IFERROR(__xludf.DUMMYFUNCTION("""COMPUTED_VALUE"""),43914.0)</f>
        <v>43914</v>
      </c>
      <c r="H493" t="str">
        <f>IFERROR(__xludf.DUMMYFUNCTION("""COMPUTED_VALUE"""),"Site 22")</f>
        <v>Site 22</v>
      </c>
      <c r="I493" s="15">
        <f>IFERROR(__xludf.DUMMYFUNCTION("""COMPUTED_VALUE"""),0.7291666666678793)</f>
        <v>0.7291666667</v>
      </c>
      <c r="J493" s="16">
        <f>IFERROR(__xludf.DUMMYFUNCTION("""COMPUTED_VALUE"""),43914.75)</f>
        <v>43914.75</v>
      </c>
      <c r="K493" t="str">
        <f>IFERROR(__xludf.DUMMYFUNCTION("""COMPUTED_VALUE"""),"20ft Sea Ark FL5351SJ UNF 2015")</f>
        <v>20ft Sea Ark FL5351SJ UNF 2015</v>
      </c>
      <c r="M493" t="str">
        <f>IFERROR(__xludf.DUMMYFUNCTION("""COMPUTED_VALUE"""),"Ford F150 2015 (White) - DEP21448")</f>
        <v>Ford F150 2015 (White) - DEP21448</v>
      </c>
      <c r="N493" t="str">
        <f>IFERROR(__xludf.DUMMYFUNCTION("""COMPUTED_VALUE"""),"Pam Marcum, (480) 332-5414")</f>
        <v>Pam Marcum, (480) 332-5414</v>
      </c>
      <c r="O493" t="str">
        <f>IFERROR(__xludf.DUMMYFUNCTION("""COMPUTED_VALUE"""),"Alee Knoell, (619) 750-4833")</f>
        <v>Alee Knoell, (619) 750-4833</v>
      </c>
      <c r="P493" t="str">
        <f>IFERROR(__xludf.DUMMYFUNCTION("""COMPUTED_VALUE"""),"Pam")</f>
        <v>Pam</v>
      </c>
      <c r="Q493" t="str">
        <f>IFERROR(__xludf.DUMMYFUNCTION("""COMPUTED_VALUE"""),"All items in working order")</f>
        <v>All items in working order</v>
      </c>
      <c r="AE493" s="11"/>
      <c r="AF493" t="s">
        <v>218</v>
      </c>
      <c r="AG493" s="18"/>
    </row>
    <row r="494">
      <c r="A494" s="10">
        <f>IFERROR(__xludf.DUMMYFUNCTION("""COMPUTED_VALUE"""),43915.320939097226)</f>
        <v>43915.32094</v>
      </c>
      <c r="B494" s="11" t="str">
        <f>IFERROR(__xludf.DUMMYFUNCTION("""COMPUTED_VALUE"""),"Pamela Marcum")</f>
        <v>Pamela Marcum</v>
      </c>
      <c r="C494" t="str">
        <f>IFERROR(__xludf.DUMMYFUNCTION("""COMPUTED_VALUE"""),"Pamela.Marcum@dep.state.fl.us")</f>
        <v>Pamela.Marcum@dep.state.fl.us</v>
      </c>
      <c r="D494" t="str">
        <f>IFERROR(__xludf.DUMMYFUNCTION("""COMPUTED_VALUE"""),"Research/Nikki")</f>
        <v>Research/Nikki</v>
      </c>
      <c r="E494" t="str">
        <f>IFERROR(__xludf.DUMMYFUNCTION("""COMPUTED_VALUE"""),"Aunt Kate's")</f>
        <v>Aunt Kate's</v>
      </c>
      <c r="F494" s="13">
        <f>IFERROR(__xludf.DUMMYFUNCTION("""COMPUTED_VALUE"""),0.3333333333321207)</f>
        <v>0.3333333333</v>
      </c>
      <c r="G494" s="14">
        <f>IFERROR(__xludf.DUMMYFUNCTION("""COMPUTED_VALUE"""),43915.0)</f>
        <v>43915</v>
      </c>
      <c r="H494" t="str">
        <f>IFERROR(__xludf.DUMMYFUNCTION("""COMPUTED_VALUE"""),"Pine Island Platforms")</f>
        <v>Pine Island Platforms</v>
      </c>
      <c r="I494" s="15">
        <f>IFERROR(__xludf.DUMMYFUNCTION("""COMPUTED_VALUE"""),0.5)</f>
        <v>0.5</v>
      </c>
      <c r="J494" s="16">
        <f>IFERROR(__xludf.DUMMYFUNCTION("""COMPUTED_VALUE"""),43915.52083333333)</f>
        <v>43915.52083</v>
      </c>
      <c r="K494" t="str">
        <f>IFERROR(__xludf.DUMMYFUNCTION("""COMPUTED_VALUE"""),"20ft Sea Ark FL5351SJ UNF 2015")</f>
        <v>20ft Sea Ark FL5351SJ UNF 2015</v>
      </c>
      <c r="M494" t="str">
        <f>IFERROR(__xludf.DUMMYFUNCTION("""COMPUTED_VALUE"""),"Ford F150 2015 (White) - DEP21448")</f>
        <v>Ford F150 2015 (White) - DEP21448</v>
      </c>
      <c r="N494" t="str">
        <f>IFERROR(__xludf.DUMMYFUNCTION("""COMPUTED_VALUE"""),"Pam Marcum, (480) 332-5414")</f>
        <v>Pam Marcum, (480) 332-5414</v>
      </c>
      <c r="O494" t="str">
        <f>IFERROR(__xludf.DUMMYFUNCTION("""COMPUTED_VALUE"""),"Alee Knoell, (619) 750-4833")</f>
        <v>Alee Knoell, (619) 750-4833</v>
      </c>
      <c r="P494" t="str">
        <f>IFERROR(__xludf.DUMMYFUNCTION("""COMPUTED_VALUE"""),"Pam")</f>
        <v>Pam</v>
      </c>
      <c r="Q494" t="str">
        <f>IFERROR(__xludf.DUMMYFUNCTION("""COMPUTED_VALUE"""),"All items in working order")</f>
        <v>All items in working order</v>
      </c>
      <c r="AE494" s="11"/>
      <c r="AF494" t="s">
        <v>218</v>
      </c>
      <c r="AG494" s="18"/>
    </row>
    <row r="495">
      <c r="A495" s="10">
        <f>IFERROR(__xludf.DUMMYFUNCTION("""COMPUTED_VALUE"""),43915.356152083325)</f>
        <v>43915.35615</v>
      </c>
      <c r="B495" s="11" t="str">
        <f>IFERROR(__xludf.DUMMYFUNCTION("""COMPUTED_VALUE"""),"Shannon Dunnigan")</f>
        <v>Shannon Dunnigan</v>
      </c>
      <c r="C495" t="str">
        <f>IFERROR(__xludf.DUMMYFUNCTION("""COMPUTED_VALUE"""),"shannon.dunnigan@floridadep.gov")</f>
        <v>shannon.dunnigan@floridadep.gov</v>
      </c>
      <c r="D495" t="str">
        <f>IFERROR(__xludf.DUMMYFUNCTION("""COMPUTED_VALUE"""),"Research/Nikki")</f>
        <v>Research/Nikki</v>
      </c>
      <c r="E495" t="str">
        <f>IFERROR(__xludf.DUMMYFUNCTION("""COMPUTED_VALUE"""),"Vilano")</f>
        <v>Vilano</v>
      </c>
      <c r="F495" s="13">
        <f>IFERROR(__xludf.DUMMYFUNCTION("""COMPUTED_VALUE"""),0.3645833333321207)</f>
        <v>0.3645833333</v>
      </c>
      <c r="G495" s="14">
        <f>IFERROR(__xludf.DUMMYFUNCTION("""COMPUTED_VALUE"""),43915.0)</f>
        <v>43915</v>
      </c>
      <c r="H495" t="str">
        <f>IFERROR(__xludf.DUMMYFUNCTION("""COMPUTED_VALUE"""),"ICW SWMP sites")</f>
        <v>ICW SWMP sites</v>
      </c>
      <c r="I495" s="15">
        <f>IFERROR(__xludf.DUMMYFUNCTION("""COMPUTED_VALUE"""),0.625)</f>
        <v>0.625</v>
      </c>
      <c r="J495" s="16">
        <f>IFERROR(__xludf.DUMMYFUNCTION("""COMPUTED_VALUE"""),43915.70833333333)</f>
        <v>43915.70833</v>
      </c>
      <c r="K495" t="str">
        <f>IFERROR(__xludf.DUMMYFUNCTION("""COMPUTED_VALUE"""),"23ft Skiff (Bertha) FL7972LJ DEP07613")</f>
        <v>23ft Skiff (Bertha) FL7972LJ DEP07613</v>
      </c>
      <c r="M495" t="str">
        <f>IFERROR(__xludf.DUMMYFUNCTION("""COMPUTED_VALUE"""),"Ford F250 2017 (Moby Dix) - DEP0021578")</f>
        <v>Ford F250 2017 (Moby Dix) - DEP0021578</v>
      </c>
      <c r="N495" t="str">
        <f>IFERROR(__xludf.DUMMYFUNCTION("""COMPUTED_VALUE"""),"Shannon Dunnigan, (803) 727-5734, Silas Tanner, (904) 483-8423")</f>
        <v>Shannon Dunnigan, (803) 727-5734, Silas Tanner, (904) 483-8423</v>
      </c>
      <c r="O495" t="str">
        <f>IFERROR(__xludf.DUMMYFUNCTION("""COMPUTED_VALUE"""),"Alee Knoell, (619) 750-4833")</f>
        <v>Alee Knoell, (619) 750-4833</v>
      </c>
      <c r="P495" t="str">
        <f>IFERROR(__xludf.DUMMYFUNCTION("""COMPUTED_VALUE"""),"Silas Tanner")</f>
        <v>Silas Tanner</v>
      </c>
      <c r="Q495" t="str">
        <f>IFERROR(__xludf.DUMMYFUNCTION("""COMPUTED_VALUE"""),"All items in working order")</f>
        <v>All items in working order</v>
      </c>
      <c r="AE495" s="11"/>
      <c r="AF495" t="s">
        <v>218</v>
      </c>
      <c r="AG495" s="18"/>
    </row>
    <row r="496">
      <c r="A496" s="10">
        <f>IFERROR(__xludf.DUMMYFUNCTION("""COMPUTED_VALUE"""),43916.33850557871)</f>
        <v>43916.33851</v>
      </c>
      <c r="B496" s="11" t="str">
        <f>IFERROR(__xludf.DUMMYFUNCTION("""COMPUTED_VALUE"""),"Pam Marcum")</f>
        <v>Pam Marcum</v>
      </c>
      <c r="C496" t="str">
        <f>IFERROR(__xludf.DUMMYFUNCTION("""COMPUTED_VALUE"""),"Pamela.Marcum@floridadep.gov")</f>
        <v>Pamela.Marcum@floridadep.gov</v>
      </c>
      <c r="D496" t="str">
        <f>IFERROR(__xludf.DUMMYFUNCTION("""COMPUTED_VALUE"""),"Research/Nikki")</f>
        <v>Research/Nikki</v>
      </c>
      <c r="E496" t="str">
        <f>IFERROR(__xludf.DUMMYFUNCTION("""COMPUTED_VALUE"""),"Butler")</f>
        <v>Butler</v>
      </c>
      <c r="F496" s="13">
        <f>IFERROR(__xludf.DUMMYFUNCTION("""COMPUTED_VALUE"""),0.375)</f>
        <v>0.375</v>
      </c>
      <c r="G496" s="14">
        <f>IFERROR(__xludf.DUMMYFUNCTION("""COMPUTED_VALUE"""),43916.0)</f>
        <v>43916</v>
      </c>
      <c r="H496" t="str">
        <f>IFERROR(__xludf.DUMMYFUNCTION("""COMPUTED_VALUE"""),"Moses Creek")</f>
        <v>Moses Creek</v>
      </c>
      <c r="I496" s="15">
        <f>IFERROR(__xludf.DUMMYFUNCTION("""COMPUTED_VALUE"""),0.6458333333321207)</f>
        <v>0.6458333333</v>
      </c>
      <c r="J496" s="16">
        <f>IFERROR(__xludf.DUMMYFUNCTION("""COMPUTED_VALUE"""),43916.66666666667)</f>
        <v>43916.66667</v>
      </c>
      <c r="K496" t="str">
        <f>IFERROR(__xludf.DUMMYFUNCTION("""COMPUTED_VALUE"""),"20ft Sea Ark FL5351SJ UNF 2015")</f>
        <v>20ft Sea Ark FL5351SJ UNF 2015</v>
      </c>
      <c r="M496" t="str">
        <f>IFERROR(__xludf.DUMMYFUNCTION("""COMPUTED_VALUE"""),"Ford F150 2015 (White) - DEP21448")</f>
        <v>Ford F150 2015 (White) - DEP21448</v>
      </c>
      <c r="N496" t="str">
        <f>IFERROR(__xludf.DUMMYFUNCTION("""COMPUTED_VALUE"""),"Pam Marcum, (480) 332-5414")</f>
        <v>Pam Marcum, (480) 332-5414</v>
      </c>
      <c r="O496" t="str">
        <f>IFERROR(__xludf.DUMMYFUNCTION("""COMPUTED_VALUE"""),"Alee Knoell, (619) 750-4833")</f>
        <v>Alee Knoell, (619) 750-4833</v>
      </c>
      <c r="P496" t="str">
        <f>IFERROR(__xludf.DUMMYFUNCTION("""COMPUTED_VALUE"""),"Pam")</f>
        <v>Pam</v>
      </c>
      <c r="Q496" t="str">
        <f>IFERROR(__xludf.DUMMYFUNCTION("""COMPUTED_VALUE"""),"All items in working order")</f>
        <v>All items in working order</v>
      </c>
      <c r="AE496" s="11"/>
      <c r="AF496" t="s">
        <v>218</v>
      </c>
      <c r="AG496" s="18"/>
    </row>
    <row r="497">
      <c r="A497" s="10">
        <f>IFERROR(__xludf.DUMMYFUNCTION("""COMPUTED_VALUE"""),43922.27999945602)</f>
        <v>43922.28</v>
      </c>
      <c r="B497" s="11" t="str">
        <f>IFERROR(__xludf.DUMMYFUNCTION("""COMPUTED_VALUE"""),"Pamela Marcum")</f>
        <v>Pamela Marcum</v>
      </c>
      <c r="C497" t="str">
        <f>IFERROR(__xludf.DUMMYFUNCTION("""COMPUTED_VALUE"""),"Pamela.Marcum@FloridaDEP.gov")</f>
        <v>Pamela.Marcum@FloridaDEP.gov</v>
      </c>
      <c r="D497" t="str">
        <f>IFERROR(__xludf.DUMMYFUNCTION("""COMPUTED_VALUE"""),"Research/Nikki")</f>
        <v>Research/Nikki</v>
      </c>
      <c r="E497" t="str">
        <f>IFERROR(__xludf.DUMMYFUNCTION("""COMPUTED_VALUE"""),"Aunt Kate's")</f>
        <v>Aunt Kate's</v>
      </c>
      <c r="F497" s="13">
        <f>IFERROR(__xludf.DUMMYFUNCTION("""COMPUTED_VALUE"""),0.2916666666678793)</f>
        <v>0.2916666667</v>
      </c>
      <c r="G497" s="14">
        <f>IFERROR(__xludf.DUMMYFUNCTION("""COMPUTED_VALUE"""),43922.0)</f>
        <v>43922</v>
      </c>
      <c r="H497" t="str">
        <f>IFERROR(__xludf.DUMMYFUNCTION("""COMPUTED_VALUE"""),"Spat Run")</f>
        <v>Spat Run</v>
      </c>
      <c r="I497" s="15">
        <f>IFERROR(__xludf.DUMMYFUNCTION("""COMPUTED_VALUE"""),0.6666666666678793)</f>
        <v>0.6666666667</v>
      </c>
      <c r="J497" s="16">
        <f>IFERROR(__xludf.DUMMYFUNCTION("""COMPUTED_VALUE"""),43922.6875)</f>
        <v>43922.6875</v>
      </c>
      <c r="K497" t="str">
        <f>IFERROR(__xludf.DUMMYFUNCTION("""COMPUTED_VALUE"""),"20ft Sea Ark FL5351SJ UNF 2015")</f>
        <v>20ft Sea Ark FL5351SJ UNF 2015</v>
      </c>
      <c r="M497" t="str">
        <f>IFERROR(__xludf.DUMMYFUNCTION("""COMPUTED_VALUE"""),"Ford F150 2015 (White) - DEP21448")</f>
        <v>Ford F150 2015 (White) - DEP21448</v>
      </c>
      <c r="N497" t="str">
        <f>IFERROR(__xludf.DUMMYFUNCTION("""COMPUTED_VALUE"""),"Pam Marcum, (480) 332-5414")</f>
        <v>Pam Marcum, (480) 332-5414</v>
      </c>
      <c r="O497" t="str">
        <f>IFERROR(__xludf.DUMMYFUNCTION("""COMPUTED_VALUE"""),"Alee Knoell, (619) 750-4833, Alee is switching with Adrienne Breef-Pilz at 11am ")</f>
        <v>Alee Knoell, (619) 750-4833, Alee is switching with Adrienne Breef-Pilz at 11am </v>
      </c>
      <c r="P497" t="str">
        <f>IFERROR(__xludf.DUMMYFUNCTION("""COMPUTED_VALUE"""),"Pam")</f>
        <v>Pam</v>
      </c>
      <c r="Q497" t="str">
        <f>IFERROR(__xludf.DUMMYFUNCTION("""COMPUTED_VALUE"""),"All items in working order")</f>
        <v>All items in working order</v>
      </c>
      <c r="AE497" s="11"/>
      <c r="AF497" t="s">
        <v>218</v>
      </c>
      <c r="AG497" s="18"/>
    </row>
    <row r="498">
      <c r="A498" s="10">
        <f>IFERROR(__xludf.DUMMYFUNCTION("""COMPUTED_VALUE"""),43923.45609358796)</f>
        <v>43923.45609</v>
      </c>
      <c r="B498" s="11" t="str">
        <f>IFERROR(__xludf.DUMMYFUNCTION("""COMPUTED_VALUE"""),"Pam Marcum")</f>
        <v>Pam Marcum</v>
      </c>
      <c r="C498" t="str">
        <f>IFERROR(__xludf.DUMMYFUNCTION("""COMPUTED_VALUE"""),"Pamela.Marcum@floridadep.gov")</f>
        <v>Pamela.Marcum@floridadep.gov</v>
      </c>
      <c r="D498" t="str">
        <f>IFERROR(__xludf.DUMMYFUNCTION("""COMPUTED_VALUE"""),"Research/Silas")</f>
        <v>Research/Silas</v>
      </c>
      <c r="E498" t="str">
        <f>IFERROR(__xludf.DUMMYFUNCTION("""COMPUTED_VALUE"""),"Shore Dr")</f>
        <v>Shore Dr</v>
      </c>
      <c r="F498" s="13">
        <f>IFERROR(__xludf.DUMMYFUNCTION("""COMPUTED_VALUE"""),0.4583333333321207)</f>
        <v>0.4583333333</v>
      </c>
      <c r="G498" s="14">
        <f>IFERROR(__xludf.DUMMYFUNCTION("""COMPUTED_VALUE"""),43923.0)</f>
        <v>43923</v>
      </c>
      <c r="H498" t="str">
        <f>IFERROR(__xludf.DUMMYFUNCTION("""COMPUTED_VALUE"""),"Gabbys Creek")</f>
        <v>Gabbys Creek</v>
      </c>
      <c r="I498" s="15">
        <f>IFERROR(__xludf.DUMMYFUNCTION("""COMPUTED_VALUE"""),0.6666666666678793)</f>
        <v>0.6666666667</v>
      </c>
      <c r="J498" s="16">
        <f>IFERROR(__xludf.DUMMYFUNCTION("""COMPUTED_VALUE"""),43923.6875)</f>
        <v>43923.6875</v>
      </c>
      <c r="K498" t="str">
        <f>IFERROR(__xludf.DUMMYFUNCTION("""COMPUTED_VALUE"""),"23ft Skiff (Bertha) FL7972LJ DEP07613")</f>
        <v>23ft Skiff (Bertha) FL7972LJ DEP07613</v>
      </c>
      <c r="M498" t="str">
        <f>IFERROR(__xludf.DUMMYFUNCTION("""COMPUTED_VALUE"""),"Ford F150 2015 (White) - DEP21448")</f>
        <v>Ford F150 2015 (White) - DEP21448</v>
      </c>
      <c r="N498" t="str">
        <f>IFERROR(__xludf.DUMMYFUNCTION("""COMPUTED_VALUE"""),"Pam Marcum, (480) 332-5414")</f>
        <v>Pam Marcum, (480) 332-5414</v>
      </c>
      <c r="O498" t="str">
        <f>IFERROR(__xludf.DUMMYFUNCTION("""COMPUTED_VALUE"""),"Gabriela Canas, (904) 891-9743")</f>
        <v>Gabriela Canas, (904) 891-9743</v>
      </c>
      <c r="P498" t="str">
        <f>IFERROR(__xludf.DUMMYFUNCTION("""COMPUTED_VALUE"""),"Pam")</f>
        <v>Pam</v>
      </c>
      <c r="Q498" t="str">
        <f>IFERROR(__xludf.DUMMYFUNCTION("""COMPUTED_VALUE"""),"All items in working order")</f>
        <v>All items in working order</v>
      </c>
      <c r="AE498" s="11"/>
      <c r="AF498" t="b">
        <v>0</v>
      </c>
      <c r="AG498" s="18"/>
    </row>
    <row r="499">
      <c r="A499" s="10">
        <f>IFERROR(__xludf.DUMMYFUNCTION("""COMPUTED_VALUE"""),43928.3972194213)</f>
        <v>43928.39722</v>
      </c>
      <c r="B499" s="11" t="str">
        <f>IFERROR(__xludf.DUMMYFUNCTION("""COMPUTED_VALUE"""),"Shannon Dunnigan")</f>
        <v>Shannon Dunnigan</v>
      </c>
      <c r="C499" t="str">
        <f>IFERROR(__xludf.DUMMYFUNCTION("""COMPUTED_VALUE"""),"shannon.dunnigan@dep.state.fl.us")</f>
        <v>shannon.dunnigan@dep.state.fl.us</v>
      </c>
      <c r="D499" t="str">
        <f>IFERROR(__xludf.DUMMYFUNCTION("""COMPUTED_VALUE"""),"Research/Nikki")</f>
        <v>Research/Nikki</v>
      </c>
      <c r="E499" t="str">
        <f>IFERROR(__xludf.DUMMYFUNCTION("""COMPUTED_VALUE"""),"Vilano")</f>
        <v>Vilano</v>
      </c>
      <c r="F499" s="13">
        <f>IFERROR(__xludf.DUMMYFUNCTION("""COMPUTED_VALUE"""),0.3958333333321207)</f>
        <v>0.3958333333</v>
      </c>
      <c r="G499" s="14">
        <f>IFERROR(__xludf.DUMMYFUNCTION("""COMPUTED_VALUE"""),43928.0)</f>
        <v>43928</v>
      </c>
      <c r="H499" t="str">
        <f>IFERROR(__xludf.DUMMYFUNCTION("""COMPUTED_VALUE"""),"ICE SWMP sites")</f>
        <v>ICE SWMP sites</v>
      </c>
      <c r="I499" s="15">
        <f>IFERROR(__xludf.DUMMYFUNCTION("""COMPUTED_VALUE"""),0.5625)</f>
        <v>0.5625</v>
      </c>
      <c r="J499" s="16">
        <f>IFERROR(__xludf.DUMMYFUNCTION("""COMPUTED_VALUE"""),43928.59375)</f>
        <v>43928.59375</v>
      </c>
      <c r="K499" t="str">
        <f>IFERROR(__xludf.DUMMYFUNCTION("""COMPUTED_VALUE"""),"20ft Sea Ark FL5351SJ UNF 2015")</f>
        <v>20ft Sea Ark FL5351SJ UNF 2015</v>
      </c>
      <c r="M499" t="str">
        <f>IFERROR(__xludf.DUMMYFUNCTION("""COMPUTED_VALUE"""),"Ford F250 2017 (Moby Dix) - DEP0021578")</f>
        <v>Ford F250 2017 (Moby Dix) - DEP0021578</v>
      </c>
      <c r="N499" t="str">
        <f>IFERROR(__xludf.DUMMYFUNCTION("""COMPUTED_VALUE"""),"Shannon Dunnigan, (803) 727-5734, Silas Tanner, (904) 483-8423")</f>
        <v>Shannon Dunnigan, (803) 727-5734, Silas Tanner, (904) 483-8423</v>
      </c>
      <c r="P499" t="str">
        <f>IFERROR(__xludf.DUMMYFUNCTION("""COMPUTED_VALUE"""),"Shannon")</f>
        <v>Shannon</v>
      </c>
      <c r="Q499" t="str">
        <f>IFERROR(__xludf.DUMMYFUNCTION("""COMPUTED_VALUE"""),"All items in working order")</f>
        <v>All items in working order</v>
      </c>
      <c r="AE499" s="11"/>
      <c r="AF499" t="s">
        <v>218</v>
      </c>
      <c r="AG499" s="18"/>
    </row>
    <row r="500">
      <c r="A500" s="10">
        <f>IFERROR(__xludf.DUMMYFUNCTION("""COMPUTED_VALUE"""),43931.28224122686)</f>
        <v>43931.28224</v>
      </c>
      <c r="B500" s="11" t="str">
        <f>IFERROR(__xludf.DUMMYFUNCTION("""COMPUTED_VALUE"""),"Silas Tanner")</f>
        <v>Silas Tanner</v>
      </c>
      <c r="C500" t="str">
        <f>IFERROR(__xludf.DUMMYFUNCTION("""COMPUTED_VALUE"""),"silas.tanner@floridadep.gov")</f>
        <v>silas.tanner@floridadep.gov</v>
      </c>
      <c r="D500" t="str">
        <f>IFERROR(__xludf.DUMMYFUNCTION("""COMPUTED_VALUE"""),"Research/Nikki")</f>
        <v>Research/Nikki</v>
      </c>
      <c r="E500" t="str">
        <f>IFERROR(__xludf.DUMMYFUNCTION("""COMPUTED_VALUE"""),"Faver Dykes SP")</f>
        <v>Faver Dykes SP</v>
      </c>
      <c r="F500" s="13">
        <f>IFERROR(__xludf.DUMMYFUNCTION("""COMPUTED_VALUE"""),0.34375)</f>
        <v>0.34375</v>
      </c>
      <c r="G500" s="14">
        <f>IFERROR(__xludf.DUMMYFUNCTION("""COMPUTED_VALUE"""),43931.0)</f>
        <v>43931</v>
      </c>
      <c r="H500" t="str">
        <f>IFERROR(__xludf.DUMMYFUNCTION("""COMPUTED_VALUE"""),"Pellicer Creek SWMP platforms")</f>
        <v>Pellicer Creek SWMP platforms</v>
      </c>
      <c r="I500" s="15">
        <f>IFERROR(__xludf.DUMMYFUNCTION("""COMPUTED_VALUE"""),0.5625)</f>
        <v>0.5625</v>
      </c>
      <c r="J500" s="16">
        <f>IFERROR(__xludf.DUMMYFUNCTION("""COMPUTED_VALUE"""),43931.61458333333)</f>
        <v>43931.61458</v>
      </c>
      <c r="K500" t="str">
        <f>IFERROR(__xludf.DUMMYFUNCTION("""COMPUTED_VALUE"""),"20ft Sea Ark FL5351SJ UNF 2015")</f>
        <v>20ft Sea Ark FL5351SJ UNF 2015</v>
      </c>
      <c r="M500" t="str">
        <f>IFERROR(__xludf.DUMMYFUNCTION("""COMPUTED_VALUE"""),"Ford F250 2017 (Moby Dix) - DEP0021578")</f>
        <v>Ford F250 2017 (Moby Dix) - DEP0021578</v>
      </c>
      <c r="N500" t="str">
        <f>IFERROR(__xludf.DUMMYFUNCTION("""COMPUTED_VALUE"""),"Shannon Dunnigan, (803) 727-5734, Silas Tanner, (904) 483-8423")</f>
        <v>Shannon Dunnigan, (803) 727-5734, Silas Tanner, (904) 483-8423</v>
      </c>
      <c r="P500" t="str">
        <f>IFERROR(__xludf.DUMMYFUNCTION("""COMPUTED_VALUE"""),"S. Tanner")</f>
        <v>S. Tanner</v>
      </c>
      <c r="Q500" t="str">
        <f>IFERROR(__xludf.DUMMYFUNCTION("""COMPUTED_VALUE"""),"All items in working order")</f>
        <v>All items in working order</v>
      </c>
      <c r="AE500" s="11"/>
      <c r="AF500" t="s">
        <v>218</v>
      </c>
      <c r="AG500" s="18"/>
    </row>
    <row r="501">
      <c r="A501" s="10">
        <f>IFERROR(__xludf.DUMMYFUNCTION("""COMPUTED_VALUE"""),43934.376948819445)</f>
        <v>43934.37695</v>
      </c>
      <c r="B501" s="11" t="str">
        <f>IFERROR(__xludf.DUMMYFUNCTION("""COMPUTED_VALUE"""),"Shannon Dunnigan")</f>
        <v>Shannon Dunnigan</v>
      </c>
      <c r="C501" t="str">
        <f>IFERROR(__xludf.DUMMYFUNCTION("""COMPUTED_VALUE"""),"shannon.dunnigan@dep.state.fl.us")</f>
        <v>shannon.dunnigan@dep.state.fl.us</v>
      </c>
      <c r="D501" t="str">
        <f>IFERROR(__xludf.DUMMYFUNCTION("""COMPUTED_VALUE"""),"Research/Nikki")</f>
        <v>Research/Nikki</v>
      </c>
      <c r="E501" t="str">
        <f>IFERROR(__xludf.DUMMYFUNCTION("""COMPUTED_VALUE"""),"Bings")</f>
        <v>Bings</v>
      </c>
      <c r="F501" s="13">
        <f>IFERROR(__xludf.DUMMYFUNCTION("""COMPUTED_VALUE"""),0.375)</f>
        <v>0.375</v>
      </c>
      <c r="G501" s="14">
        <f>IFERROR(__xludf.DUMMYFUNCTION("""COMPUTED_VALUE"""),43934.0)</f>
        <v>43934</v>
      </c>
      <c r="H501" t="str">
        <f>IFERROR(__xludf.DUMMYFUNCTION("""COMPUTED_VALUE"""),"Wash Oaks veg platforms")</f>
        <v>Wash Oaks veg platforms</v>
      </c>
      <c r="I501" s="15">
        <f>IFERROR(__xludf.DUMMYFUNCTION("""COMPUTED_VALUE"""),0.5833333333321207)</f>
        <v>0.5833333333</v>
      </c>
      <c r="J501" s="16">
        <f>IFERROR(__xludf.DUMMYFUNCTION("""COMPUTED_VALUE"""),43934.66666666667)</f>
        <v>43934.66667</v>
      </c>
      <c r="K501" t="str">
        <f>IFERROR(__xludf.DUMMYFUNCTION("""COMPUTED_VALUE"""),"20ft Sea Ark FL5351SJ UNF 2015")</f>
        <v>20ft Sea Ark FL5351SJ UNF 2015</v>
      </c>
      <c r="M501" t="str">
        <f>IFERROR(__xludf.DUMMYFUNCTION("""COMPUTED_VALUE"""),"Ford F250 2017 (Moby Dix) - DEP0021578")</f>
        <v>Ford F250 2017 (Moby Dix) - DEP0021578</v>
      </c>
      <c r="N501" t="str">
        <f>IFERROR(__xludf.DUMMYFUNCTION("""COMPUTED_VALUE"""),"Shannon Dunnigan, (803) 727-5734, Silas Tanner, (904) 483-8423")</f>
        <v>Shannon Dunnigan, (803) 727-5734, Silas Tanner, (904) 483-8423</v>
      </c>
      <c r="P501" t="str">
        <f>IFERROR(__xludf.DUMMYFUNCTION("""COMPUTED_VALUE"""),"Silas")</f>
        <v>Silas</v>
      </c>
      <c r="Q501" t="str">
        <f>IFERROR(__xludf.DUMMYFUNCTION("""COMPUTED_VALUE"""),"All items in working order")</f>
        <v>All items in working order</v>
      </c>
      <c r="AE501" s="11"/>
      <c r="AF501" t="s">
        <v>218</v>
      </c>
      <c r="AG501" s="18"/>
    </row>
    <row r="502">
      <c r="A502" s="10">
        <f>IFERROR(__xludf.DUMMYFUNCTION("""COMPUTED_VALUE"""),43937.39392268518)</f>
        <v>43937.39392</v>
      </c>
      <c r="B502" s="11" t="str">
        <f>IFERROR(__xludf.DUMMYFUNCTION("""COMPUTED_VALUE"""),"Shannon Dunnigan")</f>
        <v>Shannon Dunnigan</v>
      </c>
      <c r="C502" t="str">
        <f>IFERROR(__xludf.DUMMYFUNCTION("""COMPUTED_VALUE"""),"shannon.dunnigan@dep.state.fl.us")</f>
        <v>shannon.dunnigan@dep.state.fl.us</v>
      </c>
      <c r="D502" t="str">
        <f>IFERROR(__xludf.DUMMYFUNCTION("""COMPUTED_VALUE"""),"Research/Nikki")</f>
        <v>Research/Nikki</v>
      </c>
      <c r="E502" t="str">
        <f>IFERROR(__xludf.DUMMYFUNCTION("""COMPUTED_VALUE"""),"Usina")</f>
        <v>Usina</v>
      </c>
      <c r="F502" s="13">
        <f>IFERROR(__xludf.DUMMYFUNCTION("""COMPUTED_VALUE"""),0.3958333333321207)</f>
        <v>0.3958333333</v>
      </c>
      <c r="G502" s="14">
        <f>IFERROR(__xludf.DUMMYFUNCTION("""COMPUTED_VALUE"""),43937.0)</f>
        <v>43937</v>
      </c>
      <c r="H502" t="str">
        <f>IFERROR(__xludf.DUMMYFUNCTION("""COMPUTED_VALUE"""),"Hat Island")</f>
        <v>Hat Island</v>
      </c>
      <c r="I502" s="15">
        <f>IFERROR(__xludf.DUMMYFUNCTION("""COMPUTED_VALUE"""),0.5833333333321207)</f>
        <v>0.5833333333</v>
      </c>
      <c r="J502" s="16">
        <f>IFERROR(__xludf.DUMMYFUNCTION("""COMPUTED_VALUE"""),43937.64583333333)</f>
        <v>43937.64583</v>
      </c>
      <c r="K502" t="str">
        <f>IFERROR(__xludf.DUMMYFUNCTION("""COMPUTED_VALUE"""),"20ft Sea Ark FL5351SJ UNF 2015")</f>
        <v>20ft Sea Ark FL5351SJ UNF 2015</v>
      </c>
      <c r="M502" t="str">
        <f>IFERROR(__xludf.DUMMYFUNCTION("""COMPUTED_VALUE"""),"Ford F250 2017 (Moby Dix) - DEP0021578")</f>
        <v>Ford F250 2017 (Moby Dix) - DEP0021578</v>
      </c>
      <c r="N502" t="str">
        <f>IFERROR(__xludf.DUMMYFUNCTION("""COMPUTED_VALUE"""),"Shannon Dunnigan, (803) 727-5734, Silas Tanner, (904) 483-8423")</f>
        <v>Shannon Dunnigan, (803) 727-5734, Silas Tanner, (904) 483-8423</v>
      </c>
      <c r="P502" t="str">
        <f>IFERROR(__xludf.DUMMYFUNCTION("""COMPUTED_VALUE"""),"Silas")</f>
        <v>Silas</v>
      </c>
      <c r="Q502" t="str">
        <f>IFERROR(__xludf.DUMMYFUNCTION("""COMPUTED_VALUE"""),"All items in working order")</f>
        <v>All items in working order</v>
      </c>
      <c r="AE502" s="11"/>
      <c r="AF502" t="s">
        <v>218</v>
      </c>
      <c r="AG502" s="18"/>
    </row>
    <row r="503">
      <c r="A503" s="10">
        <f>IFERROR(__xludf.DUMMYFUNCTION("""COMPUTED_VALUE"""),43938.44964288195)</f>
        <v>43938.44964</v>
      </c>
      <c r="B503" s="11" t="str">
        <f>IFERROR(__xludf.DUMMYFUNCTION("""COMPUTED_VALUE"""),"Silas Tanner")</f>
        <v>Silas Tanner</v>
      </c>
      <c r="C503" t="str">
        <f>IFERROR(__xludf.DUMMYFUNCTION("""COMPUTED_VALUE"""),"silas.tanner@dep.state.fl")</f>
        <v>silas.tanner@dep.state.fl</v>
      </c>
      <c r="D503" t="str">
        <f>IFERROR(__xludf.DUMMYFUNCTION("""COMPUTED_VALUE"""),"Research/Nikki")</f>
        <v>Research/Nikki</v>
      </c>
      <c r="E503" t="str">
        <f>IFERROR(__xludf.DUMMYFUNCTION("""COMPUTED_VALUE"""),"Crane")</f>
        <v>Crane</v>
      </c>
      <c r="F503" s="13">
        <f>IFERROR(__xludf.DUMMYFUNCTION("""COMPUTED_VALUE"""),0.4479166666678793)</f>
        <v>0.4479166667</v>
      </c>
      <c r="G503" s="14">
        <f>IFERROR(__xludf.DUMMYFUNCTION("""COMPUTED_VALUE"""),43938.0)</f>
        <v>43938</v>
      </c>
      <c r="H503" t="str">
        <f>IFERROR(__xludf.DUMMYFUNCTION("""COMPUTED_VALUE"""),"Site 22 Platforms")</f>
        <v>Site 22 Platforms</v>
      </c>
      <c r="I503" s="15">
        <f>IFERROR(__xludf.DUMMYFUNCTION("""COMPUTED_VALUE"""),0.65625)</f>
        <v>0.65625</v>
      </c>
      <c r="J503" s="16">
        <f>IFERROR(__xludf.DUMMYFUNCTION("""COMPUTED_VALUE"""),43938.67708333333)</f>
        <v>43938.67708</v>
      </c>
      <c r="K503" t="str">
        <f>IFERROR(__xludf.DUMMYFUNCTION("""COMPUTED_VALUE"""),"20ft Sea Ark FL5351SJ UNF 2015")</f>
        <v>20ft Sea Ark FL5351SJ UNF 2015</v>
      </c>
      <c r="M503" t="str">
        <f>IFERROR(__xludf.DUMMYFUNCTION("""COMPUTED_VALUE"""),"Ford F250 2017 (Moby Dix) - DEP0021578")</f>
        <v>Ford F250 2017 (Moby Dix) - DEP0021578</v>
      </c>
      <c r="N503" t="str">
        <f>IFERROR(__xludf.DUMMYFUNCTION("""COMPUTED_VALUE"""),"Shannon Dunnigan, (803) 727-5734, Silas Tanner, (904) 483-8423")</f>
        <v>Shannon Dunnigan, (803) 727-5734, Silas Tanner, (904) 483-8423</v>
      </c>
      <c r="P503" t="str">
        <f>IFERROR(__xludf.DUMMYFUNCTION("""COMPUTED_VALUE"""),"S. Dunnigan")</f>
        <v>S. Dunnigan</v>
      </c>
      <c r="Q503" t="str">
        <f>IFERROR(__xludf.DUMMYFUNCTION("""COMPUTED_VALUE"""),"All items in working order")</f>
        <v>All items in working order</v>
      </c>
      <c r="AE503" s="11"/>
      <c r="AF503" t="s">
        <v>218</v>
      </c>
      <c r="AG503" s="18"/>
    </row>
    <row r="504">
      <c r="A504" s="10">
        <f>IFERROR(__xludf.DUMMYFUNCTION("""COMPUTED_VALUE"""),43943.34547168981)</f>
        <v>43943.34547</v>
      </c>
      <c r="B504" s="11" t="str">
        <f>IFERROR(__xludf.DUMMYFUNCTION("""COMPUTED_VALUE"""),"Silas Tanner")</f>
        <v>Silas Tanner</v>
      </c>
      <c r="C504" t="str">
        <f>IFERROR(__xludf.DUMMYFUNCTION("""COMPUTED_VALUE"""),"silas.tanner@floridadep.gov")</f>
        <v>silas.tanner@floridadep.gov</v>
      </c>
      <c r="D504" t="str">
        <f>IFERROR(__xludf.DUMMYFUNCTION("""COMPUTED_VALUE"""),"Research/Nikki")</f>
        <v>Research/Nikki</v>
      </c>
      <c r="E504" t="str">
        <f>IFERROR(__xludf.DUMMYFUNCTION("""COMPUTED_VALUE"""),"Vilano Landing")</f>
        <v>Vilano Landing</v>
      </c>
      <c r="F504" s="13">
        <f>IFERROR(__xludf.DUMMYFUNCTION("""COMPUTED_VALUE"""),0.3798611111124046)</f>
        <v>0.3798611111</v>
      </c>
      <c r="G504" s="14">
        <f>IFERROR(__xludf.DUMMYFUNCTION("""COMPUTED_VALUE"""),43943.0)</f>
        <v>43943</v>
      </c>
      <c r="H504" t="str">
        <f>IFERROR(__xludf.DUMMYFUNCTION("""COMPUTED_VALUE"""),"SWMP stations ICW")</f>
        <v>SWMP stations ICW</v>
      </c>
      <c r="I504" s="15">
        <f>IFERROR(__xludf.DUMMYFUNCTION("""COMPUTED_VALUE"""),0.5847222222218988)</f>
        <v>0.5847222222</v>
      </c>
      <c r="J504" s="16">
        <f>IFERROR(__xludf.DUMMYFUNCTION("""COMPUTED_VALUE"""),43943.60416666667)</f>
        <v>43943.60417</v>
      </c>
      <c r="K504" t="str">
        <f>IFERROR(__xludf.DUMMYFUNCTION("""COMPUTED_VALUE"""),"23ft Skiff (Bertha) FL7972LJ DEP07613")</f>
        <v>23ft Skiff (Bertha) FL7972LJ DEP07613</v>
      </c>
      <c r="M504" t="str">
        <f>IFERROR(__xludf.DUMMYFUNCTION("""COMPUTED_VALUE"""),"Ford F250 2017 (Moby Dix) - DEP0021578")</f>
        <v>Ford F250 2017 (Moby Dix) - DEP0021578</v>
      </c>
      <c r="N504" t="str">
        <f>IFERROR(__xludf.DUMMYFUNCTION("""COMPUTED_VALUE"""),"Silas Tanner, (904) 483-8423")</f>
        <v>Silas Tanner, (904) 483-8423</v>
      </c>
      <c r="O504" t="str">
        <f>IFERROR(__xludf.DUMMYFUNCTION("""COMPUTED_VALUE"""),"Alee Knoell, (619) 750-4833")</f>
        <v>Alee Knoell, (619) 750-4833</v>
      </c>
      <c r="P504" t="str">
        <f>IFERROR(__xludf.DUMMYFUNCTION("""COMPUTED_VALUE"""),"S. Tanner")</f>
        <v>S. Tanner</v>
      </c>
      <c r="Q504" t="str">
        <f>IFERROR(__xludf.DUMMYFUNCTION("""COMPUTED_VALUE"""),"All items in working order")</f>
        <v>All items in working order</v>
      </c>
      <c r="AE504" s="11"/>
      <c r="AF504" t="s">
        <v>218</v>
      </c>
      <c r="AG504" s="18"/>
    </row>
    <row r="505">
      <c r="A505" s="10">
        <f>IFERROR(__xludf.DUMMYFUNCTION("""COMPUTED_VALUE"""),43950.3863384375)</f>
        <v>43950.38634</v>
      </c>
      <c r="B505" s="11" t="str">
        <f>IFERROR(__xludf.DUMMYFUNCTION("""COMPUTED_VALUE"""),"Shannon Dunnigan")</f>
        <v>Shannon Dunnigan</v>
      </c>
      <c r="C505" t="str">
        <f>IFERROR(__xludf.DUMMYFUNCTION("""COMPUTED_VALUE"""),"shannon.dunnigan@dep.state.fl.us")</f>
        <v>shannon.dunnigan@dep.state.fl.us</v>
      </c>
      <c r="D505" t="str">
        <f>IFERROR(__xludf.DUMMYFUNCTION("""COMPUTED_VALUE"""),"Research/Pam")</f>
        <v>Research/Pam</v>
      </c>
      <c r="E505" t="str">
        <f>IFERROR(__xludf.DUMMYFUNCTION("""COMPUTED_VALUE"""),"Greene St")</f>
        <v>Greene St</v>
      </c>
      <c r="F505" s="13">
        <f>IFERROR(__xludf.DUMMYFUNCTION("""COMPUTED_VALUE"""),0.2916666666678793)</f>
        <v>0.2916666667</v>
      </c>
      <c r="G505" s="14">
        <f>IFERROR(__xludf.DUMMYFUNCTION("""COMPUTED_VALUE"""),43950.0)</f>
        <v>43950</v>
      </c>
      <c r="H505" t="str">
        <f>IFERROR(__xludf.DUMMYFUNCTION("""COMPUTED_VALUE"""),"Moses platforms")</f>
        <v>Moses platforms</v>
      </c>
      <c r="I505" s="15">
        <f>IFERROR(__xludf.DUMMYFUNCTION("""COMPUTED_VALUE"""),0.625)</f>
        <v>0.625</v>
      </c>
      <c r="J505" s="16">
        <f>IFERROR(__xludf.DUMMYFUNCTION("""COMPUTED_VALUE"""),43950.6875)</f>
        <v>43950.6875</v>
      </c>
      <c r="K505" t="str">
        <f>IFERROR(__xludf.DUMMYFUNCTION("""COMPUTED_VALUE"""),"20ft Sea Ark FL5351SJ UNF 2015")</f>
        <v>20ft Sea Ark FL5351SJ UNF 2015</v>
      </c>
      <c r="M505" t="str">
        <f>IFERROR(__xludf.DUMMYFUNCTION("""COMPUTED_VALUE"""),"Ford F250 2017 (Moby Dix) - DEP0021578")</f>
        <v>Ford F250 2017 (Moby Dix) - DEP0021578</v>
      </c>
      <c r="N505" t="str">
        <f>IFERROR(__xludf.DUMMYFUNCTION("""COMPUTED_VALUE"""),"Shannon Dunnigan, (803) 727-5734, Silas Tanner, (904) 483-8423")</f>
        <v>Shannon Dunnigan, (803) 727-5734, Silas Tanner, (904) 483-8423</v>
      </c>
      <c r="P505" t="str">
        <f>IFERROR(__xludf.DUMMYFUNCTION("""COMPUTED_VALUE"""),"Silas")</f>
        <v>Silas</v>
      </c>
      <c r="Q505" t="str">
        <f>IFERROR(__xludf.DUMMYFUNCTION("""COMPUTED_VALUE"""),"All items in working order")</f>
        <v>All items in working order</v>
      </c>
      <c r="AE505" s="11"/>
      <c r="AF505" t="s">
        <v>262</v>
      </c>
      <c r="AG505" s="18"/>
    </row>
    <row r="506">
      <c r="A506" s="10">
        <f>IFERROR(__xludf.DUMMYFUNCTION("""COMPUTED_VALUE"""),43950.54879920139)</f>
        <v>43950.5488</v>
      </c>
      <c r="B506" s="11" t="str">
        <f>IFERROR(__xludf.DUMMYFUNCTION("""COMPUTED_VALUE"""),"Shannon Dunnigan")</f>
        <v>Shannon Dunnigan</v>
      </c>
      <c r="C506" t="str">
        <f>IFERROR(__xludf.DUMMYFUNCTION("""COMPUTED_VALUE"""),"shannon.dunnigan@dep.state.fl.us")</f>
        <v>shannon.dunnigan@dep.state.fl.us</v>
      </c>
      <c r="D506" t="str">
        <f>IFERROR(__xludf.DUMMYFUNCTION("""COMPUTED_VALUE"""),"Research/Pam")</f>
        <v>Research/Pam</v>
      </c>
      <c r="E506" t="str">
        <f>IFERROR(__xludf.DUMMYFUNCTION("""COMPUTED_VALUE"""),"Greene St")</f>
        <v>Greene St</v>
      </c>
      <c r="F506" s="13">
        <f>IFERROR(__xludf.DUMMYFUNCTION("""COMPUTED_VALUE"""),0.2916666666678793)</f>
        <v>0.2916666667</v>
      </c>
      <c r="G506" s="14">
        <f>IFERROR(__xludf.DUMMYFUNCTION("""COMPUTED_VALUE"""),43950.0)</f>
        <v>43950</v>
      </c>
      <c r="H506" t="str">
        <f>IFERROR(__xludf.DUMMYFUNCTION("""COMPUTED_VALUE"""),"Moses platforms")</f>
        <v>Moses platforms</v>
      </c>
      <c r="I506" s="15">
        <f>IFERROR(__xludf.DUMMYFUNCTION("""COMPUTED_VALUE"""),0.625)</f>
        <v>0.625</v>
      </c>
      <c r="J506" s="16">
        <f>IFERROR(__xludf.DUMMYFUNCTION("""COMPUTED_VALUE"""),43950.6875)</f>
        <v>43950.6875</v>
      </c>
      <c r="K506" t="str">
        <f>IFERROR(__xludf.DUMMYFUNCTION("""COMPUTED_VALUE"""),"20ft Sea Ark FL5351SJ UNF 2015")</f>
        <v>20ft Sea Ark FL5351SJ UNF 2015</v>
      </c>
      <c r="M506" t="str">
        <f>IFERROR(__xludf.DUMMYFUNCTION("""COMPUTED_VALUE"""),"Ford F250 2017 (Moby Dix) - DEP0021578")</f>
        <v>Ford F250 2017 (Moby Dix) - DEP0021578</v>
      </c>
      <c r="N506" t="str">
        <f>IFERROR(__xludf.DUMMYFUNCTION("""COMPUTED_VALUE"""),"Shannon Dunnigan, (803) 727-5734, Silas Tanner, (904) 483-8423")</f>
        <v>Shannon Dunnigan, (803) 727-5734, Silas Tanner, (904) 483-8423</v>
      </c>
      <c r="P506" t="str">
        <f>IFERROR(__xludf.DUMMYFUNCTION("""COMPUTED_VALUE"""),"Silas")</f>
        <v>Silas</v>
      </c>
      <c r="Q506" t="str">
        <f>IFERROR(__xludf.DUMMYFUNCTION("""COMPUTED_VALUE"""),"All items in working order")</f>
        <v>All items in working order</v>
      </c>
      <c r="AE506" s="11"/>
      <c r="AF506" t="s">
        <v>262</v>
      </c>
      <c r="AG506" s="18"/>
    </row>
    <row r="507">
      <c r="A507" s="10">
        <f>IFERROR(__xludf.DUMMYFUNCTION("""COMPUTED_VALUE"""),43952.33900774305)</f>
        <v>43952.33901</v>
      </c>
      <c r="B507" s="11" t="str">
        <f>IFERROR(__xludf.DUMMYFUNCTION("""COMPUTED_VALUE"""),"Pamela Marcum")</f>
        <v>Pamela Marcum</v>
      </c>
      <c r="C507" t="str">
        <f>IFERROR(__xludf.DUMMYFUNCTION("""COMPUTED_VALUE"""),"pamela.marcum@floridadep.gov")</f>
        <v>pamela.marcum@floridadep.gov</v>
      </c>
      <c r="D507" t="str">
        <f>IFERROR(__xludf.DUMMYFUNCTION("""COMPUTED_VALUE"""),"Research/Nikki")</f>
        <v>Research/Nikki</v>
      </c>
      <c r="E507" t="str">
        <f>IFERROR(__xludf.DUMMYFUNCTION("""COMPUTED_VALUE"""),"Aunt Kates")</f>
        <v>Aunt Kates</v>
      </c>
      <c r="F507" s="13">
        <f>IFERROR(__xludf.DUMMYFUNCTION("""COMPUTED_VALUE"""),0.2916666666678793)</f>
        <v>0.2916666667</v>
      </c>
      <c r="G507" s="14">
        <f>IFERROR(__xludf.DUMMYFUNCTION("""COMPUTED_VALUE"""),43952.0)</f>
        <v>43952</v>
      </c>
      <c r="H507" t="str">
        <f>IFERROR(__xludf.DUMMYFUNCTION("""COMPUTED_VALUE"""),"Spat trees")</f>
        <v>Spat trees</v>
      </c>
      <c r="I507" s="15">
        <f>IFERROR(__xludf.DUMMYFUNCTION("""COMPUTED_VALUE"""),0.6666666666678793)</f>
        <v>0.6666666667</v>
      </c>
      <c r="J507" s="16">
        <f>IFERROR(__xludf.DUMMYFUNCTION("""COMPUTED_VALUE"""),43952.6875)</f>
        <v>43952.6875</v>
      </c>
      <c r="K507" t="str">
        <f>IFERROR(__xludf.DUMMYFUNCTION("""COMPUTED_VALUE"""),"20ft Sea Ark FL5351SJ UNF 2015")</f>
        <v>20ft Sea Ark FL5351SJ UNF 2015</v>
      </c>
      <c r="M507" t="str">
        <f>IFERROR(__xludf.DUMMYFUNCTION("""COMPUTED_VALUE"""),"Ford F150 2015 (White) - DEP21448")</f>
        <v>Ford F150 2015 (White) - DEP21448</v>
      </c>
      <c r="N507" t="str">
        <f>IFERROR(__xludf.DUMMYFUNCTION("""COMPUTED_VALUE"""),"Pam Marcum, (480) 332-5414")</f>
        <v>Pam Marcum, (480) 332-5414</v>
      </c>
      <c r="O507" t="str">
        <f>IFERROR(__xludf.DUMMYFUNCTION("""COMPUTED_VALUE"""),"Alee Knoell, (619) 750-4833, Adrienne Breef-Pilz")</f>
        <v>Alee Knoell, (619) 750-4833, Adrienne Breef-Pilz</v>
      </c>
      <c r="P507" t="str">
        <f>IFERROR(__xludf.DUMMYFUNCTION("""COMPUTED_VALUE"""),"Pam")</f>
        <v>Pam</v>
      </c>
      <c r="Q507" t="str">
        <f>IFERROR(__xludf.DUMMYFUNCTION("""COMPUTED_VALUE"""),"All items in working order")</f>
        <v>All items in working order</v>
      </c>
      <c r="AE507" s="11"/>
      <c r="AF507" t="s">
        <v>218</v>
      </c>
      <c r="AG507" s="18"/>
    </row>
    <row r="508">
      <c r="A508" s="10">
        <f>IFERROR(__xludf.DUMMYFUNCTION("""COMPUTED_VALUE"""),43956.31469302083)</f>
        <v>43956.31469</v>
      </c>
      <c r="B508" s="11" t="str">
        <f>IFERROR(__xludf.DUMMYFUNCTION("""COMPUTED_VALUE"""),"Silas Tanner")</f>
        <v>Silas Tanner</v>
      </c>
      <c r="C508" t="str">
        <f>IFERROR(__xludf.DUMMYFUNCTION("""COMPUTED_VALUE"""),"silas.tanner@dep.state.fl.us")</f>
        <v>silas.tanner@dep.state.fl.us</v>
      </c>
      <c r="D508" t="str">
        <f>IFERROR(__xludf.DUMMYFUNCTION("""COMPUTED_VALUE"""),"Research/Nikki")</f>
        <v>Research/Nikki</v>
      </c>
      <c r="E508" t="str">
        <f>IFERROR(__xludf.DUMMYFUNCTION("""COMPUTED_VALUE"""),"Vilano Landing")</f>
        <v>Vilano Landing</v>
      </c>
      <c r="F508" s="13">
        <f>IFERROR(__xludf.DUMMYFUNCTION("""COMPUTED_VALUE"""),0.32638888889050577)</f>
        <v>0.3263888889</v>
      </c>
      <c r="G508" s="14">
        <f>IFERROR(__xludf.DUMMYFUNCTION("""COMPUTED_VALUE"""),43956.0)</f>
        <v>43956</v>
      </c>
      <c r="H508" t="str">
        <f>IFERROR(__xludf.DUMMYFUNCTION("""COMPUTED_VALUE"""),"ICW SWMP sites")</f>
        <v>ICW SWMP sites</v>
      </c>
      <c r="I508" s="15">
        <f>IFERROR(__xludf.DUMMYFUNCTION("""COMPUTED_VALUE"""),0.5833333333321207)</f>
        <v>0.5833333333</v>
      </c>
      <c r="J508" s="16">
        <f>IFERROR(__xludf.DUMMYFUNCTION("""COMPUTED_VALUE"""),43956.60416666667)</f>
        <v>43956.60417</v>
      </c>
      <c r="K508" t="str">
        <f>IFERROR(__xludf.DUMMYFUNCTION("""COMPUTED_VALUE"""),"23ft Skiff (Bertha) FL7972LJ DEP07613")</f>
        <v>23ft Skiff (Bertha) FL7972LJ DEP07613</v>
      </c>
      <c r="M508" t="str">
        <f>IFERROR(__xludf.DUMMYFUNCTION("""COMPUTED_VALUE"""),"Ford F250 2017 (Moby Dix) - DEP0021578")</f>
        <v>Ford F250 2017 (Moby Dix) - DEP0021578</v>
      </c>
      <c r="N508" t="str">
        <f>IFERROR(__xludf.DUMMYFUNCTION("""COMPUTED_VALUE"""),"Silas Tanner, (904) 483-8423")</f>
        <v>Silas Tanner, (904) 483-8423</v>
      </c>
      <c r="O508" t="str">
        <f>IFERROR(__xludf.DUMMYFUNCTION("""COMPUTED_VALUE"""),"Alee Knoell, (619) 750-4833")</f>
        <v>Alee Knoell, (619) 750-4833</v>
      </c>
      <c r="P508" t="str">
        <f>IFERROR(__xludf.DUMMYFUNCTION("""COMPUTED_VALUE"""),"S. Tanner")</f>
        <v>S. Tanner</v>
      </c>
      <c r="Q508" t="str">
        <f>IFERROR(__xludf.DUMMYFUNCTION("""COMPUTED_VALUE"""),"All items in working order")</f>
        <v>All items in working order</v>
      </c>
      <c r="AE508" s="11"/>
      <c r="AF508" t="s">
        <v>218</v>
      </c>
      <c r="AG508" s="18"/>
    </row>
    <row r="509">
      <c r="A509" s="10">
        <f>IFERROR(__xludf.DUMMYFUNCTION("""COMPUTED_VALUE"""),43965.47903462963)</f>
        <v>43965.47903</v>
      </c>
      <c r="B509" s="11" t="str">
        <f>IFERROR(__xludf.DUMMYFUNCTION("""COMPUTED_VALUE"""),"Alexandria Knoell")</f>
        <v>Alexandria Knoell</v>
      </c>
      <c r="C509" t="str">
        <f>IFERROR(__xludf.DUMMYFUNCTION("""COMPUTED_VALUE"""),"alee.knoell@floridadep.gov")</f>
        <v>alee.knoell@floridadep.gov</v>
      </c>
      <c r="D509" t="str">
        <f>IFERROR(__xludf.DUMMYFUNCTION("""COMPUTED_VALUE"""),"Research/Nikki")</f>
        <v>Research/Nikki</v>
      </c>
      <c r="E509" t="str">
        <f>IFERROR(__xludf.DUMMYFUNCTION("""COMPUTED_VALUE"""),"Shore drive")</f>
        <v>Shore drive</v>
      </c>
      <c r="F509" s="13">
        <f>IFERROR(__xludf.DUMMYFUNCTION("""COMPUTED_VALUE"""),0.4791666666678793)</f>
        <v>0.4791666667</v>
      </c>
      <c r="G509" s="14">
        <f>IFERROR(__xludf.DUMMYFUNCTION("""COMPUTED_VALUE"""),43965.0)</f>
        <v>43965</v>
      </c>
      <c r="H509" t="str">
        <f>IFERROR(__xludf.DUMMYFUNCTION("""COMPUTED_VALUE"""),"Site 22")</f>
        <v>Site 22</v>
      </c>
      <c r="I509" s="15">
        <f>IFERROR(__xludf.DUMMYFUNCTION("""COMPUTED_VALUE"""),0.6458333333321207)</f>
        <v>0.6458333333</v>
      </c>
      <c r="J509" s="16">
        <f>IFERROR(__xludf.DUMMYFUNCTION("""COMPUTED_VALUE"""),43965.6875)</f>
        <v>43965.6875</v>
      </c>
      <c r="K509" t="str">
        <f>IFERROR(__xludf.DUMMYFUNCTION("""COMPUTED_VALUE"""),"23ft Skiff (Bertha) FL7972LJ DEP07613")</f>
        <v>23ft Skiff (Bertha) FL7972LJ DEP07613</v>
      </c>
      <c r="M509" t="str">
        <f>IFERROR(__xludf.DUMMYFUNCTION("""COMPUTED_VALUE"""),"Ford F150 2015 (White) - DEP21448")</f>
        <v>Ford F150 2015 (White) - DEP21448</v>
      </c>
      <c r="N509" t="str">
        <f>IFERROR(__xludf.DUMMYFUNCTION("""COMPUTED_VALUE"""),"Pam Marcum, (480) 332-5414")</f>
        <v>Pam Marcum, (480) 332-5414</v>
      </c>
      <c r="O509" t="str">
        <f>IFERROR(__xludf.DUMMYFUNCTION("""COMPUTED_VALUE"""),"Alee Knoell, (619) 750-4833")</f>
        <v>Alee Knoell, (619) 750-4833</v>
      </c>
      <c r="P509" t="str">
        <f>IFERROR(__xludf.DUMMYFUNCTION("""COMPUTED_VALUE"""),"Pam")</f>
        <v>Pam</v>
      </c>
      <c r="Q509" t="str">
        <f>IFERROR(__xludf.DUMMYFUNCTION("""COMPUTED_VALUE"""),"All items in working order")</f>
        <v>All items in working order</v>
      </c>
      <c r="AE509" s="11"/>
      <c r="AF509" t="s">
        <v>218</v>
      </c>
      <c r="AG509" s="18"/>
    </row>
    <row r="510">
      <c r="A510" s="10">
        <f>IFERROR(__xludf.DUMMYFUNCTION("""COMPUTED_VALUE"""),43966.42435864583)</f>
        <v>43966.42436</v>
      </c>
      <c r="B510" s="11" t="str">
        <f>IFERROR(__xludf.DUMMYFUNCTION("""COMPUTED_VALUE"""),"Pamela Marcum")</f>
        <v>Pamela Marcum</v>
      </c>
      <c r="C510" t="str">
        <f>IFERROR(__xludf.DUMMYFUNCTION("""COMPUTED_VALUE"""),"pamela.marcum@floridadep.gov")</f>
        <v>pamela.marcum@floridadep.gov</v>
      </c>
      <c r="D510" t="str">
        <f>IFERROR(__xludf.DUMMYFUNCTION("""COMPUTED_VALUE"""),"Research/Nikki")</f>
        <v>Research/Nikki</v>
      </c>
      <c r="E510" t="str">
        <f>IFERROR(__xludf.DUMMYFUNCTION("""COMPUTED_VALUE"""),"Shore Drive")</f>
        <v>Shore Drive</v>
      </c>
      <c r="F510" s="13">
        <f>IFERROR(__xludf.DUMMYFUNCTION("""COMPUTED_VALUE"""),0.3958333333321207)</f>
        <v>0.3958333333</v>
      </c>
      <c r="G510" s="14">
        <f>IFERROR(__xludf.DUMMYFUNCTION("""COMPUTED_VALUE"""),43966.0)</f>
        <v>43966</v>
      </c>
      <c r="H510" t="str">
        <f>IFERROR(__xludf.DUMMYFUNCTION("""COMPUTED_VALUE"""),"Gabbys Creek, FM/SA spat trees")</f>
        <v>Gabbys Creek, FM/SA spat trees</v>
      </c>
      <c r="I510" s="15">
        <f>IFERROR(__xludf.DUMMYFUNCTION("""COMPUTED_VALUE"""),0.6666666666678793)</f>
        <v>0.6666666667</v>
      </c>
      <c r="J510" s="16">
        <f>IFERROR(__xludf.DUMMYFUNCTION("""COMPUTED_VALUE"""),43966.70833333333)</f>
        <v>43966.70833</v>
      </c>
      <c r="K510" t="str">
        <f>IFERROR(__xludf.DUMMYFUNCTION("""COMPUTED_VALUE"""),"23ft Skiff (Bertha) FL7972LJ DEP07613")</f>
        <v>23ft Skiff (Bertha) FL7972LJ DEP07613</v>
      </c>
      <c r="M510" t="str">
        <f>IFERROR(__xludf.DUMMYFUNCTION("""COMPUTED_VALUE"""),"Ford F150 2015 (White) - DEP21448")</f>
        <v>Ford F150 2015 (White) - DEP21448</v>
      </c>
      <c r="N510" t="str">
        <f>IFERROR(__xludf.DUMMYFUNCTION("""COMPUTED_VALUE"""),"Pam Marcum, (480) 332-5414")</f>
        <v>Pam Marcum, (480) 332-5414</v>
      </c>
      <c r="O510" t="str">
        <f>IFERROR(__xludf.DUMMYFUNCTION("""COMPUTED_VALUE"""),"Gabby Canas")</f>
        <v>Gabby Canas</v>
      </c>
      <c r="P510" t="str">
        <f>IFERROR(__xludf.DUMMYFUNCTION("""COMPUTED_VALUE"""),"Pam")</f>
        <v>Pam</v>
      </c>
      <c r="Q510" t="str">
        <f>IFERROR(__xludf.DUMMYFUNCTION("""COMPUTED_VALUE"""),"All items in working order")</f>
        <v>All items in working order</v>
      </c>
      <c r="AE510" s="11"/>
      <c r="AF510" t="s">
        <v>218</v>
      </c>
      <c r="AG510" s="18"/>
    </row>
    <row r="511">
      <c r="A511" s="10">
        <f>IFERROR(__xludf.DUMMYFUNCTION("""COMPUTED_VALUE"""),43969.31078939815)</f>
        <v>43969.31079</v>
      </c>
      <c r="B511" s="11" t="str">
        <f>IFERROR(__xludf.DUMMYFUNCTION("""COMPUTED_VALUE"""),"Shannon Dunnigan")</f>
        <v>Shannon Dunnigan</v>
      </c>
      <c r="C511" t="str">
        <f>IFERROR(__xludf.DUMMYFUNCTION("""COMPUTED_VALUE"""),"shannon.dunnigan@floridadep.gov")</f>
        <v>shannon.dunnigan@floridadep.gov</v>
      </c>
      <c r="D511" t="str">
        <f>IFERROR(__xludf.DUMMYFUNCTION("""COMPUTED_VALUE"""),"Research/Nikki")</f>
        <v>Research/Nikki</v>
      </c>
      <c r="E511" t="str">
        <f>IFERROR(__xludf.DUMMYFUNCTION("""COMPUTED_VALUE"""),"Guana dam")</f>
        <v>Guana dam</v>
      </c>
      <c r="F511" s="13">
        <f>IFERROR(__xludf.DUMMYFUNCTION("""COMPUTED_VALUE"""),0.3055555555547471)</f>
        <v>0.3055555556</v>
      </c>
      <c r="G511" s="14">
        <f>IFERROR(__xludf.DUMMYFUNCTION("""COMPUTED_VALUE"""),43969.0)</f>
        <v>43969</v>
      </c>
      <c r="H511" t="str">
        <f>IFERROR(__xludf.DUMMYFUNCTION("""COMPUTED_VALUE"""),"Guana WQ River sites")</f>
        <v>Guana WQ River sites</v>
      </c>
      <c r="I511" s="15">
        <f>IFERROR(__xludf.DUMMYFUNCTION("""COMPUTED_VALUE"""),0.375)</f>
        <v>0.375</v>
      </c>
      <c r="J511" s="16">
        <f>IFERROR(__xludf.DUMMYFUNCTION("""COMPUTED_VALUE"""),43969.40625)</f>
        <v>43969.40625</v>
      </c>
      <c r="K511" t="str">
        <f>IFERROR(__xludf.DUMMYFUNCTION("""COMPUTED_VALUE"""),"Jonboat FL5992 RR")</f>
        <v>Jonboat FL5992 RR</v>
      </c>
      <c r="M511" t="str">
        <f>IFERROR(__xludf.DUMMYFUNCTION("""COMPUTED_VALUE"""),"Ford F250 2017 (Moby Dix) - DEP0021578")</f>
        <v>Ford F250 2017 (Moby Dix) - DEP0021578</v>
      </c>
      <c r="N511" t="str">
        <f>IFERROR(__xludf.DUMMYFUNCTION("""COMPUTED_VALUE"""),"Shannon Dunnigan, (803) 727-5734")</f>
        <v>Shannon Dunnigan, (803) 727-5734</v>
      </c>
      <c r="O511" t="str">
        <f>IFERROR(__xludf.DUMMYFUNCTION("""COMPUTED_VALUE"""),"Jess Lee")</f>
        <v>Jess Lee</v>
      </c>
      <c r="P511" t="str">
        <f>IFERROR(__xludf.DUMMYFUNCTION("""COMPUTED_VALUE"""),"Shannon")</f>
        <v>Shannon</v>
      </c>
      <c r="Q511" t="str">
        <f>IFERROR(__xludf.DUMMYFUNCTION("""COMPUTED_VALUE"""),"All items in working order")</f>
        <v>All items in working order</v>
      </c>
      <c r="AE511" s="11"/>
      <c r="AF511" t="s">
        <v>218</v>
      </c>
      <c r="AG511" s="18"/>
    </row>
    <row r="512">
      <c r="A512" s="10">
        <f>IFERROR(__xludf.DUMMYFUNCTION("""COMPUTED_VALUE"""),43970.341321921296)</f>
        <v>43970.34132</v>
      </c>
      <c r="B512" s="11" t="str">
        <f>IFERROR(__xludf.DUMMYFUNCTION("""COMPUTED_VALUE"""),"Shannon Dunnigan")</f>
        <v>Shannon Dunnigan</v>
      </c>
      <c r="C512" t="str">
        <f>IFERROR(__xludf.DUMMYFUNCTION("""COMPUTED_VALUE"""),"shannon.dunnigan@floridadep.gov")</f>
        <v>shannon.dunnigan@floridadep.gov</v>
      </c>
      <c r="D512" t="str">
        <f>IFERROR(__xludf.DUMMYFUNCTION("""COMPUTED_VALUE"""),"Research/Nikki")</f>
        <v>Research/Nikki</v>
      </c>
      <c r="E512" t="str">
        <f>IFERROR(__xludf.DUMMYFUNCTION("""COMPUTED_VALUE"""),"Vilano")</f>
        <v>Vilano</v>
      </c>
      <c r="F512" s="13">
        <f>IFERROR(__xludf.DUMMYFUNCTION("""COMPUTED_VALUE"""),0.34375)</f>
        <v>0.34375</v>
      </c>
      <c r="G512" s="14">
        <f>IFERROR(__xludf.DUMMYFUNCTION("""COMPUTED_VALUE"""),43970.0)</f>
        <v>43970</v>
      </c>
      <c r="H512" t="str">
        <f>IFERROR(__xludf.DUMMYFUNCTION("""COMPUTED_VALUE"""),"SWMP sites")</f>
        <v>SWMP sites</v>
      </c>
      <c r="I512" s="15">
        <f>IFERROR(__xludf.DUMMYFUNCTION("""COMPUTED_VALUE"""),0.5416666666678793)</f>
        <v>0.5416666667</v>
      </c>
      <c r="J512" s="16">
        <f>IFERROR(__xludf.DUMMYFUNCTION("""COMPUTED_VALUE"""),43970.58333333333)</f>
        <v>43970.58333</v>
      </c>
      <c r="K512" t="str">
        <f>IFERROR(__xludf.DUMMYFUNCTION("""COMPUTED_VALUE"""),"F 20ft Sea Ark (Easy 200) FL8534PY DEP21451")</f>
        <v>F 20ft Sea Ark (Easy 200) FL8534PY DEP21451</v>
      </c>
      <c r="M512" t="str">
        <f>IFERROR(__xludf.DUMMYFUNCTION("""COMPUTED_VALUE"""),"Ford F250 2017 (Moby Dix) - DEP0021578")</f>
        <v>Ford F250 2017 (Moby Dix) - DEP0021578</v>
      </c>
      <c r="N512" t="str">
        <f>IFERROR(__xludf.DUMMYFUNCTION("""COMPUTED_VALUE"""),"Shannon Dunnigan, (803) 727-5734, Silas Tanner, (904) 483-8423")</f>
        <v>Shannon Dunnigan, (803) 727-5734, Silas Tanner, (904) 483-8423</v>
      </c>
      <c r="P512" t="str">
        <f>IFERROR(__xludf.DUMMYFUNCTION("""COMPUTED_VALUE"""),"Silas")</f>
        <v>Silas</v>
      </c>
      <c r="Q512" t="str">
        <f>IFERROR(__xludf.DUMMYFUNCTION("""COMPUTED_VALUE"""),"All items in working order")</f>
        <v>All items in working order</v>
      </c>
      <c r="AE512" s="11"/>
      <c r="AF512" t="s">
        <v>218</v>
      </c>
      <c r="AG512" s="18"/>
    </row>
    <row r="513">
      <c r="A513" s="10">
        <f>IFERROR(__xludf.DUMMYFUNCTION("""COMPUTED_VALUE"""),43970.41955553241)</f>
        <v>43970.41956</v>
      </c>
      <c r="B513" s="11" t="str">
        <f>IFERROR(__xludf.DUMMYFUNCTION("""COMPUTED_VALUE"""),"Pamela Marcum")</f>
        <v>Pamela Marcum</v>
      </c>
      <c r="C513" t="str">
        <f>IFERROR(__xludf.DUMMYFUNCTION("""COMPUTED_VALUE"""),"Pamela.Marcum@dep.state.fl.us")</f>
        <v>Pamela.Marcum@dep.state.fl.us</v>
      </c>
      <c r="D513" t="str">
        <f>IFERROR(__xludf.DUMMYFUNCTION("""COMPUTED_VALUE"""),"Research/Nikki")</f>
        <v>Research/Nikki</v>
      </c>
      <c r="E513" t="str">
        <f>IFERROR(__xludf.DUMMYFUNCTION("""COMPUTED_VALUE"""),"Aunt Kate's")</f>
        <v>Aunt Kate's</v>
      </c>
      <c r="F513" s="13">
        <f>IFERROR(__xludf.DUMMYFUNCTION("""COMPUTED_VALUE"""),0.4583333333321207)</f>
        <v>0.4583333333</v>
      </c>
      <c r="G513" s="14">
        <f>IFERROR(__xludf.DUMMYFUNCTION("""COMPUTED_VALUE"""),43970.0)</f>
        <v>43970</v>
      </c>
      <c r="H513" t="str">
        <f>IFERROR(__xludf.DUMMYFUNCTION("""COMPUTED_VALUE"""),"Pine Island platforms")</f>
        <v>Pine Island platforms</v>
      </c>
      <c r="I513" s="15">
        <f>IFERROR(__xludf.DUMMYFUNCTION("""COMPUTED_VALUE"""),0.7083333333321207)</f>
        <v>0.7083333333</v>
      </c>
      <c r="J513" s="16">
        <f>IFERROR(__xludf.DUMMYFUNCTION("""COMPUTED_VALUE"""),43970.72916666667)</f>
        <v>43970.72917</v>
      </c>
      <c r="K513" t="str">
        <f>IFERROR(__xludf.DUMMYFUNCTION("""COMPUTED_VALUE"""),"23ft Skiff (Bertha) FL7972LJ DEP07613")</f>
        <v>23ft Skiff (Bertha) FL7972LJ DEP07613</v>
      </c>
      <c r="M513" t="str">
        <f>IFERROR(__xludf.DUMMYFUNCTION("""COMPUTED_VALUE"""),"Ford F150 2015 (White) - DEP21448")</f>
        <v>Ford F150 2015 (White) - DEP21448</v>
      </c>
      <c r="N513" t="str">
        <f>IFERROR(__xludf.DUMMYFUNCTION("""COMPUTED_VALUE"""),"Pam Marcum, (480) 332-5414")</f>
        <v>Pam Marcum, (480) 332-5414</v>
      </c>
      <c r="O513" t="str">
        <f>IFERROR(__xludf.DUMMYFUNCTION("""COMPUTED_VALUE"""),"Alee Knoell, (619) 750-4833")</f>
        <v>Alee Knoell, (619) 750-4833</v>
      </c>
      <c r="P513" t="str">
        <f>IFERROR(__xludf.DUMMYFUNCTION("""COMPUTED_VALUE"""),"Pam")</f>
        <v>Pam</v>
      </c>
      <c r="Q513" t="str">
        <f>IFERROR(__xludf.DUMMYFUNCTION("""COMPUTED_VALUE"""),"All items in working order")</f>
        <v>All items in working order</v>
      </c>
      <c r="AE513" s="11"/>
      <c r="AF513" t="s">
        <v>218</v>
      </c>
      <c r="AG513" s="18"/>
    </row>
    <row r="514">
      <c r="A514" s="10">
        <f>IFERROR(__xludf.DUMMYFUNCTION("""COMPUTED_VALUE"""),43971.35261034722)</f>
        <v>43971.35261</v>
      </c>
      <c r="B514" s="11" t="str">
        <f>IFERROR(__xludf.DUMMYFUNCTION("""COMPUTED_VALUE"""),"Silas Tanner")</f>
        <v>Silas Tanner</v>
      </c>
      <c r="C514" t="str">
        <f>IFERROR(__xludf.DUMMYFUNCTION("""COMPUTED_VALUE"""),"Silas.tanner@floridadep.gov")</f>
        <v>Silas.tanner@floridadep.gov</v>
      </c>
      <c r="D514" t="str">
        <f>IFERROR(__xludf.DUMMYFUNCTION("""COMPUTED_VALUE"""),"Research/Nikki")</f>
        <v>Research/Nikki</v>
      </c>
      <c r="E514" t="str">
        <f>IFERROR(__xludf.DUMMYFUNCTION("""COMPUTED_VALUE"""),"GTM boat ramp - river")</f>
        <v>GTM boat ramp - river</v>
      </c>
      <c r="F514" s="13">
        <f>IFERROR(__xludf.DUMMYFUNCTION("""COMPUTED_VALUE"""),0.36111111110949423)</f>
        <v>0.3611111111</v>
      </c>
      <c r="G514" s="14">
        <f>IFERROR(__xludf.DUMMYFUNCTION("""COMPUTED_VALUE"""),43971.0)</f>
        <v>43971</v>
      </c>
      <c r="H514" t="str">
        <f>IFERROR(__xludf.DUMMYFUNCTION("""COMPUTED_VALUE"""),"Guana River")</f>
        <v>Guana River</v>
      </c>
      <c r="I514" s="15">
        <f>IFERROR(__xludf.DUMMYFUNCTION("""COMPUTED_VALUE"""),0.4270833333321207)</f>
        <v>0.4270833333</v>
      </c>
      <c r="J514" s="16">
        <f>IFERROR(__xludf.DUMMYFUNCTION("""COMPUTED_VALUE"""),43971.4375)</f>
        <v>43971.4375</v>
      </c>
      <c r="K514" t="str">
        <f>IFERROR(__xludf.DUMMYFUNCTION("""COMPUTED_VALUE"""),"Jon Boat FL0484NP DEP06819")</f>
        <v>Jon Boat FL0484NP DEP06819</v>
      </c>
      <c r="M514" t="str">
        <f>IFERROR(__xludf.DUMMYFUNCTION("""COMPUTED_VALUE"""),"Ford F250 2017 (Moby Dix) - DEP0021578")</f>
        <v>Ford F250 2017 (Moby Dix) - DEP0021578</v>
      </c>
      <c r="N514" t="str">
        <f>IFERROR(__xludf.DUMMYFUNCTION("""COMPUTED_VALUE"""),"Silas Tanner, (904) 483-8423")</f>
        <v>Silas Tanner, (904) 483-8423</v>
      </c>
      <c r="O514" t="str">
        <f>IFERROR(__xludf.DUMMYFUNCTION("""COMPUTED_VALUE"""),"Jessica Lee")</f>
        <v>Jessica Lee</v>
      </c>
      <c r="P514" t="str">
        <f>IFERROR(__xludf.DUMMYFUNCTION("""COMPUTED_VALUE"""),"S. Tanner")</f>
        <v>S. Tanner</v>
      </c>
      <c r="Q514" t="str">
        <f>IFERROR(__xludf.DUMMYFUNCTION("""COMPUTED_VALUE"""),"All items in working order")</f>
        <v>All items in working order</v>
      </c>
      <c r="AE514" s="11"/>
      <c r="AF514" t="s">
        <v>218</v>
      </c>
      <c r="AG514" s="18"/>
    </row>
    <row r="515">
      <c r="A515" s="10">
        <f>IFERROR(__xludf.DUMMYFUNCTION("""COMPUTED_VALUE"""),43979.303783958334)</f>
        <v>43979.30378</v>
      </c>
      <c r="B515" s="11" t="str">
        <f>IFERROR(__xludf.DUMMYFUNCTION("""COMPUTED_VALUE"""),"Pamela Marcum")</f>
        <v>Pamela Marcum</v>
      </c>
      <c r="C515" t="str">
        <f>IFERROR(__xludf.DUMMYFUNCTION("""COMPUTED_VALUE"""),"pamela.marcum@floridadep.gov")</f>
        <v>pamela.marcum@floridadep.gov</v>
      </c>
      <c r="D515" t="str">
        <f>IFERROR(__xludf.DUMMYFUNCTION("""COMPUTED_VALUE"""),"Research/Nikki")</f>
        <v>Research/Nikki</v>
      </c>
      <c r="E515" t="str">
        <f>IFERROR(__xludf.DUMMYFUNCTION("""COMPUTED_VALUE"""),"Aunt Kate's")</f>
        <v>Aunt Kate's</v>
      </c>
      <c r="F515" s="13">
        <f>IFERROR(__xludf.DUMMYFUNCTION("""COMPUTED_VALUE"""),0.3020833333321207)</f>
        <v>0.3020833333</v>
      </c>
      <c r="G515" s="14">
        <f>IFERROR(__xludf.DUMMYFUNCTION("""COMPUTED_VALUE"""),43979.0)</f>
        <v>43979</v>
      </c>
      <c r="H515" t="str">
        <f>IFERROR(__xludf.DUMMYFUNCTION("""COMPUTED_VALUE"""),"Hat Island")</f>
        <v>Hat Island</v>
      </c>
      <c r="I515" s="15">
        <f>IFERROR(__xludf.DUMMYFUNCTION("""COMPUTED_VALUE"""),0.5833333333321207)</f>
        <v>0.5833333333</v>
      </c>
      <c r="J515" s="16">
        <f>IFERROR(__xludf.DUMMYFUNCTION("""COMPUTED_VALUE"""),43979.60416666667)</f>
        <v>43979.60417</v>
      </c>
      <c r="K515" t="str">
        <f>IFERROR(__xludf.DUMMYFUNCTION("""COMPUTED_VALUE"""),"23ft Skiff (Bertha) FL7972LJ DEP07613")</f>
        <v>23ft Skiff (Bertha) FL7972LJ DEP07613</v>
      </c>
      <c r="M515" t="str">
        <f>IFERROR(__xludf.DUMMYFUNCTION("""COMPUTED_VALUE"""),"Ford F150 2015 (White) - DEP21448")</f>
        <v>Ford F150 2015 (White) - DEP21448</v>
      </c>
      <c r="N515" t="str">
        <f>IFERROR(__xludf.DUMMYFUNCTION("""COMPUTED_VALUE"""),"Pam Marcum, (480) 332-5414")</f>
        <v>Pam Marcum, (480) 332-5414</v>
      </c>
      <c r="O515" t="str">
        <f>IFERROR(__xludf.DUMMYFUNCTION("""COMPUTED_VALUE"""),"Alee Knoell, (619) 750-4833")</f>
        <v>Alee Knoell, (619) 750-4833</v>
      </c>
      <c r="P515" t="str">
        <f>IFERROR(__xludf.DUMMYFUNCTION("""COMPUTED_VALUE"""),"Pam")</f>
        <v>Pam</v>
      </c>
      <c r="Q515" t="str">
        <f>IFERROR(__xludf.DUMMYFUNCTION("""COMPUTED_VALUE"""),"All items in working order")</f>
        <v>All items in working order</v>
      </c>
      <c r="AE515" s="11"/>
      <c r="AF515" t="s">
        <v>218</v>
      </c>
      <c r="AG515" s="18"/>
    </row>
    <row r="516">
      <c r="A516" s="10">
        <f>IFERROR(__xludf.DUMMYFUNCTION("""COMPUTED_VALUE"""),43983.28341422454)</f>
        <v>43983.28341</v>
      </c>
      <c r="B516" s="11" t="str">
        <f>IFERROR(__xludf.DUMMYFUNCTION("""COMPUTED_VALUE"""),"Pam Marcum")</f>
        <v>Pam Marcum</v>
      </c>
      <c r="C516" t="str">
        <f>IFERROR(__xludf.DUMMYFUNCTION("""COMPUTED_VALUE"""),"Pamela.Marcum@FloridaDEP.gov")</f>
        <v>Pamela.Marcum@FloridaDEP.gov</v>
      </c>
      <c r="D516" t="str">
        <f>IFERROR(__xludf.DUMMYFUNCTION("""COMPUTED_VALUE"""),"Research/Nikki")</f>
        <v>Research/Nikki</v>
      </c>
      <c r="E516" t="str">
        <f>IFERROR(__xludf.DUMMYFUNCTION("""COMPUTED_VALUE"""),"Vilano")</f>
        <v>Vilano</v>
      </c>
      <c r="F516" s="13">
        <f>IFERROR(__xludf.DUMMYFUNCTION("""COMPUTED_VALUE"""),0.3125)</f>
        <v>0.3125</v>
      </c>
      <c r="G516" s="14">
        <f>IFERROR(__xludf.DUMMYFUNCTION("""COMPUTED_VALUE"""),43983.0)</f>
        <v>43983</v>
      </c>
      <c r="H516" t="str">
        <f>IFERROR(__xludf.DUMMYFUNCTION("""COMPUTED_VALUE"""),"Spat Trees")</f>
        <v>Spat Trees</v>
      </c>
      <c r="I516" s="15">
        <f>IFERROR(__xludf.DUMMYFUNCTION("""COMPUTED_VALUE"""),0.5625)</f>
        <v>0.5625</v>
      </c>
      <c r="J516" s="16">
        <f>IFERROR(__xludf.DUMMYFUNCTION("""COMPUTED_VALUE"""),43983.58333333333)</f>
        <v>43983.58333</v>
      </c>
      <c r="K516" t="str">
        <f>IFERROR(__xludf.DUMMYFUNCTION("""COMPUTED_VALUE"""),"20ft Sea Ark FL5351SJ UNF 2015")</f>
        <v>20ft Sea Ark FL5351SJ UNF 2015</v>
      </c>
      <c r="M516" t="str">
        <f>IFERROR(__xludf.DUMMYFUNCTION("""COMPUTED_VALUE"""),"Ford F150 2015 (White) - DEP21448")</f>
        <v>Ford F150 2015 (White) - DEP21448</v>
      </c>
      <c r="N516" t="str">
        <f>IFERROR(__xludf.DUMMYFUNCTION("""COMPUTED_VALUE"""),"Pam Marcum, (480) 332-5414")</f>
        <v>Pam Marcum, (480) 332-5414</v>
      </c>
      <c r="O516" t="str">
        <f>IFERROR(__xludf.DUMMYFUNCTION("""COMPUTED_VALUE"""),"Alee Knoell, (619) 750-4833")</f>
        <v>Alee Knoell, (619) 750-4833</v>
      </c>
      <c r="P516" t="str">
        <f>IFERROR(__xludf.DUMMYFUNCTION("""COMPUTED_VALUE"""),"Pam")</f>
        <v>Pam</v>
      </c>
      <c r="Q516" t="str">
        <f>IFERROR(__xludf.DUMMYFUNCTION("""COMPUTED_VALUE"""),"All items in working order")</f>
        <v>All items in working order</v>
      </c>
      <c r="AE516" s="11"/>
      <c r="AF516" t="s">
        <v>218</v>
      </c>
      <c r="AG516" s="18"/>
    </row>
    <row r="517">
      <c r="A517" s="10">
        <f>IFERROR(__xludf.DUMMYFUNCTION("""COMPUTED_VALUE"""),43985.33618493055)</f>
        <v>43985.33618</v>
      </c>
      <c r="B517" s="11" t="str">
        <f>IFERROR(__xludf.DUMMYFUNCTION("""COMPUTED_VALUE"""),"Silas Tanner")</f>
        <v>Silas Tanner</v>
      </c>
      <c r="C517" t="str">
        <f>IFERROR(__xludf.DUMMYFUNCTION("""COMPUTED_VALUE"""),"silas.tanner@floridadep.gov")</f>
        <v>silas.tanner@floridadep.gov</v>
      </c>
      <c r="D517" t="str">
        <f>IFERROR(__xludf.DUMMYFUNCTION("""COMPUTED_VALUE"""),"Research/Nikki")</f>
        <v>Research/Nikki</v>
      </c>
      <c r="E517" t="str">
        <f>IFERROR(__xludf.DUMMYFUNCTION("""COMPUTED_VALUE"""),"Vilano Landing")</f>
        <v>Vilano Landing</v>
      </c>
      <c r="F517" s="13">
        <f>IFERROR(__xludf.DUMMYFUNCTION("""COMPUTED_VALUE"""),0.29861111110949423)</f>
        <v>0.2986111111</v>
      </c>
      <c r="G517" s="14">
        <f>IFERROR(__xludf.DUMMYFUNCTION("""COMPUTED_VALUE"""),43984.0)</f>
        <v>43984</v>
      </c>
      <c r="H517" t="str">
        <f>IFERROR(__xludf.DUMMYFUNCTION("""COMPUTED_VALUE"""),"ICW SWMP sites")</f>
        <v>ICW SWMP sites</v>
      </c>
      <c r="I517" s="15">
        <f>IFERROR(__xludf.DUMMYFUNCTION("""COMPUTED_VALUE"""),0.53125)</f>
        <v>0.53125</v>
      </c>
      <c r="J517" s="16">
        <f>IFERROR(__xludf.DUMMYFUNCTION("""COMPUTED_VALUE"""),43984.54166666667)</f>
        <v>43984.54167</v>
      </c>
      <c r="K517" t="str">
        <f>IFERROR(__xludf.DUMMYFUNCTION("""COMPUTED_VALUE"""),"23ft Skiff (Bertha) FL7972LJ DEP07613")</f>
        <v>23ft Skiff (Bertha) FL7972LJ DEP07613</v>
      </c>
      <c r="M517" t="str">
        <f>IFERROR(__xludf.DUMMYFUNCTION("""COMPUTED_VALUE"""),"Ford F250 2017 (Moby Dix) - DEP0021578")</f>
        <v>Ford F250 2017 (Moby Dix) - DEP0021578</v>
      </c>
      <c r="N517" t="str">
        <f>IFERROR(__xludf.DUMMYFUNCTION("""COMPUTED_VALUE"""),"Silas Tanner, (904) 483-8423")</f>
        <v>Silas Tanner, (904) 483-8423</v>
      </c>
      <c r="O517" t="str">
        <f>IFERROR(__xludf.DUMMYFUNCTION("""COMPUTED_VALUE"""),"Alee Knoell, (619) 750-4833")</f>
        <v>Alee Knoell, (619) 750-4833</v>
      </c>
      <c r="P517" t="str">
        <f>IFERROR(__xludf.DUMMYFUNCTION("""COMPUTED_VALUE"""),"Tanner")</f>
        <v>Tanner</v>
      </c>
      <c r="Q517" t="str">
        <f>IFERROR(__xludf.DUMMYFUNCTION("""COMPUTED_VALUE"""),"All items in working order")</f>
        <v>All items in working order</v>
      </c>
      <c r="AE517" s="11"/>
      <c r="AF517" t="s">
        <v>218</v>
      </c>
      <c r="AG517" s="18"/>
    </row>
    <row r="518">
      <c r="A518" s="10">
        <f>IFERROR(__xludf.DUMMYFUNCTION("""COMPUTED_VALUE"""),43985.34858719908)</f>
        <v>43985.34859</v>
      </c>
      <c r="B518" s="11" t="str">
        <f>IFERROR(__xludf.DUMMYFUNCTION("""COMPUTED_VALUE"""),"Shannon Dunnigan")</f>
        <v>Shannon Dunnigan</v>
      </c>
      <c r="C518" t="str">
        <f>IFERROR(__xludf.DUMMYFUNCTION("""COMPUTED_VALUE"""),"shannon.dunnigan@floridadep.gov")</f>
        <v>shannon.dunnigan@floridadep.gov</v>
      </c>
      <c r="D518" t="str">
        <f>IFERROR(__xludf.DUMMYFUNCTION("""COMPUTED_VALUE"""),"Research/Nikki")</f>
        <v>Research/Nikki</v>
      </c>
      <c r="E518" t="str">
        <f>IFERROR(__xludf.DUMMYFUNCTION("""COMPUTED_VALUE"""),"Guana")</f>
        <v>Guana</v>
      </c>
      <c r="F518" s="13">
        <f>IFERROR(__xludf.DUMMYFUNCTION("""COMPUTED_VALUE"""),0.34722222222262644)</f>
        <v>0.3472222222</v>
      </c>
      <c r="G518" s="14">
        <f>IFERROR(__xludf.DUMMYFUNCTION("""COMPUTED_VALUE"""),43985.0)</f>
        <v>43985</v>
      </c>
      <c r="H518" t="str">
        <f>IFERROR(__xludf.DUMMYFUNCTION("""COMPUTED_VALUE"""),"Guana river ")</f>
        <v>Guana river </v>
      </c>
      <c r="I518" s="15">
        <f>IFERROR(__xludf.DUMMYFUNCTION("""COMPUTED_VALUE"""),0.4375)</f>
        <v>0.4375</v>
      </c>
      <c r="J518" s="16">
        <f>IFERROR(__xludf.DUMMYFUNCTION("""COMPUTED_VALUE"""),43985.45833333333)</f>
        <v>43985.45833</v>
      </c>
      <c r="K518" t="str">
        <f>IFERROR(__xludf.DUMMYFUNCTION("""COMPUTED_VALUE"""),"Jonboat FL5992RR")</f>
        <v>Jonboat FL5992RR</v>
      </c>
      <c r="M518" t="str">
        <f>IFERROR(__xludf.DUMMYFUNCTION("""COMPUTED_VALUE"""),"Ford F250 2017 (Moby Dix) - DEP0021578")</f>
        <v>Ford F250 2017 (Moby Dix) - DEP0021578</v>
      </c>
      <c r="N518" t="str">
        <f>IFERROR(__xludf.DUMMYFUNCTION("""COMPUTED_VALUE"""),"Shannon Dunnigan, (803) 727-5734")</f>
        <v>Shannon Dunnigan, (803) 727-5734</v>
      </c>
      <c r="O518" t="str">
        <f>IFERROR(__xludf.DUMMYFUNCTION("""COMPUTED_VALUE"""),"Jessica Lee")</f>
        <v>Jessica Lee</v>
      </c>
      <c r="P518" t="str">
        <f>IFERROR(__xludf.DUMMYFUNCTION("""COMPUTED_VALUE"""),"Shannon")</f>
        <v>Shannon</v>
      </c>
      <c r="Q518" t="str">
        <f>IFERROR(__xludf.DUMMYFUNCTION("""COMPUTED_VALUE"""),"All items in working order")</f>
        <v>All items in working order</v>
      </c>
      <c r="AE518" s="11"/>
      <c r="AF518" t="s">
        <v>218</v>
      </c>
      <c r="AG518" s="18"/>
    </row>
    <row r="519">
      <c r="A519" s="10">
        <f>IFERROR(__xludf.DUMMYFUNCTION("""COMPUTED_VALUE"""),43985.3767700463)</f>
        <v>43985.37677</v>
      </c>
      <c r="B519" s="11" t="str">
        <f>IFERROR(__xludf.DUMMYFUNCTION("""COMPUTED_VALUE"""),"Pamela Marcum")</f>
        <v>Pamela Marcum</v>
      </c>
      <c r="C519" t="str">
        <f>IFERROR(__xludf.DUMMYFUNCTION("""COMPUTED_VALUE"""),"Pamela.Marcum@FloridaDEP.gov")</f>
        <v>Pamela.Marcum@FloridaDEP.gov</v>
      </c>
      <c r="D519" t="str">
        <f>IFERROR(__xludf.DUMMYFUNCTION("""COMPUTED_VALUE"""),"Research/Nikki")</f>
        <v>Research/Nikki</v>
      </c>
      <c r="E519" t="str">
        <f>IFERROR(__xludf.DUMMYFUNCTION("""COMPUTED_VALUE"""),"Shore Dr/Crane Park")</f>
        <v>Shore Dr/Crane Park</v>
      </c>
      <c r="F519" s="13">
        <f>IFERROR(__xludf.DUMMYFUNCTION("""COMPUTED_VALUE"""),0.4166666666678793)</f>
        <v>0.4166666667</v>
      </c>
      <c r="G519" s="14">
        <f>IFERROR(__xludf.DUMMYFUNCTION("""COMPUTED_VALUE"""),43985.0)</f>
        <v>43985</v>
      </c>
      <c r="H519" t="str">
        <f>IFERROR(__xludf.DUMMYFUNCTION("""COMPUTED_VALUE"""),"Site 22 &amp; Gabby's Creek")</f>
        <v>Site 22 &amp; Gabby's Creek</v>
      </c>
      <c r="I519" s="15">
        <f>IFERROR(__xludf.DUMMYFUNCTION("""COMPUTED_VALUE"""),0.7083333333321207)</f>
        <v>0.7083333333</v>
      </c>
      <c r="J519" s="16">
        <f>IFERROR(__xludf.DUMMYFUNCTION("""COMPUTED_VALUE"""),43985.72916666667)</f>
        <v>43985.72917</v>
      </c>
      <c r="K519" t="str">
        <f>IFERROR(__xludf.DUMMYFUNCTION("""COMPUTED_VALUE"""),"20ft Sea Ark FL5351SJ UNF 2015")</f>
        <v>20ft Sea Ark FL5351SJ UNF 2015</v>
      </c>
      <c r="M519" t="str">
        <f>IFERROR(__xludf.DUMMYFUNCTION("""COMPUTED_VALUE"""),"Ford F150 2015 (White) - DEP21448")</f>
        <v>Ford F150 2015 (White) - DEP21448</v>
      </c>
      <c r="N519" t="str">
        <f>IFERROR(__xludf.DUMMYFUNCTION("""COMPUTED_VALUE"""),"Pam Marcum, (480) 332-5414")</f>
        <v>Pam Marcum, (480) 332-5414</v>
      </c>
      <c r="O519" t="str">
        <f>IFERROR(__xludf.DUMMYFUNCTION("""COMPUTED_VALUE"""),"Alee Knoell, (619) 750-4833")</f>
        <v>Alee Knoell, (619) 750-4833</v>
      </c>
      <c r="P519" t="str">
        <f>IFERROR(__xludf.DUMMYFUNCTION("""COMPUTED_VALUE"""),"Pam")</f>
        <v>Pam</v>
      </c>
      <c r="Q519" t="str">
        <f>IFERROR(__xludf.DUMMYFUNCTION("""COMPUTED_VALUE"""),"All items in working order")</f>
        <v>All items in working order</v>
      </c>
      <c r="AE519" s="11"/>
      <c r="AF519" t="s">
        <v>218</v>
      </c>
      <c r="AG519" s="18"/>
    </row>
    <row r="520">
      <c r="A520" s="10">
        <f>IFERROR(__xludf.DUMMYFUNCTION("""COMPUTED_VALUE"""),43994.369997800924)</f>
        <v>43994.37</v>
      </c>
      <c r="B520" s="11" t="str">
        <f>IFERROR(__xludf.DUMMYFUNCTION("""COMPUTED_VALUE"""),"Gabriela Canas")</f>
        <v>Gabriela Canas</v>
      </c>
      <c r="C520" t="str">
        <f>IFERROR(__xludf.DUMMYFUNCTION("""COMPUTED_VALUE"""),"n00836133@unf.edu")</f>
        <v>n00836133@unf.edu</v>
      </c>
      <c r="D520" t="str">
        <f>IFERROR(__xludf.DUMMYFUNCTION("""COMPUTED_VALUE"""),"Research/Nikki")</f>
        <v>Research/Nikki</v>
      </c>
      <c r="E520" t="str">
        <f>IFERROR(__xludf.DUMMYFUNCTION("""COMPUTED_VALUE"""),"Douglas crane")</f>
        <v>Douglas crane</v>
      </c>
      <c r="F520" s="13">
        <f>IFERROR(__xludf.DUMMYFUNCTION("""COMPUTED_VALUE"""),0.3541666666678793)</f>
        <v>0.3541666667</v>
      </c>
      <c r="G520" s="14">
        <f>IFERROR(__xludf.DUMMYFUNCTION("""COMPUTED_VALUE"""),43994.0)</f>
        <v>43994</v>
      </c>
      <c r="H520" t="str">
        <f>IFERROR(__xludf.DUMMYFUNCTION("""COMPUTED_VALUE"""),"Wet feet middle site")</f>
        <v>Wet feet middle site</v>
      </c>
      <c r="I520" s="15">
        <f>IFERROR(__xludf.DUMMYFUNCTION("""COMPUTED_VALUE"""),0.6041666666678793)</f>
        <v>0.6041666667</v>
      </c>
      <c r="J520" s="16">
        <f>IFERROR(__xludf.DUMMYFUNCTION("""COMPUTED_VALUE"""),43994.16666666667)</f>
        <v>43994.16667</v>
      </c>
      <c r="K520" t="str">
        <f>IFERROR(__xludf.DUMMYFUNCTION("""COMPUTED_VALUE"""),"20ft Sea Ark FL5351SJ UNF 2015")</f>
        <v>20ft Sea Ark FL5351SJ UNF 2015</v>
      </c>
      <c r="M520" t="str">
        <f>IFERROR(__xludf.DUMMYFUNCTION("""COMPUTED_VALUE"""),"Ford F150 2015 (White) - DEP21448")</f>
        <v>Ford F150 2015 (White) - DEP21448</v>
      </c>
      <c r="N520" t="str">
        <f>IFERROR(__xludf.DUMMYFUNCTION("""COMPUTED_VALUE"""),"Pam Marcum, (480) 332-5414")</f>
        <v>Pam Marcum, (480) 332-5414</v>
      </c>
      <c r="O520" t="str">
        <f>IFERROR(__xludf.DUMMYFUNCTION("""COMPUTED_VALUE"""),"Gabriela Canas, (904) 891-9743")</f>
        <v>Gabriela Canas, (904) 891-9743</v>
      </c>
      <c r="P520" t="str">
        <f>IFERROR(__xludf.DUMMYFUNCTION("""COMPUTED_VALUE"""),"Pam")</f>
        <v>Pam</v>
      </c>
      <c r="Q520" t="str">
        <f>IFERROR(__xludf.DUMMYFUNCTION("""COMPUTED_VALUE"""),"All items in working order")</f>
        <v>All items in working order</v>
      </c>
      <c r="AE520" s="11"/>
      <c r="AF520" t="s">
        <v>218</v>
      </c>
      <c r="AG520" s="18"/>
    </row>
    <row r="521">
      <c r="A521" s="10">
        <f>IFERROR(__xludf.DUMMYFUNCTION("""COMPUTED_VALUE"""),43995.280985717596)</f>
        <v>43995.28099</v>
      </c>
      <c r="B521" s="11" t="str">
        <f>IFERROR(__xludf.DUMMYFUNCTION("""COMPUTED_VALUE"""),"Gabriela Canas")</f>
        <v>Gabriela Canas</v>
      </c>
      <c r="C521" t="str">
        <f>IFERROR(__xludf.DUMMYFUNCTION("""COMPUTED_VALUE"""),"n00836133@unf.edu")</f>
        <v>n00836133@unf.edu</v>
      </c>
      <c r="D521" t="str">
        <f>IFERROR(__xludf.DUMMYFUNCTION("""COMPUTED_VALUE"""),"Research/Nikki")</f>
        <v>Research/Nikki</v>
      </c>
      <c r="E521" t="str">
        <f>IFERROR(__xludf.DUMMYFUNCTION("""COMPUTED_VALUE"""),"Douglas crane")</f>
        <v>Douglas crane</v>
      </c>
      <c r="F521" s="13">
        <f>IFERROR(__xludf.DUMMYFUNCTION("""COMPUTED_VALUE"""),0.3541666666678793)</f>
        <v>0.3541666667</v>
      </c>
      <c r="G521" s="14">
        <f>IFERROR(__xludf.DUMMYFUNCTION("""COMPUTED_VALUE"""),43994.0)</f>
        <v>43994</v>
      </c>
      <c r="H521" t="str">
        <f>IFERROR(__xludf.DUMMYFUNCTION("""COMPUTED_VALUE"""),"Wet feet middle site")</f>
        <v>Wet feet middle site</v>
      </c>
      <c r="I521" s="15">
        <f>IFERROR(__xludf.DUMMYFUNCTION("""COMPUTED_VALUE"""),0.6041666666678793)</f>
        <v>0.6041666667</v>
      </c>
      <c r="J521" s="16">
        <f>IFERROR(__xludf.DUMMYFUNCTION("""COMPUTED_VALUE"""),43994.16666666667)</f>
        <v>43994.16667</v>
      </c>
      <c r="K521" t="str">
        <f>IFERROR(__xludf.DUMMYFUNCTION("""COMPUTED_VALUE"""),"20ft Sea Ark FL5351SJ UNF 2015")</f>
        <v>20ft Sea Ark FL5351SJ UNF 2015</v>
      </c>
      <c r="M521" t="str">
        <f>IFERROR(__xludf.DUMMYFUNCTION("""COMPUTED_VALUE"""),"Ford F150 2015 (White) - DEP21448")</f>
        <v>Ford F150 2015 (White) - DEP21448</v>
      </c>
      <c r="N521" t="str">
        <f>IFERROR(__xludf.DUMMYFUNCTION("""COMPUTED_VALUE"""),"Pam Marcum, (480) 332-5414")</f>
        <v>Pam Marcum, (480) 332-5414</v>
      </c>
      <c r="O521" t="str">
        <f>IFERROR(__xludf.DUMMYFUNCTION("""COMPUTED_VALUE"""),"Gabriela Canas, (904) 891-9743")</f>
        <v>Gabriela Canas, (904) 891-9743</v>
      </c>
      <c r="P521" t="str">
        <f>IFERROR(__xludf.DUMMYFUNCTION("""COMPUTED_VALUE"""),"Pam")</f>
        <v>Pam</v>
      </c>
      <c r="Q521" t="str">
        <f>IFERROR(__xludf.DUMMYFUNCTION("""COMPUTED_VALUE"""),"All items in working order")</f>
        <v>All items in working order</v>
      </c>
      <c r="AE521" s="11"/>
      <c r="AF521" t="s">
        <v>218</v>
      </c>
      <c r="AG521" s="18"/>
    </row>
    <row r="522">
      <c r="A522" s="10">
        <f>IFERROR(__xludf.DUMMYFUNCTION("""COMPUTED_VALUE"""),43998.489916122686)</f>
        <v>43998.48992</v>
      </c>
      <c r="B522" s="11" t="str">
        <f>IFERROR(__xludf.DUMMYFUNCTION("""COMPUTED_VALUE"""),"Pam Marcum")</f>
        <v>Pam Marcum</v>
      </c>
      <c r="C522" t="str">
        <f>IFERROR(__xludf.DUMMYFUNCTION("""COMPUTED_VALUE"""),"pamela.marcum@floridadep.gov")</f>
        <v>pamela.marcum@floridadep.gov</v>
      </c>
      <c r="D522" t="str">
        <f>IFERROR(__xludf.DUMMYFUNCTION("""COMPUTED_VALUE"""),"Research/Nikki")</f>
        <v>Research/Nikki</v>
      </c>
      <c r="E522" t="str">
        <f>IFERROR(__xludf.DUMMYFUNCTION("""COMPUTED_VALUE"""),"Faver-Dykes")</f>
        <v>Faver-Dykes</v>
      </c>
      <c r="F522" s="13">
        <f>IFERROR(__xludf.DUMMYFUNCTION("""COMPUTED_VALUE"""),0.4791666666678793)</f>
        <v>0.4791666667</v>
      </c>
      <c r="G522" s="14">
        <f>IFERROR(__xludf.DUMMYFUNCTION("""COMPUTED_VALUE"""),43998.0)</f>
        <v>43998</v>
      </c>
      <c r="H522" t="str">
        <f>IFERROR(__xludf.DUMMYFUNCTION("""COMPUTED_VALUE"""),"Pellicer transects: mouth, mid, fresh")</f>
        <v>Pellicer transects: mouth, mid, fresh</v>
      </c>
      <c r="I522" s="15">
        <f>IFERROR(__xludf.DUMMYFUNCTION("""COMPUTED_VALUE"""),0.5833333333321207)</f>
        <v>0.5833333333</v>
      </c>
      <c r="J522" s="16">
        <f>IFERROR(__xludf.DUMMYFUNCTION("""COMPUTED_VALUE"""),43998.625)</f>
        <v>43998.625</v>
      </c>
      <c r="K522" t="str">
        <f>IFERROR(__xludf.DUMMYFUNCTION("""COMPUTED_VALUE"""),"20ft Sea Ark FL5351SJ UNF 2015")</f>
        <v>20ft Sea Ark FL5351SJ UNF 2015</v>
      </c>
      <c r="M522" t="str">
        <f>IFERROR(__xludf.DUMMYFUNCTION("""COMPUTED_VALUE"""),"Ford F150 2015 (White) - DEP21448")</f>
        <v>Ford F150 2015 (White) - DEP21448</v>
      </c>
      <c r="N522" t="str">
        <f>IFERROR(__xludf.DUMMYFUNCTION("""COMPUTED_VALUE"""),"Pam Marcum, (480) 332-5414")</f>
        <v>Pam Marcum, (480) 332-5414</v>
      </c>
      <c r="O522" t="str">
        <f>IFERROR(__xludf.DUMMYFUNCTION("""COMPUTED_VALUE"""),"Alee Knoell, (619) 750-4833")</f>
        <v>Alee Knoell, (619) 750-4833</v>
      </c>
      <c r="P522" t="str">
        <f>IFERROR(__xludf.DUMMYFUNCTION("""COMPUTED_VALUE"""),"Pam")</f>
        <v>Pam</v>
      </c>
      <c r="Q522" t="str">
        <f>IFERROR(__xludf.DUMMYFUNCTION("""COMPUTED_VALUE"""),"All items in working order")</f>
        <v>All items in working order</v>
      </c>
      <c r="AE522" s="11"/>
      <c r="AF522" t="s">
        <v>218</v>
      </c>
      <c r="AG522" s="18"/>
    </row>
    <row r="523">
      <c r="A523" s="10">
        <f>IFERROR(__xludf.DUMMYFUNCTION("""COMPUTED_VALUE"""),43999.298031770835)</f>
        <v>43999.29803</v>
      </c>
      <c r="B523" s="11" t="str">
        <f>IFERROR(__xludf.DUMMYFUNCTION("""COMPUTED_VALUE"""),"Silas Tanner")</f>
        <v>Silas Tanner</v>
      </c>
      <c r="C523" t="str">
        <f>IFERROR(__xludf.DUMMYFUNCTION("""COMPUTED_VALUE"""),"silas.tanner@floridadep.gov")</f>
        <v>silas.tanner@floridadep.gov</v>
      </c>
      <c r="D523" t="str">
        <f>IFERROR(__xludf.DUMMYFUNCTION("""COMPUTED_VALUE"""),"Research/Nikki")</f>
        <v>Research/Nikki</v>
      </c>
      <c r="E523" t="str">
        <f>IFERROR(__xludf.DUMMYFUNCTION("""COMPUTED_VALUE"""),"Vilano Landing")</f>
        <v>Vilano Landing</v>
      </c>
      <c r="F523" s="13">
        <f>IFERROR(__xludf.DUMMYFUNCTION("""COMPUTED_VALUE"""),0.3229166666678793)</f>
        <v>0.3229166667</v>
      </c>
      <c r="G523" s="14">
        <f>IFERROR(__xludf.DUMMYFUNCTION("""COMPUTED_VALUE"""),43999.0)</f>
        <v>43999</v>
      </c>
      <c r="H523" t="str">
        <f>IFERROR(__xludf.DUMMYFUNCTION("""COMPUTED_VALUE"""),"ICW SWMP sites")</f>
        <v>ICW SWMP sites</v>
      </c>
      <c r="I523" s="15">
        <f>IFERROR(__xludf.DUMMYFUNCTION("""COMPUTED_VALUE"""),0.6041666666678793)</f>
        <v>0.6041666667</v>
      </c>
      <c r="J523" s="16">
        <f>IFERROR(__xludf.DUMMYFUNCTION("""COMPUTED_VALUE"""),43999.70486111111)</f>
        <v>43999.70486</v>
      </c>
      <c r="K523" t="str">
        <f>IFERROR(__xludf.DUMMYFUNCTION("""COMPUTED_VALUE"""),"F 20ft Sea Ark (Easy 200) FL8534PY DEP21451")</f>
        <v>F 20ft Sea Ark (Easy 200) FL8534PY DEP21451</v>
      </c>
      <c r="M523" t="str">
        <f>IFERROR(__xludf.DUMMYFUNCTION("""COMPUTED_VALUE"""),"Ford F250 2017 (Moby Dix) - DEP0021578")</f>
        <v>Ford F250 2017 (Moby Dix) - DEP0021578</v>
      </c>
      <c r="N523" t="str">
        <f>IFERROR(__xludf.DUMMYFUNCTION("""COMPUTED_VALUE"""),"Shannon Dunnigan, (803) 727-5734, Silas Tanner, (904) 483-8423")</f>
        <v>Shannon Dunnigan, (803) 727-5734, Silas Tanner, (904) 483-8423</v>
      </c>
      <c r="P523" t="str">
        <f>IFERROR(__xludf.DUMMYFUNCTION("""COMPUTED_VALUE"""),"S. Tanner")</f>
        <v>S. Tanner</v>
      </c>
      <c r="Q523" t="str">
        <f>IFERROR(__xludf.DUMMYFUNCTION("""COMPUTED_VALUE"""),"All items in working order")</f>
        <v>All items in working order</v>
      </c>
      <c r="AE523" s="11"/>
      <c r="AF523" t="s">
        <v>218</v>
      </c>
      <c r="AG523" s="18"/>
    </row>
    <row r="524">
      <c r="A524" s="10">
        <f>IFERROR(__xludf.DUMMYFUNCTION("""COMPUTED_VALUE"""),43999.302523831015)</f>
        <v>43999.30252</v>
      </c>
      <c r="B524" s="11" t="str">
        <f>IFERROR(__xludf.DUMMYFUNCTION("""COMPUTED_VALUE"""),"Jessica Lee")</f>
        <v>Jessica Lee</v>
      </c>
      <c r="C524" t="str">
        <f>IFERROR(__xludf.DUMMYFUNCTION("""COMPUTED_VALUE"""),"jessica.lee@floridadep.com")</f>
        <v>jessica.lee@floridadep.com</v>
      </c>
      <c r="D524" t="str">
        <f>IFERROR(__xludf.DUMMYFUNCTION("""COMPUTED_VALUE"""),"Research/Shannon")</f>
        <v>Research/Shannon</v>
      </c>
      <c r="E524" t="str">
        <f>IFERROR(__xludf.DUMMYFUNCTION("""COMPUTED_VALUE"""),"Guana")</f>
        <v>Guana</v>
      </c>
      <c r="F524" s="13">
        <f>IFERROR(__xludf.DUMMYFUNCTION("""COMPUTED_VALUE"""),0.3020833333321207)</f>
        <v>0.3020833333</v>
      </c>
      <c r="G524" s="14">
        <f>IFERROR(__xludf.DUMMYFUNCTION("""COMPUTED_VALUE"""),43999.0)</f>
        <v>43999</v>
      </c>
      <c r="H524" t="str">
        <f>IFERROR(__xludf.DUMMYFUNCTION("""COMPUTED_VALUE"""),"Guana River")</f>
        <v>Guana River</v>
      </c>
      <c r="I524" s="15">
        <f>IFERROR(__xludf.DUMMYFUNCTION("""COMPUTED_VALUE"""),0.375)</f>
        <v>0.375</v>
      </c>
      <c r="J524" s="16">
        <f>IFERROR(__xludf.DUMMYFUNCTION("""COMPUTED_VALUE"""),43999.38541666667)</f>
        <v>43999.38542</v>
      </c>
      <c r="K524" t="str">
        <f>IFERROR(__xludf.DUMMYFUNCTION("""COMPUTED_VALUE"""),"Jon Boat FL0484NP DEP06819")</f>
        <v>Jon Boat FL0484NP DEP06819</v>
      </c>
      <c r="M524" t="str">
        <f>IFERROR(__xludf.DUMMYFUNCTION("""COMPUTED_VALUE"""),"Topper")</f>
        <v>Topper</v>
      </c>
      <c r="N524" t="str">
        <f>IFERROR(__xludf.DUMMYFUNCTION("""COMPUTED_VALUE"""),"Nikki Dix, (352) 219-4079")</f>
        <v>Nikki Dix, (352) 219-4079</v>
      </c>
      <c r="P524" t="str">
        <f>IFERROR(__xludf.DUMMYFUNCTION("""COMPUTED_VALUE"""),"Nikki")</f>
        <v>Nikki</v>
      </c>
      <c r="Q524" t="str">
        <f>IFERROR(__xludf.DUMMYFUNCTION("""COMPUTED_VALUE"""),"All items in working order")</f>
        <v>All items in working order</v>
      </c>
      <c r="AE524" s="11"/>
      <c r="AF524" t="s">
        <v>269</v>
      </c>
      <c r="AG524" s="18"/>
    </row>
    <row r="525">
      <c r="A525" s="10">
        <f>IFERROR(__xludf.DUMMYFUNCTION("""COMPUTED_VALUE"""),43999.43311388889)</f>
        <v>43999.43311</v>
      </c>
      <c r="B525" s="11" t="str">
        <f>IFERROR(__xludf.DUMMYFUNCTION("""COMPUTED_VALUE"""),"Pam Marcum")</f>
        <v>Pam Marcum</v>
      </c>
      <c r="C525" t="str">
        <f>IFERROR(__xludf.DUMMYFUNCTION("""COMPUTED_VALUE"""),"pamela.marcum@floridadep.gov")</f>
        <v>pamela.marcum@floridadep.gov</v>
      </c>
      <c r="D525" t="str">
        <f>IFERROR(__xludf.DUMMYFUNCTION("""COMPUTED_VALUE"""),"Research/Nikki")</f>
        <v>Research/Nikki</v>
      </c>
      <c r="E525" t="str">
        <f>IFERROR(__xludf.DUMMYFUNCTION("""COMPUTED_VALUE"""),"Faver-dykes")</f>
        <v>Faver-dykes</v>
      </c>
      <c r="F525" s="13">
        <f>IFERROR(__xludf.DUMMYFUNCTION("""COMPUTED_VALUE"""),0.4270833333321207)</f>
        <v>0.4270833333</v>
      </c>
      <c r="G525" s="14">
        <f>IFERROR(__xludf.DUMMYFUNCTION("""COMPUTED_VALUE"""),43999.0)</f>
        <v>43999</v>
      </c>
      <c r="H525" t="str">
        <f>IFERROR(__xludf.DUMMYFUNCTION("""COMPUTED_VALUE"""),"Upper PC transect")</f>
        <v>Upper PC transect</v>
      </c>
      <c r="I525" s="15">
        <f>IFERROR(__xludf.DUMMYFUNCTION("""COMPUTED_VALUE"""),0.5416666666678793)</f>
        <v>0.5416666667</v>
      </c>
      <c r="J525" s="16">
        <f>IFERROR(__xludf.DUMMYFUNCTION("""COMPUTED_VALUE"""),43999.54166666667)</f>
        <v>43999.54167</v>
      </c>
      <c r="K525" t="str">
        <f>IFERROR(__xludf.DUMMYFUNCTION("""COMPUTED_VALUE"""),"20ft Sea Ark FL5351SJ UNF 2015")</f>
        <v>20ft Sea Ark FL5351SJ UNF 2015</v>
      </c>
      <c r="M525" t="str">
        <f>IFERROR(__xludf.DUMMYFUNCTION("""COMPUTED_VALUE"""),"Ford F150 2015 (White) - DEP21448")</f>
        <v>Ford F150 2015 (White) - DEP21448</v>
      </c>
      <c r="N525" t="str">
        <f>IFERROR(__xludf.DUMMYFUNCTION("""COMPUTED_VALUE"""),"Pam Marcum, (480) 332-5414")</f>
        <v>Pam Marcum, (480) 332-5414</v>
      </c>
      <c r="O525" t="str">
        <f>IFERROR(__xludf.DUMMYFUNCTION("""COMPUTED_VALUE"""),"Erick Rivuelta")</f>
        <v>Erick Rivuelta</v>
      </c>
      <c r="P525" t="str">
        <f>IFERROR(__xludf.DUMMYFUNCTION("""COMPUTED_VALUE"""),"Pam")</f>
        <v>Pam</v>
      </c>
      <c r="Q525" t="str">
        <f>IFERROR(__xludf.DUMMYFUNCTION("""COMPUTED_VALUE"""),"All items in working order")</f>
        <v>All items in working order</v>
      </c>
      <c r="AE525" s="11"/>
      <c r="AF525" t="s">
        <v>218</v>
      </c>
      <c r="AG525" s="18"/>
    </row>
    <row r="526">
      <c r="A526" s="10">
        <f>IFERROR(__xludf.DUMMYFUNCTION("""COMPUTED_VALUE"""),43999.636287326386)</f>
        <v>43999.63629</v>
      </c>
      <c r="B526" s="11" t="str">
        <f>IFERROR(__xludf.DUMMYFUNCTION("""COMPUTED_VALUE"""),"Pam Marcum")</f>
        <v>Pam Marcum</v>
      </c>
      <c r="C526" t="str">
        <f>IFERROR(__xludf.DUMMYFUNCTION("""COMPUTED_VALUE"""),"pamela.marcum@floridadep.gov")</f>
        <v>pamela.marcum@floridadep.gov</v>
      </c>
      <c r="D526" t="str">
        <f>IFERROR(__xludf.DUMMYFUNCTION("""COMPUTED_VALUE"""),"Research/Nikki")</f>
        <v>Research/Nikki</v>
      </c>
      <c r="E526" t="str">
        <f>IFERROR(__xludf.DUMMYFUNCTION("""COMPUTED_VALUE"""),"Faver dykes")</f>
        <v>Faver dykes</v>
      </c>
      <c r="F526" s="13">
        <f>IFERROR(__xludf.DUMMYFUNCTION("""COMPUTED_VALUE"""),0.6354166666678793)</f>
        <v>0.6354166667</v>
      </c>
      <c r="G526" s="14">
        <f>IFERROR(__xludf.DUMMYFUNCTION("""COMPUTED_VALUE"""),43999.0)</f>
        <v>43999</v>
      </c>
      <c r="H526" t="str">
        <f>IFERROR(__xludf.DUMMYFUNCTION("""COMPUTED_VALUE"""),"Pc middle transect")</f>
        <v>Pc middle transect</v>
      </c>
      <c r="I526" s="15">
        <f>IFERROR(__xludf.DUMMYFUNCTION("""COMPUTED_VALUE"""),0.7916666666678793)</f>
        <v>0.7916666667</v>
      </c>
      <c r="J526" s="16">
        <f>IFERROR(__xludf.DUMMYFUNCTION("""COMPUTED_VALUE"""),43999.83333333333)</f>
        <v>43999.83333</v>
      </c>
      <c r="K526" t="str">
        <f>IFERROR(__xludf.DUMMYFUNCTION("""COMPUTED_VALUE"""),"20ft Sea Ark FL5351SJ UNF 2015")</f>
        <v>20ft Sea Ark FL5351SJ UNF 2015</v>
      </c>
      <c r="M526" t="str">
        <f>IFERROR(__xludf.DUMMYFUNCTION("""COMPUTED_VALUE"""),"Ford F150 2015 (White) - DEP21448")</f>
        <v>Ford F150 2015 (White) - DEP21448</v>
      </c>
      <c r="N526" t="str">
        <f>IFERROR(__xludf.DUMMYFUNCTION("""COMPUTED_VALUE"""),"Pam Marcum, (480) 332-5414")</f>
        <v>Pam Marcum, (480) 332-5414</v>
      </c>
      <c r="O526" t="str">
        <f>IFERROR(__xludf.DUMMYFUNCTION("""COMPUTED_VALUE"""),"Alee Knoell, (619) 750-4833")</f>
        <v>Alee Knoell, (619) 750-4833</v>
      </c>
      <c r="P526" t="str">
        <f>IFERROR(__xludf.DUMMYFUNCTION("""COMPUTED_VALUE"""),"Pam")</f>
        <v>Pam</v>
      </c>
      <c r="Q526" t="str">
        <f>IFERROR(__xludf.DUMMYFUNCTION("""COMPUTED_VALUE"""),"All items in working order")</f>
        <v>All items in working order</v>
      </c>
      <c r="AE526" s="11"/>
      <c r="AF526" t="s">
        <v>218</v>
      </c>
      <c r="AG526" s="18"/>
    </row>
    <row r="527">
      <c r="A527" s="10">
        <f>IFERROR(__xludf.DUMMYFUNCTION("""COMPUTED_VALUE"""),43999.87118260416)</f>
        <v>43999.87118</v>
      </c>
      <c r="B527" s="11" t="str">
        <f>IFERROR(__xludf.DUMMYFUNCTION("""COMPUTED_VALUE"""),"Jessica Lee")</f>
        <v>Jessica Lee</v>
      </c>
      <c r="C527" t="str">
        <f>IFERROR(__xludf.DUMMYFUNCTION("""COMPUTED_VALUE"""),"jessica.lee@floridadep.com")</f>
        <v>jessica.lee@floridadep.com</v>
      </c>
      <c r="D527" t="str">
        <f>IFERROR(__xludf.DUMMYFUNCTION("""COMPUTED_VALUE"""),"Research/Shannon")</f>
        <v>Research/Shannon</v>
      </c>
      <c r="E527" t="str">
        <f>IFERROR(__xludf.DUMMYFUNCTION("""COMPUTED_VALUE"""),"Guana")</f>
        <v>Guana</v>
      </c>
      <c r="F527" s="13">
        <f>IFERROR(__xludf.DUMMYFUNCTION("""COMPUTED_VALUE"""),0.3020833333321207)</f>
        <v>0.3020833333</v>
      </c>
      <c r="G527" s="14">
        <f>IFERROR(__xludf.DUMMYFUNCTION("""COMPUTED_VALUE"""),43999.0)</f>
        <v>43999</v>
      </c>
      <c r="H527" t="str">
        <f>IFERROR(__xludf.DUMMYFUNCTION("""COMPUTED_VALUE"""),"Guana River")</f>
        <v>Guana River</v>
      </c>
      <c r="I527" s="15">
        <f>IFERROR(__xludf.DUMMYFUNCTION("""COMPUTED_VALUE"""),0.375)</f>
        <v>0.375</v>
      </c>
      <c r="J527" s="16">
        <f>IFERROR(__xludf.DUMMYFUNCTION("""COMPUTED_VALUE"""),43999.38541666667)</f>
        <v>43999.38542</v>
      </c>
      <c r="K527" t="str">
        <f>IFERROR(__xludf.DUMMYFUNCTION("""COMPUTED_VALUE"""),"Jon Boat FL0484NP DEP06819")</f>
        <v>Jon Boat FL0484NP DEP06819</v>
      </c>
      <c r="M527" t="str">
        <f>IFERROR(__xludf.DUMMYFUNCTION("""COMPUTED_VALUE"""),"Topper")</f>
        <v>Topper</v>
      </c>
      <c r="N527" t="str">
        <f>IFERROR(__xludf.DUMMYFUNCTION("""COMPUTED_VALUE"""),"Nikki Dix, (352) 219-4079")</f>
        <v>Nikki Dix, (352) 219-4079</v>
      </c>
      <c r="P527" t="str">
        <f>IFERROR(__xludf.DUMMYFUNCTION("""COMPUTED_VALUE"""),"Nikki")</f>
        <v>Nikki</v>
      </c>
      <c r="Q527" t="str">
        <f>IFERROR(__xludf.DUMMYFUNCTION("""COMPUTED_VALUE"""),"All items in working order")</f>
        <v>All items in working order</v>
      </c>
      <c r="AE527" s="11"/>
      <c r="AF527" t="s">
        <v>269</v>
      </c>
      <c r="AG527" s="18"/>
    </row>
    <row r="528">
      <c r="A528" s="10">
        <f>IFERROR(__xludf.DUMMYFUNCTION("""COMPUTED_VALUE"""),44000.40358172454)</f>
        <v>44000.40358</v>
      </c>
      <c r="B528" s="11" t="str">
        <f>IFERROR(__xludf.DUMMYFUNCTION("""COMPUTED_VALUE"""),"Pam Marcum")</f>
        <v>Pam Marcum</v>
      </c>
      <c r="C528" t="str">
        <f>IFERROR(__xludf.DUMMYFUNCTION("""COMPUTED_VALUE"""),"pamela.Marcum@floridadep.gov")</f>
        <v>pamela.Marcum@floridadep.gov</v>
      </c>
      <c r="D528" t="str">
        <f>IFERROR(__xludf.DUMMYFUNCTION("""COMPUTED_VALUE"""),"Research/Nikki")</f>
        <v>Research/Nikki</v>
      </c>
      <c r="E528" t="str">
        <f>IFERROR(__xludf.DUMMYFUNCTION("""COMPUTED_VALUE"""),"Faver-Dykes")</f>
        <v>Faver-Dykes</v>
      </c>
      <c r="F528" s="13">
        <f>IFERROR(__xludf.DUMMYFUNCTION("""COMPUTED_VALUE"""),0.40277777777737356)</f>
        <v>0.4027777778</v>
      </c>
      <c r="G528" s="14">
        <f>IFERROR(__xludf.DUMMYFUNCTION("""COMPUTED_VALUE"""),44000.0)</f>
        <v>44000</v>
      </c>
      <c r="H528" t="str">
        <f>IFERROR(__xludf.DUMMYFUNCTION("""COMPUTED_VALUE"""),"Pellicer Creek ")</f>
        <v>Pellicer Creek </v>
      </c>
      <c r="I528" s="15">
        <f>IFERROR(__xludf.DUMMYFUNCTION("""COMPUTED_VALUE"""),0.7083333333321207)</f>
        <v>0.7083333333</v>
      </c>
      <c r="J528" s="16">
        <f>IFERROR(__xludf.DUMMYFUNCTION("""COMPUTED_VALUE"""),44000.75)</f>
        <v>44000.75</v>
      </c>
      <c r="K528" t="str">
        <f>IFERROR(__xludf.DUMMYFUNCTION("""COMPUTED_VALUE"""),"20ft Sea Ark FL5351SJ UNF 2015")</f>
        <v>20ft Sea Ark FL5351SJ UNF 2015</v>
      </c>
      <c r="M528" t="str">
        <f>IFERROR(__xludf.DUMMYFUNCTION("""COMPUTED_VALUE"""),"Ford F150 2015 (White) - DEP21448")</f>
        <v>Ford F150 2015 (White) - DEP21448</v>
      </c>
      <c r="N528" t="str">
        <f>IFERROR(__xludf.DUMMYFUNCTION("""COMPUTED_VALUE"""),"Pam Marcum, (480) 332-5414")</f>
        <v>Pam Marcum, (480) 332-5414</v>
      </c>
      <c r="O528" t="str">
        <f>IFERROR(__xludf.DUMMYFUNCTION("""COMPUTED_VALUE"""),"Alee Knoell, (619) 750-4833")</f>
        <v>Alee Knoell, (619) 750-4833</v>
      </c>
      <c r="P528" t="str">
        <f>IFERROR(__xludf.DUMMYFUNCTION("""COMPUTED_VALUE"""),"Pam")</f>
        <v>Pam</v>
      </c>
      <c r="Q528" t="str">
        <f>IFERROR(__xludf.DUMMYFUNCTION("""COMPUTED_VALUE"""),"All items in working order")</f>
        <v>All items in working order</v>
      </c>
      <c r="AE528" s="11"/>
      <c r="AF528" t="s">
        <v>218</v>
      </c>
      <c r="AG528" s="18"/>
    </row>
    <row r="529">
      <c r="A529" s="10">
        <f>IFERROR(__xludf.DUMMYFUNCTION("""COMPUTED_VALUE"""),44007.33195319445)</f>
        <v>44007.33195</v>
      </c>
      <c r="B529" s="11" t="str">
        <f>IFERROR(__xludf.DUMMYFUNCTION("""COMPUTED_VALUE"""),"Pam Marcum")</f>
        <v>Pam Marcum</v>
      </c>
      <c r="C529" t="str">
        <f>IFERROR(__xludf.DUMMYFUNCTION("""COMPUTED_VALUE"""),"pamela.marcum@floridadep.gov")</f>
        <v>pamela.marcum@floridadep.gov</v>
      </c>
      <c r="D529" t="str">
        <f>IFERROR(__xludf.DUMMYFUNCTION("""COMPUTED_VALUE"""),"Research/Nikki")</f>
        <v>Research/Nikki</v>
      </c>
      <c r="E529" t="str">
        <f>IFERROR(__xludf.DUMMYFUNCTION("""COMPUTED_VALUE"""),"Bing's")</f>
        <v>Bing's</v>
      </c>
      <c r="F529" s="13">
        <f>IFERROR(__xludf.DUMMYFUNCTION("""COMPUTED_VALUE"""),0.3333333333321207)</f>
        <v>0.3333333333</v>
      </c>
      <c r="G529" s="14">
        <f>IFERROR(__xludf.DUMMYFUNCTION("""COMPUTED_VALUE"""),44007.0)</f>
        <v>44007</v>
      </c>
      <c r="H529" t="str">
        <f>IFERROR(__xludf.DUMMYFUNCTION("""COMPUTED_VALUE"""),"Wash oaks platforms")</f>
        <v>Wash oaks platforms</v>
      </c>
      <c r="I529" s="15">
        <f>IFERROR(__xludf.DUMMYFUNCTION("""COMPUTED_VALUE"""),0.5416666666678793)</f>
        <v>0.5416666667</v>
      </c>
      <c r="J529" s="16">
        <f>IFERROR(__xludf.DUMMYFUNCTION("""COMPUTED_VALUE"""),44007.58333333333)</f>
        <v>44007.58333</v>
      </c>
      <c r="K529" t="str">
        <f>IFERROR(__xludf.DUMMYFUNCTION("""COMPUTED_VALUE"""),"20ft Sea Ark FL5351SJ UNF 2015")</f>
        <v>20ft Sea Ark FL5351SJ UNF 2015</v>
      </c>
      <c r="M529" t="str">
        <f>IFERROR(__xludf.DUMMYFUNCTION("""COMPUTED_VALUE"""),"Ford F150 2015 (White) - DEP21448")</f>
        <v>Ford F150 2015 (White) - DEP21448</v>
      </c>
      <c r="N529" t="str">
        <f>IFERROR(__xludf.DUMMYFUNCTION("""COMPUTED_VALUE"""),"Pam Marcum, (480) 332-5414")</f>
        <v>Pam Marcum, (480) 332-5414</v>
      </c>
      <c r="O529" t="str">
        <f>IFERROR(__xludf.DUMMYFUNCTION("""COMPUTED_VALUE"""),"Remo Mondazzi")</f>
        <v>Remo Mondazzi</v>
      </c>
      <c r="P529" t="str">
        <f>IFERROR(__xludf.DUMMYFUNCTION("""COMPUTED_VALUE"""),"Pam")</f>
        <v>Pam</v>
      </c>
      <c r="Q529" t="str">
        <f>IFERROR(__xludf.DUMMYFUNCTION("""COMPUTED_VALUE"""),"All items in working order")</f>
        <v>All items in working order</v>
      </c>
      <c r="AE529" s="11"/>
      <c r="AF529" t="s">
        <v>218</v>
      </c>
      <c r="AG529" s="18"/>
    </row>
    <row r="530">
      <c r="A530" s="10">
        <f>IFERROR(__xludf.DUMMYFUNCTION("""COMPUTED_VALUE"""),44012.372097106476)</f>
        <v>44012.3721</v>
      </c>
      <c r="B530" s="11" t="str">
        <f>IFERROR(__xludf.DUMMYFUNCTION("""COMPUTED_VALUE"""),"Pam Marcum")</f>
        <v>Pam Marcum</v>
      </c>
      <c r="C530" t="str">
        <f>IFERROR(__xludf.DUMMYFUNCTION("""COMPUTED_VALUE"""),"pamela.marcum@floridadep.gov")</f>
        <v>pamela.marcum@floridadep.gov</v>
      </c>
      <c r="D530" t="str">
        <f>IFERROR(__xludf.DUMMYFUNCTION("""COMPUTED_VALUE"""),"Research/Nikki")</f>
        <v>Research/Nikki</v>
      </c>
      <c r="E530" t="str">
        <f>IFERROR(__xludf.DUMMYFUNCTION("""COMPUTED_VALUE"""),"Aunt kates")</f>
        <v>Aunt kates</v>
      </c>
      <c r="F530" s="13">
        <f>IFERROR(__xludf.DUMMYFUNCTION("""COMPUTED_VALUE"""),0.375)</f>
        <v>0.375</v>
      </c>
      <c r="G530" s="14">
        <f>IFERROR(__xludf.DUMMYFUNCTION("""COMPUTED_VALUE"""),44012.0)</f>
        <v>44012</v>
      </c>
      <c r="H530" t="str">
        <f>IFERROR(__xludf.DUMMYFUNCTION("""COMPUTED_VALUE"""),"Pine island, hat island")</f>
        <v>Pine island, hat island</v>
      </c>
      <c r="I530" s="15">
        <f>IFERROR(__xludf.DUMMYFUNCTION("""COMPUTED_VALUE"""),0.5)</f>
        <v>0.5</v>
      </c>
      <c r="J530" s="16">
        <f>IFERROR(__xludf.DUMMYFUNCTION("""COMPUTED_VALUE"""),44012.52083333333)</f>
        <v>44012.52083</v>
      </c>
      <c r="K530" t="str">
        <f>IFERROR(__xludf.DUMMYFUNCTION("""COMPUTED_VALUE"""),"20ft Sea Ark FL5351SJ UNF 2015")</f>
        <v>20ft Sea Ark FL5351SJ UNF 2015</v>
      </c>
      <c r="M530" t="str">
        <f>IFERROR(__xludf.DUMMYFUNCTION("""COMPUTED_VALUE"""),"Ford F150 2015 (White) - DEP21448")</f>
        <v>Ford F150 2015 (White) - DEP21448</v>
      </c>
      <c r="N530" t="str">
        <f>IFERROR(__xludf.DUMMYFUNCTION("""COMPUTED_VALUE"""),"Pam Marcum, (480) 332-5414")</f>
        <v>Pam Marcum, (480) 332-5414</v>
      </c>
      <c r="O530" t="str">
        <f>IFERROR(__xludf.DUMMYFUNCTION("""COMPUTED_VALUE"""),"Alee Knoell, (619) 750-4833")</f>
        <v>Alee Knoell, (619) 750-4833</v>
      </c>
      <c r="P530" t="str">
        <f>IFERROR(__xludf.DUMMYFUNCTION("""COMPUTED_VALUE"""),"Pam")</f>
        <v>Pam</v>
      </c>
      <c r="Q530" t="str">
        <f>IFERROR(__xludf.DUMMYFUNCTION("""COMPUTED_VALUE"""),"All items in working order")</f>
        <v>All items in working order</v>
      </c>
      <c r="AE530" s="11"/>
      <c r="AF530" t="s">
        <v>218</v>
      </c>
      <c r="AG530" s="18"/>
    </row>
    <row r="531">
      <c r="A531" s="10">
        <f>IFERROR(__xludf.DUMMYFUNCTION("""COMPUTED_VALUE"""),44013.38215923611)</f>
        <v>44013.38216</v>
      </c>
      <c r="B531" s="11" t="str">
        <f>IFERROR(__xludf.DUMMYFUNCTION("""COMPUTED_VALUE"""),"Pam Marcum")</f>
        <v>Pam Marcum</v>
      </c>
      <c r="C531" t="str">
        <f>IFERROR(__xludf.DUMMYFUNCTION("""COMPUTED_VALUE"""),"pamela.marcum@floridadep.gov")</f>
        <v>pamela.marcum@floridadep.gov</v>
      </c>
      <c r="D531" t="str">
        <f>IFERROR(__xludf.DUMMYFUNCTION("""COMPUTED_VALUE"""),"Research/Nikki")</f>
        <v>Research/Nikki</v>
      </c>
      <c r="E531" t="str">
        <f>IFERROR(__xludf.DUMMYFUNCTION("""COMPUTED_VALUE"""),"Aunt kates")</f>
        <v>Aunt kates</v>
      </c>
      <c r="F531" s="13">
        <f>IFERROR(__xludf.DUMMYFUNCTION("""COMPUTED_VALUE"""),0.3854166666678793)</f>
        <v>0.3854166667</v>
      </c>
      <c r="G531" s="14">
        <f>IFERROR(__xludf.DUMMYFUNCTION("""COMPUTED_VALUE"""),44013.0)</f>
        <v>44013</v>
      </c>
      <c r="H531" t="str">
        <f>IFERROR(__xludf.DUMMYFUNCTION("""COMPUTED_VALUE"""),"Spat run Sr-SA-FM-TR-GR")</f>
        <v>Spat run Sr-SA-FM-TR-GR</v>
      </c>
      <c r="I531" s="15">
        <f>IFERROR(__xludf.DUMMYFUNCTION("""COMPUTED_VALUE"""),0.6666666666678793)</f>
        <v>0.6666666667</v>
      </c>
      <c r="J531" s="16">
        <f>IFERROR(__xludf.DUMMYFUNCTION("""COMPUTED_VALUE"""),44013.6875)</f>
        <v>44013.6875</v>
      </c>
      <c r="K531" t="str">
        <f>IFERROR(__xludf.DUMMYFUNCTION("""COMPUTED_VALUE"""),"20ft Sea Ark FL5351SJ UNF 2015")</f>
        <v>20ft Sea Ark FL5351SJ UNF 2015</v>
      </c>
      <c r="M531" t="str">
        <f>IFERROR(__xludf.DUMMYFUNCTION("""COMPUTED_VALUE"""),"Ford F150 2015 (White) - DEP21448")</f>
        <v>Ford F150 2015 (White) - DEP21448</v>
      </c>
      <c r="N531" t="str">
        <f>IFERROR(__xludf.DUMMYFUNCTION("""COMPUTED_VALUE"""),"Pam Marcum, (480) 332-5414")</f>
        <v>Pam Marcum, (480) 332-5414</v>
      </c>
      <c r="O531" t="str">
        <f>IFERROR(__xludf.DUMMYFUNCTION("""COMPUTED_VALUE"""),"Alee Knoell, (619) 750-4833")</f>
        <v>Alee Knoell, (619) 750-4833</v>
      </c>
      <c r="P531" t="str">
        <f>IFERROR(__xludf.DUMMYFUNCTION("""COMPUTED_VALUE"""),"Pam")</f>
        <v>Pam</v>
      </c>
      <c r="Q531" t="str">
        <f>IFERROR(__xludf.DUMMYFUNCTION("""COMPUTED_VALUE"""),"All items in working order")</f>
        <v>All items in working order</v>
      </c>
      <c r="AE531" s="11"/>
      <c r="AF531" t="s">
        <v>218</v>
      </c>
      <c r="AG531" s="18"/>
    </row>
    <row r="532">
      <c r="A532" s="10">
        <f>IFERROR(__xludf.DUMMYFUNCTION("""COMPUTED_VALUE"""),44014.327094039356)</f>
        <v>44014.32709</v>
      </c>
      <c r="B532" s="11" t="str">
        <f>IFERROR(__xludf.DUMMYFUNCTION("""COMPUTED_VALUE"""),"Pam Marcum")</f>
        <v>Pam Marcum</v>
      </c>
      <c r="C532" t="str">
        <f>IFERROR(__xludf.DUMMYFUNCTION("""COMPUTED_VALUE"""),"pamela.marcum@floridadep.gov")</f>
        <v>pamela.marcum@floridadep.gov</v>
      </c>
      <c r="D532" t="str">
        <f>IFERROR(__xludf.DUMMYFUNCTION("""COMPUTED_VALUE"""),"Research/Nikki")</f>
        <v>Research/Nikki</v>
      </c>
      <c r="E532" t="str">
        <f>IFERROR(__xludf.DUMMYFUNCTION("""COMPUTED_VALUE"""),"Bings")</f>
        <v>Bings</v>
      </c>
      <c r="F532" s="13">
        <f>IFERROR(__xludf.DUMMYFUNCTION("""COMPUTED_VALUE"""),0.3125)</f>
        <v>0.3125</v>
      </c>
      <c r="G532" s="14">
        <f>IFERROR(__xludf.DUMMYFUNCTION("""COMPUTED_VALUE"""),44014.0)</f>
        <v>44014</v>
      </c>
      <c r="H532" t="str">
        <f>IFERROR(__xludf.DUMMYFUNCTION("""COMPUTED_VALUE"""),"Washington oaks platform")</f>
        <v>Washington oaks platform</v>
      </c>
      <c r="I532" s="15">
        <f>IFERROR(__xludf.DUMMYFUNCTION("""COMPUTED_VALUE"""),0.5)</f>
        <v>0.5</v>
      </c>
      <c r="J532" s="16">
        <f>IFERROR(__xludf.DUMMYFUNCTION("""COMPUTED_VALUE"""),44014.58333333333)</f>
        <v>44014.58333</v>
      </c>
      <c r="K532" t="str">
        <f>IFERROR(__xludf.DUMMYFUNCTION("""COMPUTED_VALUE"""),"20ft Sea Ark FL5351SJ UNF 2015")</f>
        <v>20ft Sea Ark FL5351SJ UNF 2015</v>
      </c>
      <c r="M532" t="str">
        <f>IFERROR(__xludf.DUMMYFUNCTION("""COMPUTED_VALUE"""),"Ford F150 2015 (White) - DEP21448")</f>
        <v>Ford F150 2015 (White) - DEP21448</v>
      </c>
      <c r="N532" t="str">
        <f>IFERROR(__xludf.DUMMYFUNCTION("""COMPUTED_VALUE"""),"Pam Marcum, (480) 332-5414")</f>
        <v>Pam Marcum, (480) 332-5414</v>
      </c>
      <c r="O532" t="str">
        <f>IFERROR(__xludf.DUMMYFUNCTION("""COMPUTED_VALUE"""),"Alee Knoell, (619) 750-4833")</f>
        <v>Alee Knoell, (619) 750-4833</v>
      </c>
      <c r="P532" t="str">
        <f>IFERROR(__xludf.DUMMYFUNCTION("""COMPUTED_VALUE"""),"Pam")</f>
        <v>Pam</v>
      </c>
      <c r="Q532" t="str">
        <f>IFERROR(__xludf.DUMMYFUNCTION("""COMPUTED_VALUE"""),"All items in working order")</f>
        <v>All items in working order</v>
      </c>
      <c r="AE532" s="11"/>
      <c r="AF532" t="s">
        <v>218</v>
      </c>
      <c r="AG532" s="18"/>
    </row>
    <row r="533">
      <c r="A533" s="10">
        <f>IFERROR(__xludf.DUMMYFUNCTION("""COMPUTED_VALUE"""),44019.354679131946)</f>
        <v>44019.35468</v>
      </c>
      <c r="B533" s="11" t="str">
        <f>IFERROR(__xludf.DUMMYFUNCTION("""COMPUTED_VALUE"""),"Silas Tanner")</f>
        <v>Silas Tanner</v>
      </c>
      <c r="C533" t="str">
        <f>IFERROR(__xludf.DUMMYFUNCTION("""COMPUTED_VALUE"""),"silas.tanner@floridadep.gov")</f>
        <v>silas.tanner@floridadep.gov</v>
      </c>
      <c r="D533" t="str">
        <f>IFERROR(__xludf.DUMMYFUNCTION("""COMPUTED_VALUE"""),"Research/Nikki")</f>
        <v>Research/Nikki</v>
      </c>
      <c r="E533" t="str">
        <f>IFERROR(__xludf.DUMMYFUNCTION("""COMPUTED_VALUE"""),"Vilano Landing")</f>
        <v>Vilano Landing</v>
      </c>
      <c r="F533" s="13">
        <f>IFERROR(__xludf.DUMMYFUNCTION("""COMPUTED_VALUE"""),0.3958333333321207)</f>
        <v>0.3958333333</v>
      </c>
      <c r="G533" s="14">
        <f>IFERROR(__xludf.DUMMYFUNCTION("""COMPUTED_VALUE"""),44019.0)</f>
        <v>44019</v>
      </c>
      <c r="H533" t="str">
        <f>IFERROR(__xludf.DUMMYFUNCTION("""COMPUTED_VALUE"""),"ICW SWMP Sites")</f>
        <v>ICW SWMP Sites</v>
      </c>
      <c r="I533" s="15">
        <f>IFERROR(__xludf.DUMMYFUNCTION("""COMPUTED_VALUE"""),0.6041666666678793)</f>
        <v>0.6041666667</v>
      </c>
      <c r="J533" s="16">
        <f>IFERROR(__xludf.DUMMYFUNCTION("""COMPUTED_VALUE"""),44019.625)</f>
        <v>44019.625</v>
      </c>
      <c r="K533" t="str">
        <f>IFERROR(__xludf.DUMMYFUNCTION("""COMPUTED_VALUE"""),"20ft Sea Ark FL5351SJ UNF 2015")</f>
        <v>20ft Sea Ark FL5351SJ UNF 2015</v>
      </c>
      <c r="M533" t="str">
        <f>IFERROR(__xludf.DUMMYFUNCTION("""COMPUTED_VALUE"""),"Ford F250 2017 (Moby Dix) - DEP0021578")</f>
        <v>Ford F250 2017 (Moby Dix) - DEP0021578</v>
      </c>
      <c r="N533" t="str">
        <f>IFERROR(__xludf.DUMMYFUNCTION("""COMPUTED_VALUE"""),"Silas Tanner, (904) 483-8423")</f>
        <v>Silas Tanner, (904) 483-8423</v>
      </c>
      <c r="O533" t="str">
        <f>IFERROR(__xludf.DUMMYFUNCTION("""COMPUTED_VALUE"""),"Alee Knoell, (619) 750-4833")</f>
        <v>Alee Knoell, (619) 750-4833</v>
      </c>
      <c r="P533" t="str">
        <f>IFERROR(__xludf.DUMMYFUNCTION("""COMPUTED_VALUE"""),"Tanner")</f>
        <v>Tanner</v>
      </c>
      <c r="Q533" t="str">
        <f>IFERROR(__xludf.DUMMYFUNCTION("""COMPUTED_VALUE"""),"All items in working order")</f>
        <v>All items in working order</v>
      </c>
      <c r="AE533" s="11"/>
      <c r="AF533" t="s">
        <v>218</v>
      </c>
      <c r="AG533" s="18"/>
    </row>
    <row r="534">
      <c r="A534" s="10">
        <f>IFERROR(__xludf.DUMMYFUNCTION("""COMPUTED_VALUE"""),44026.33644688658)</f>
        <v>44026.33645</v>
      </c>
      <c r="B534" s="11" t="str">
        <f>IFERROR(__xludf.DUMMYFUNCTION("""COMPUTED_VALUE"""),"Pam Marcum")</f>
        <v>Pam Marcum</v>
      </c>
      <c r="C534" t="str">
        <f>IFERROR(__xludf.DUMMYFUNCTION("""COMPUTED_VALUE"""),"pamela.marcum@floridadep.gov")</f>
        <v>pamela.marcum@floridadep.gov</v>
      </c>
      <c r="D534" t="str">
        <f>IFERROR(__xludf.DUMMYFUNCTION("""COMPUTED_VALUE"""),"Research/Nikki")</f>
        <v>Research/Nikki</v>
      </c>
      <c r="E534" t="str">
        <f>IFERROR(__xludf.DUMMYFUNCTION("""COMPUTED_VALUE"""),"Butler")</f>
        <v>Butler</v>
      </c>
      <c r="F534" s="13">
        <f>IFERROR(__xludf.DUMMYFUNCTION("""COMPUTED_VALUE"""),0.3125)</f>
        <v>0.3125</v>
      </c>
      <c r="G534" s="14">
        <f>IFERROR(__xludf.DUMMYFUNCTION("""COMPUTED_VALUE"""),44026.0)</f>
        <v>44026</v>
      </c>
      <c r="H534" t="str">
        <f>IFERROR(__xludf.DUMMYFUNCTION("""COMPUTED_VALUE"""),"Moses Creek")</f>
        <v>Moses Creek</v>
      </c>
      <c r="I534" s="15">
        <f>IFERROR(__xludf.DUMMYFUNCTION("""COMPUTED_VALUE"""),0.5833333333321207)</f>
        <v>0.5833333333</v>
      </c>
      <c r="J534" s="16">
        <f>IFERROR(__xludf.DUMMYFUNCTION("""COMPUTED_VALUE"""),44026.625)</f>
        <v>44026.625</v>
      </c>
      <c r="K534" t="str">
        <f>IFERROR(__xludf.DUMMYFUNCTION("""COMPUTED_VALUE"""),"20ft Sea Ark FL5351SJ UNF 2015")</f>
        <v>20ft Sea Ark FL5351SJ UNF 2015</v>
      </c>
      <c r="M534" t="str">
        <f>IFERROR(__xludf.DUMMYFUNCTION("""COMPUTED_VALUE"""),"Ford F150 2015 (White) - DEP21448")</f>
        <v>Ford F150 2015 (White) - DEP21448</v>
      </c>
      <c r="N534" t="str">
        <f>IFERROR(__xludf.DUMMYFUNCTION("""COMPUTED_VALUE"""),"Pam Marcum, (480) 332-5414")</f>
        <v>Pam Marcum, (480) 332-5414</v>
      </c>
      <c r="O534" t="str">
        <f>IFERROR(__xludf.DUMMYFUNCTION("""COMPUTED_VALUE"""),"Alee Knoell, (619) 750-4833")</f>
        <v>Alee Knoell, (619) 750-4833</v>
      </c>
      <c r="P534" t="str">
        <f>IFERROR(__xludf.DUMMYFUNCTION("""COMPUTED_VALUE"""),"Pam")</f>
        <v>Pam</v>
      </c>
      <c r="Q534" t="str">
        <f>IFERROR(__xludf.DUMMYFUNCTION("""COMPUTED_VALUE"""),"All items in working order")</f>
        <v>All items in working order</v>
      </c>
      <c r="AE534" s="11"/>
      <c r="AF534" t="s">
        <v>218</v>
      </c>
      <c r="AG534" s="18"/>
    </row>
    <row r="535">
      <c r="A535" s="10">
        <f>IFERROR(__xludf.DUMMYFUNCTION("""COMPUTED_VALUE"""),44027.26801913195)</f>
        <v>44027.26802</v>
      </c>
      <c r="B535" s="11" t="str">
        <f>IFERROR(__xludf.DUMMYFUNCTION("""COMPUTED_VALUE"""),"Jessica Lee")</f>
        <v>Jessica Lee</v>
      </c>
      <c r="C535" t="str">
        <f>IFERROR(__xludf.DUMMYFUNCTION("""COMPUTED_VALUE"""),"jessica.lee@floridadep.gov")</f>
        <v>jessica.lee@floridadep.gov</v>
      </c>
      <c r="D535" t="str">
        <f>IFERROR(__xludf.DUMMYFUNCTION("""COMPUTED_VALUE"""),"Research/Nikki")</f>
        <v>Research/Nikki</v>
      </c>
      <c r="E535" t="str">
        <f>IFERROR(__xludf.DUMMYFUNCTION("""COMPUTED_VALUE"""),"Guana River")</f>
        <v>Guana River</v>
      </c>
      <c r="F535" s="13">
        <f>IFERROR(__xludf.DUMMYFUNCTION("""COMPUTED_VALUE"""),0.2708333333321207)</f>
        <v>0.2708333333</v>
      </c>
      <c r="G535" s="14">
        <f>IFERROR(__xludf.DUMMYFUNCTION("""COMPUTED_VALUE"""),44027.0)</f>
        <v>44027</v>
      </c>
      <c r="H535" t="str">
        <f>IFERROR(__xludf.DUMMYFUNCTION("""COMPUTED_VALUE"""),"Guana River")</f>
        <v>Guana River</v>
      </c>
      <c r="I535" s="15">
        <f>IFERROR(__xludf.DUMMYFUNCTION("""COMPUTED_VALUE"""),0.3333333333321207)</f>
        <v>0.3333333333</v>
      </c>
      <c r="J535" s="16">
        <f>IFERROR(__xludf.DUMMYFUNCTION("""COMPUTED_VALUE"""),44027.34375)</f>
        <v>44027.34375</v>
      </c>
      <c r="K535" t="str">
        <f>IFERROR(__xludf.DUMMYFUNCTION("""COMPUTED_VALUE"""),"John boat FL5992rr")</f>
        <v>John boat FL5992rr</v>
      </c>
      <c r="M535" t="str">
        <f>IFERROR(__xludf.DUMMYFUNCTION("""COMPUTED_VALUE"""),"Ford F250 2017 (Moby Dix) - DEP0021578")</f>
        <v>Ford F250 2017 (Moby Dix) - DEP0021578</v>
      </c>
      <c r="N535" t="str">
        <f>IFERROR(__xludf.DUMMYFUNCTION("""COMPUTED_VALUE"""),"Shannon Dunnigan, (803) 727-5734")</f>
        <v>Shannon Dunnigan, (803) 727-5734</v>
      </c>
      <c r="P535" t="str">
        <f>IFERROR(__xludf.DUMMYFUNCTION("""COMPUTED_VALUE"""),"Jess")</f>
        <v>Jess</v>
      </c>
      <c r="Q535" t="str">
        <f>IFERROR(__xludf.DUMMYFUNCTION("""COMPUTED_VALUE"""),"All items in working order")</f>
        <v>All items in working order</v>
      </c>
      <c r="AE535" s="11"/>
      <c r="AF535" t="s">
        <v>218</v>
      </c>
      <c r="AG535" s="18"/>
    </row>
    <row r="536">
      <c r="A536" s="10">
        <f>IFERROR(__xludf.DUMMYFUNCTION("""COMPUTED_VALUE"""),44027.277418819445)</f>
        <v>44027.27742</v>
      </c>
      <c r="B536" s="11" t="str">
        <f>IFERROR(__xludf.DUMMYFUNCTION("""COMPUTED_VALUE"""),"Pam Marcum")</f>
        <v>Pam Marcum</v>
      </c>
      <c r="C536" t="str">
        <f>IFERROR(__xludf.DUMMYFUNCTION("""COMPUTED_VALUE"""),"pamela.marcum@floridadep.gov")</f>
        <v>pamela.marcum@floridadep.gov</v>
      </c>
      <c r="D536" t="str">
        <f>IFERROR(__xludf.DUMMYFUNCTION("""COMPUTED_VALUE"""),"Research/Nikki")</f>
        <v>Research/Nikki</v>
      </c>
      <c r="E536" t="str">
        <f>IFERROR(__xludf.DUMMYFUNCTION("""COMPUTED_VALUE"""),"Butler")</f>
        <v>Butler</v>
      </c>
      <c r="F536" s="13">
        <f>IFERROR(__xludf.DUMMYFUNCTION("""COMPUTED_VALUE"""),0.2708333333321207)</f>
        <v>0.2708333333</v>
      </c>
      <c r="G536" s="14">
        <f>IFERROR(__xludf.DUMMYFUNCTION("""COMPUTED_VALUE"""),44027.0)</f>
        <v>44027</v>
      </c>
      <c r="H536" t="str">
        <f>IFERROR(__xludf.DUMMYFUNCTION("""COMPUTED_VALUE"""),"Moses creek")</f>
        <v>Moses creek</v>
      </c>
      <c r="I536" s="15">
        <f>IFERROR(__xludf.DUMMYFUNCTION("""COMPUTED_VALUE"""),0.5833333333321207)</f>
        <v>0.5833333333</v>
      </c>
      <c r="J536" s="16">
        <f>IFERROR(__xludf.DUMMYFUNCTION("""COMPUTED_VALUE"""),44027.625)</f>
        <v>44027.625</v>
      </c>
      <c r="K536" t="str">
        <f>IFERROR(__xludf.DUMMYFUNCTION("""COMPUTED_VALUE"""),"20ft Sea Ark FL5351SJ UNF 2015")</f>
        <v>20ft Sea Ark FL5351SJ UNF 2015</v>
      </c>
      <c r="M536" t="str">
        <f>IFERROR(__xludf.DUMMYFUNCTION("""COMPUTED_VALUE"""),"Ford F150 2015 (White) - DEP21448")</f>
        <v>Ford F150 2015 (White) - DEP21448</v>
      </c>
      <c r="N536" t="str">
        <f>IFERROR(__xludf.DUMMYFUNCTION("""COMPUTED_VALUE"""),"Pam Marcum, (480) 332-5414")</f>
        <v>Pam Marcum, (480) 332-5414</v>
      </c>
      <c r="O536" t="str">
        <f>IFERROR(__xludf.DUMMYFUNCTION("""COMPUTED_VALUE"""),"Alee Knoell, (619) 750-4833")</f>
        <v>Alee Knoell, (619) 750-4833</v>
      </c>
      <c r="P536" t="str">
        <f>IFERROR(__xludf.DUMMYFUNCTION("""COMPUTED_VALUE"""),"Pam")</f>
        <v>Pam</v>
      </c>
      <c r="Q536" t="str">
        <f>IFERROR(__xludf.DUMMYFUNCTION("""COMPUTED_VALUE"""),"All items in working order")</f>
        <v>All items in working order</v>
      </c>
      <c r="AE536" s="11"/>
      <c r="AF536" t="s">
        <v>218</v>
      </c>
      <c r="AG536" s="18"/>
    </row>
    <row r="537">
      <c r="A537" s="10">
        <f>IFERROR(__xludf.DUMMYFUNCTION("""COMPUTED_VALUE"""),44027.77807590278)</f>
        <v>44027.77808</v>
      </c>
      <c r="B537" s="11" t="str">
        <f>IFERROR(__xludf.DUMMYFUNCTION("""COMPUTED_VALUE"""),"Jessica Lee")</f>
        <v>Jessica Lee</v>
      </c>
      <c r="C537" t="str">
        <f>IFERROR(__xludf.DUMMYFUNCTION("""COMPUTED_VALUE"""),"jessica.lee@floridadep.gov")</f>
        <v>jessica.lee@floridadep.gov</v>
      </c>
      <c r="D537" t="str">
        <f>IFERROR(__xludf.DUMMYFUNCTION("""COMPUTED_VALUE"""),"Research/Nikki")</f>
        <v>Research/Nikki</v>
      </c>
      <c r="E537" t="str">
        <f>IFERROR(__xludf.DUMMYFUNCTION("""COMPUTED_VALUE"""),"Guana River")</f>
        <v>Guana River</v>
      </c>
      <c r="F537" s="13">
        <f>IFERROR(__xludf.DUMMYFUNCTION("""COMPUTED_VALUE"""),0.2708333333321207)</f>
        <v>0.2708333333</v>
      </c>
      <c r="G537" s="14">
        <f>IFERROR(__xludf.DUMMYFUNCTION("""COMPUTED_VALUE"""),44027.0)</f>
        <v>44027</v>
      </c>
      <c r="H537" t="str">
        <f>IFERROR(__xludf.DUMMYFUNCTION("""COMPUTED_VALUE"""),"Guana River")</f>
        <v>Guana River</v>
      </c>
      <c r="I537" s="15">
        <f>IFERROR(__xludf.DUMMYFUNCTION("""COMPUTED_VALUE"""),0.3333333333321207)</f>
        <v>0.3333333333</v>
      </c>
      <c r="J537" s="16">
        <f>IFERROR(__xludf.DUMMYFUNCTION("""COMPUTED_VALUE"""),44027.34375)</f>
        <v>44027.34375</v>
      </c>
      <c r="K537" t="str">
        <f>IFERROR(__xludf.DUMMYFUNCTION("""COMPUTED_VALUE"""),"John boat FL5992rr")</f>
        <v>John boat FL5992rr</v>
      </c>
      <c r="M537" t="str">
        <f>IFERROR(__xludf.DUMMYFUNCTION("""COMPUTED_VALUE"""),"Ford F250 2017 (Moby Dix) - DEP0021578")</f>
        <v>Ford F250 2017 (Moby Dix) - DEP0021578</v>
      </c>
      <c r="N537" t="str">
        <f>IFERROR(__xludf.DUMMYFUNCTION("""COMPUTED_VALUE"""),"Shannon Dunnigan, (803) 727-5734")</f>
        <v>Shannon Dunnigan, (803) 727-5734</v>
      </c>
      <c r="P537" t="str">
        <f>IFERROR(__xludf.DUMMYFUNCTION("""COMPUTED_VALUE"""),"Jess")</f>
        <v>Jess</v>
      </c>
      <c r="Q537" t="str">
        <f>IFERROR(__xludf.DUMMYFUNCTION("""COMPUTED_VALUE"""),"All items in working order")</f>
        <v>All items in working order</v>
      </c>
      <c r="AE537" s="11"/>
      <c r="AF537" t="s">
        <v>218</v>
      </c>
      <c r="AG537" s="18"/>
    </row>
    <row r="538">
      <c r="A538" s="10">
        <f>IFERROR(__xludf.DUMMYFUNCTION("""COMPUTED_VALUE"""),44033.39924243056)</f>
        <v>44033.39924</v>
      </c>
      <c r="B538" s="11" t="str">
        <f>IFERROR(__xludf.DUMMYFUNCTION("""COMPUTED_VALUE"""),"Silas Tanner")</f>
        <v>Silas Tanner</v>
      </c>
      <c r="C538" t="str">
        <f>IFERROR(__xludf.DUMMYFUNCTION("""COMPUTED_VALUE"""),"silas.tanner@dep.state.fl.us")</f>
        <v>silas.tanner@dep.state.fl.us</v>
      </c>
      <c r="D538" t="str">
        <f>IFERROR(__xludf.DUMMYFUNCTION("""COMPUTED_VALUE"""),"Research/Pam")</f>
        <v>Research/Pam</v>
      </c>
      <c r="E538" t="str">
        <f>IFERROR(__xludf.DUMMYFUNCTION("""COMPUTED_VALUE"""),"Vilano Landing")</f>
        <v>Vilano Landing</v>
      </c>
      <c r="F538" s="13">
        <f>IFERROR(__xludf.DUMMYFUNCTION("""COMPUTED_VALUE"""),0.4131944444452529)</f>
        <v>0.4131944444</v>
      </c>
      <c r="G538" s="14">
        <f>IFERROR(__xludf.DUMMYFUNCTION("""COMPUTED_VALUE"""),44033.0)</f>
        <v>44033</v>
      </c>
      <c r="H538" t="str">
        <f>IFERROR(__xludf.DUMMYFUNCTION("""COMPUTED_VALUE"""),"ICW SWMP sites")</f>
        <v>ICW SWMP sites</v>
      </c>
      <c r="I538" s="15">
        <f>IFERROR(__xludf.DUMMYFUNCTION("""COMPUTED_VALUE"""),0.5833333333321207)</f>
        <v>0.5833333333</v>
      </c>
      <c r="J538" s="16">
        <f>IFERROR(__xludf.DUMMYFUNCTION("""COMPUTED_VALUE"""),44033.6875)</f>
        <v>44033.6875</v>
      </c>
      <c r="K538" t="str">
        <f>IFERROR(__xludf.DUMMYFUNCTION("""COMPUTED_VALUE"""),"23ft Skiff (Bertha) FL7972LJ DEP07613")</f>
        <v>23ft Skiff (Bertha) FL7972LJ DEP07613</v>
      </c>
      <c r="M538" t="str">
        <f>IFERROR(__xludf.DUMMYFUNCTION("""COMPUTED_VALUE"""),"Ford F250 2017 (Moby Dix) - DEP0021578")</f>
        <v>Ford F250 2017 (Moby Dix) - DEP0021578</v>
      </c>
      <c r="N538" t="str">
        <f>IFERROR(__xludf.DUMMYFUNCTION("""COMPUTED_VALUE"""),"Shannon Dunnigan, (803) 727-5734, Silas Tanner, (904) 483-8423")</f>
        <v>Shannon Dunnigan, (803) 727-5734, Silas Tanner, (904) 483-8423</v>
      </c>
      <c r="P538" t="str">
        <f>IFERROR(__xludf.DUMMYFUNCTION("""COMPUTED_VALUE"""),"Silas Tanner")</f>
        <v>Silas Tanner</v>
      </c>
      <c r="Q538" t="str">
        <f>IFERROR(__xludf.DUMMYFUNCTION("""COMPUTED_VALUE"""),"All items in working order")</f>
        <v>All items in working order</v>
      </c>
      <c r="AE538" s="11"/>
      <c r="AF538" t="s">
        <v>262</v>
      </c>
      <c r="AG538" s="18"/>
    </row>
    <row r="539">
      <c r="A539" s="10">
        <f>IFERROR(__xludf.DUMMYFUNCTION("""COMPUTED_VALUE"""),44034.5334864699)</f>
        <v>44034.53349</v>
      </c>
      <c r="B539" s="11" t="str">
        <f>IFERROR(__xludf.DUMMYFUNCTION("""COMPUTED_VALUE"""),"Pamela Marcum")</f>
        <v>Pamela Marcum</v>
      </c>
      <c r="C539" t="str">
        <f>IFERROR(__xludf.DUMMYFUNCTION("""COMPUTED_VALUE"""),"pamela.marcum@floridadep.gov")</f>
        <v>pamela.marcum@floridadep.gov</v>
      </c>
      <c r="D539" t="str">
        <f>IFERROR(__xludf.DUMMYFUNCTION("""COMPUTED_VALUE"""),"Research/Silas")</f>
        <v>Research/Silas</v>
      </c>
      <c r="E539" t="str">
        <f>IFERROR(__xludf.DUMMYFUNCTION("""COMPUTED_VALUE"""),"Usina")</f>
        <v>Usina</v>
      </c>
      <c r="F539" s="13">
        <f>IFERROR(__xludf.DUMMYFUNCTION("""COMPUTED_VALUE"""),0.5208333333321207)</f>
        <v>0.5208333333</v>
      </c>
      <c r="G539" s="14">
        <f>IFERROR(__xludf.DUMMYFUNCTION("""COMPUTED_VALUE"""),44034.0)</f>
        <v>44034</v>
      </c>
      <c r="H539" t="str">
        <f>IFERROR(__xludf.DUMMYFUNCTION("""COMPUTED_VALUE"""),"Hat island")</f>
        <v>Hat island</v>
      </c>
      <c r="I539" s="15">
        <f>IFERROR(__xludf.DUMMYFUNCTION("""COMPUTED_VALUE"""),0.5416666666678793)</f>
        <v>0.5416666667</v>
      </c>
      <c r="J539" s="16">
        <f>IFERROR(__xludf.DUMMYFUNCTION("""COMPUTED_VALUE"""),44034.5625)</f>
        <v>44034.5625</v>
      </c>
      <c r="K539" t="str">
        <f>IFERROR(__xludf.DUMMYFUNCTION("""COMPUTED_VALUE"""),"20ft Sea Ark FL5351SJ UNF 2015")</f>
        <v>20ft Sea Ark FL5351SJ UNF 2015</v>
      </c>
      <c r="M539" t="str">
        <f>IFERROR(__xludf.DUMMYFUNCTION("""COMPUTED_VALUE"""),"Ford F150 2015 (White) - DEP21448")</f>
        <v>Ford F150 2015 (White) - DEP21448</v>
      </c>
      <c r="N539" t="str">
        <f>IFERROR(__xludf.DUMMYFUNCTION("""COMPUTED_VALUE"""),"Pam Marcum, (480) 332-5414")</f>
        <v>Pam Marcum, (480) 332-5414</v>
      </c>
      <c r="O539" t="str">
        <f>IFERROR(__xludf.DUMMYFUNCTION("""COMPUTED_VALUE"""),"Alee Knoell, (619) 750-4833")</f>
        <v>Alee Knoell, (619) 750-4833</v>
      </c>
      <c r="P539" t="str">
        <f>IFERROR(__xludf.DUMMYFUNCTION("""COMPUTED_VALUE"""),"Pam")</f>
        <v>Pam</v>
      </c>
      <c r="Q539" t="str">
        <f>IFERROR(__xludf.DUMMYFUNCTION("""COMPUTED_VALUE"""),"All items in working order")</f>
        <v>All items in working order</v>
      </c>
      <c r="AE539" s="11"/>
      <c r="AF539" t="b">
        <v>0</v>
      </c>
      <c r="AG539" s="18"/>
    </row>
    <row r="540">
      <c r="A540" s="10">
        <f>IFERROR(__xludf.DUMMYFUNCTION("""COMPUTED_VALUE"""),44039.45566111111)</f>
        <v>44039.45566</v>
      </c>
      <c r="B540" s="11" t="str">
        <f>IFERROR(__xludf.DUMMYFUNCTION("""COMPUTED_VALUE"""),"Test")</f>
        <v>Test</v>
      </c>
      <c r="C540" t="str">
        <f>IFERROR(__xludf.DUMMYFUNCTION("""COMPUTED_VALUE"""),"pamela.marcum@floridadep.gov")</f>
        <v>pamela.marcum@floridadep.gov</v>
      </c>
      <c r="D540" t="str">
        <f>IFERROR(__xludf.DUMMYFUNCTION("""COMPUTED_VALUE"""),"Pam Marcum")</f>
        <v>Pam Marcum</v>
      </c>
      <c r="E540" t="str">
        <f>IFERROR(__xludf.DUMMYFUNCTION("""COMPUTED_VALUE"""),"Test")</f>
        <v>Test</v>
      </c>
      <c r="F540" s="13">
        <f>IFERROR(__xludf.DUMMYFUNCTION("""COMPUTED_VALUE"""),0.041666666667879326)</f>
        <v>0.04166666667</v>
      </c>
      <c r="G540" s="14">
        <f>IFERROR(__xludf.DUMMYFUNCTION("""COMPUTED_VALUE"""),44039.0)</f>
        <v>44039</v>
      </c>
      <c r="H540" t="str">
        <f>IFERROR(__xludf.DUMMYFUNCTION("""COMPUTED_VALUE"""),"Test")</f>
        <v>Test</v>
      </c>
      <c r="I540" s="15">
        <f>IFERROR(__xludf.DUMMYFUNCTION("""COMPUTED_VALUE"""),0.041666666667879326)</f>
        <v>0.04166666667</v>
      </c>
      <c r="J540" s="16">
        <f>IFERROR(__xludf.DUMMYFUNCTION("""COMPUTED_VALUE"""),44039.04166666667)</f>
        <v>44039.04167</v>
      </c>
      <c r="K540" t="str">
        <f>IFERROR(__xludf.DUMMYFUNCTION("""COMPUTED_VALUE"""),"Test")</f>
        <v>Test</v>
      </c>
      <c r="M540" t="str">
        <f>IFERROR(__xludf.DUMMYFUNCTION("""COMPUTED_VALUE"""),"Test")</f>
        <v>Test</v>
      </c>
      <c r="N540" t="str">
        <f>IFERROR(__xludf.DUMMYFUNCTION("""COMPUTED_VALUE"""),"Test")</f>
        <v>Test</v>
      </c>
      <c r="O540" t="str">
        <f>IFERROR(__xludf.DUMMYFUNCTION("""COMPUTED_VALUE"""),"Test")</f>
        <v>Test</v>
      </c>
      <c r="P540" t="str">
        <f>IFERROR(__xludf.DUMMYFUNCTION("""COMPUTED_VALUE"""),"Test")</f>
        <v>Test</v>
      </c>
      <c r="Q540" t="str">
        <f>IFERROR(__xludf.DUMMYFUNCTION("""COMPUTED_VALUE"""),"All items in working order")</f>
        <v>All items in working order</v>
      </c>
      <c r="AE540" s="11"/>
      <c r="AF540" t="b">
        <v>0</v>
      </c>
      <c r="AG540" s="18"/>
    </row>
    <row r="541">
      <c r="A541" s="10">
        <f>IFERROR(__xludf.DUMMYFUNCTION("""COMPUTED_VALUE"""),44040.40957599537)</f>
        <v>44040.40958</v>
      </c>
      <c r="B541" s="11" t="str">
        <f>IFERROR(__xludf.DUMMYFUNCTION("""COMPUTED_VALUE"""),"Alexandria Knoell")</f>
        <v>Alexandria Knoell</v>
      </c>
      <c r="C541" t="str">
        <f>IFERROR(__xludf.DUMMYFUNCTION("""COMPUTED_VALUE"""),"alee.knoell@floridadep.gov")</f>
        <v>alee.knoell@floridadep.gov</v>
      </c>
      <c r="D541" t="str">
        <f>IFERROR(__xludf.DUMMYFUNCTION("""COMPUTED_VALUE"""),"Shannon Dunnigan")</f>
        <v>Shannon Dunnigan</v>
      </c>
      <c r="E541" t="str">
        <f>IFERROR(__xludf.DUMMYFUNCTION("""COMPUTED_VALUE"""),"Butler")</f>
        <v>Butler</v>
      </c>
      <c r="F541" s="13">
        <f>IFERROR(__xludf.DUMMYFUNCTION("""COMPUTED_VALUE"""),0.3125)</f>
        <v>0.3125</v>
      </c>
      <c r="G541" s="14">
        <f>IFERROR(__xludf.DUMMYFUNCTION("""COMPUTED_VALUE"""),44040.0)</f>
        <v>44040</v>
      </c>
      <c r="H541" t="str">
        <f>IFERROR(__xludf.DUMMYFUNCTION("""COMPUTED_VALUE"""),"Moses platforms ")</f>
        <v>Moses platforms </v>
      </c>
      <c r="I541" s="15">
        <f>IFERROR(__xludf.DUMMYFUNCTION("""COMPUTED_VALUE"""),0.5833333333321207)</f>
        <v>0.5833333333</v>
      </c>
      <c r="J541" s="16">
        <f>IFERROR(__xludf.DUMMYFUNCTION("""COMPUTED_VALUE"""),44010.625)</f>
        <v>44010.625</v>
      </c>
      <c r="K541" t="str">
        <f>IFERROR(__xludf.DUMMYFUNCTION("""COMPUTED_VALUE"""),"20ft Sea Ark FL5351SJ UNF 2015")</f>
        <v>20ft Sea Ark FL5351SJ UNF 2015</v>
      </c>
      <c r="M541" t="str">
        <f>IFERROR(__xludf.DUMMYFUNCTION("""COMPUTED_VALUE"""),"Ford F150 2015 (White) - DEP21448")</f>
        <v>Ford F150 2015 (White) - DEP21448</v>
      </c>
      <c r="N541" t="str">
        <f>IFERROR(__xludf.DUMMYFUNCTION("""COMPUTED_VALUE"""),"Pam Marcum, (480) 332-5414")</f>
        <v>Pam Marcum, (480) 332-5414</v>
      </c>
      <c r="O541" t="str">
        <f>IFERROR(__xludf.DUMMYFUNCTION("""COMPUTED_VALUE"""),"Alee Knoell, (619) 750-4833")</f>
        <v>Alee Knoell, (619) 750-4833</v>
      </c>
      <c r="P541" t="str">
        <f>IFERROR(__xludf.DUMMYFUNCTION("""COMPUTED_VALUE"""),"Pam")</f>
        <v>Pam</v>
      </c>
      <c r="Q541" t="str">
        <f>IFERROR(__xludf.DUMMYFUNCTION("""COMPUTED_VALUE"""),"All items in working order")</f>
        <v>All items in working order</v>
      </c>
      <c r="AE541" s="11"/>
      <c r="AF541" t="b">
        <v>0</v>
      </c>
      <c r="AG541" s="18"/>
    </row>
    <row r="542">
      <c r="A542" s="10">
        <f>IFERROR(__xludf.DUMMYFUNCTION("""COMPUTED_VALUE"""),44040.906757916666)</f>
        <v>44040.90676</v>
      </c>
      <c r="B542" s="11" t="str">
        <f>IFERROR(__xludf.DUMMYFUNCTION("""COMPUTED_VALUE"""),"Alexandria Knoell")</f>
        <v>Alexandria Knoell</v>
      </c>
      <c r="C542" t="str">
        <f>IFERROR(__xludf.DUMMYFUNCTION("""COMPUTED_VALUE"""),"alee.knoell@floridadep.gov")</f>
        <v>alee.knoell@floridadep.gov</v>
      </c>
      <c r="D542" t="str">
        <f>IFERROR(__xludf.DUMMYFUNCTION("""COMPUTED_VALUE"""),"Shannon Dunnigan")</f>
        <v>Shannon Dunnigan</v>
      </c>
      <c r="E542" t="str">
        <f>IFERROR(__xludf.DUMMYFUNCTION("""COMPUTED_VALUE"""),"Butler")</f>
        <v>Butler</v>
      </c>
      <c r="F542" s="13">
        <f>IFERROR(__xludf.DUMMYFUNCTION("""COMPUTED_VALUE"""),0.3125)</f>
        <v>0.3125</v>
      </c>
      <c r="G542" s="14">
        <f>IFERROR(__xludf.DUMMYFUNCTION("""COMPUTED_VALUE"""),44040.0)</f>
        <v>44040</v>
      </c>
      <c r="H542" t="str">
        <f>IFERROR(__xludf.DUMMYFUNCTION("""COMPUTED_VALUE"""),"Moses platforms ")</f>
        <v>Moses platforms </v>
      </c>
      <c r="I542" s="15">
        <f>IFERROR(__xludf.DUMMYFUNCTION("""COMPUTED_VALUE"""),0.5833333333321207)</f>
        <v>0.5833333333</v>
      </c>
      <c r="J542" s="16">
        <f>IFERROR(__xludf.DUMMYFUNCTION("""COMPUTED_VALUE"""),44010.625)</f>
        <v>44010.625</v>
      </c>
      <c r="K542" t="str">
        <f>IFERROR(__xludf.DUMMYFUNCTION("""COMPUTED_VALUE"""),"20ft Sea Ark FL5351SJ UNF 2015")</f>
        <v>20ft Sea Ark FL5351SJ UNF 2015</v>
      </c>
      <c r="M542" t="str">
        <f>IFERROR(__xludf.DUMMYFUNCTION("""COMPUTED_VALUE"""),"Ford F150 2015 (White) - DEP21448")</f>
        <v>Ford F150 2015 (White) - DEP21448</v>
      </c>
      <c r="N542" t="str">
        <f>IFERROR(__xludf.DUMMYFUNCTION("""COMPUTED_VALUE"""),"Pam Marcum, (480) 332-5414")</f>
        <v>Pam Marcum, (480) 332-5414</v>
      </c>
      <c r="O542" t="str">
        <f>IFERROR(__xludf.DUMMYFUNCTION("""COMPUTED_VALUE"""),"Alee Knoell, (619) 750-4833")</f>
        <v>Alee Knoell, (619) 750-4833</v>
      </c>
      <c r="P542" t="str">
        <f>IFERROR(__xludf.DUMMYFUNCTION("""COMPUTED_VALUE"""),"Pam")</f>
        <v>Pam</v>
      </c>
      <c r="Q542" t="str">
        <f>IFERROR(__xludf.DUMMYFUNCTION("""COMPUTED_VALUE"""),"All items in working order")</f>
        <v>All items in working order</v>
      </c>
      <c r="AE542" s="11"/>
      <c r="AF542" t="b">
        <v>0</v>
      </c>
      <c r="AG542" s="18"/>
    </row>
    <row r="543">
      <c r="A543" s="10">
        <f>IFERROR(__xludf.DUMMYFUNCTION("""COMPUTED_VALUE"""),44041.53618199074)</f>
        <v>44041.53618</v>
      </c>
      <c r="B543" s="11" t="str">
        <f>IFERROR(__xludf.DUMMYFUNCTION("""COMPUTED_VALUE"""),"Gabriela Canas")</f>
        <v>Gabriela Canas</v>
      </c>
      <c r="C543" t="str">
        <f>IFERROR(__xludf.DUMMYFUNCTION("""COMPUTED_VALUE"""),"n00836133@unf.edu")</f>
        <v>n00836133@unf.edu</v>
      </c>
      <c r="D543" t="str">
        <f>IFERROR(__xludf.DUMMYFUNCTION("""COMPUTED_VALUE"""),"Shannon Dunnigan")</f>
        <v>Shannon Dunnigan</v>
      </c>
      <c r="E543" t="str">
        <f>IFERROR(__xludf.DUMMYFUNCTION("""COMPUTED_VALUE"""),"Douglas crane")</f>
        <v>Douglas crane</v>
      </c>
      <c r="F543" s="13">
        <f>IFERROR(__xludf.DUMMYFUNCTION("""COMPUTED_VALUE"""),0.5416666666678793)</f>
        <v>0.5416666667</v>
      </c>
      <c r="G543" s="14"/>
      <c r="H543" t="str">
        <f>IFERROR(__xludf.DUMMYFUNCTION("""COMPUTED_VALUE"""),"Wetfeet middle site")</f>
        <v>Wetfeet middle site</v>
      </c>
      <c r="I543" s="15">
        <f>IFERROR(__xludf.DUMMYFUNCTION("""COMPUTED_VALUE"""),0.6666666666678793)</f>
        <v>0.6666666667</v>
      </c>
      <c r="J543" s="16">
        <f>IFERROR(__xludf.DUMMYFUNCTION("""COMPUTED_VALUE"""),44041.70833333333)</f>
        <v>44041.70833</v>
      </c>
      <c r="K543" t="str">
        <f>IFERROR(__xludf.DUMMYFUNCTION("""COMPUTED_VALUE"""),"20ft Sea Ark FL5351SJ UNF 2015")</f>
        <v>20ft Sea Ark FL5351SJ UNF 2015</v>
      </c>
      <c r="M543" t="str">
        <f>IFERROR(__xludf.DUMMYFUNCTION("""COMPUTED_VALUE"""),"Ford F150 2015 (White) - DEP21448")</f>
        <v>Ford F150 2015 (White) - DEP21448</v>
      </c>
      <c r="N543" t="str">
        <f>IFERROR(__xludf.DUMMYFUNCTION("""COMPUTED_VALUE"""),"Pam Marcum, (480) 332-5414")</f>
        <v>Pam Marcum, (480) 332-5414</v>
      </c>
      <c r="O543" t="str">
        <f>IFERROR(__xludf.DUMMYFUNCTION("""COMPUTED_VALUE"""),"Gabriela Canas, (904) 891-9743")</f>
        <v>Gabriela Canas, (904) 891-9743</v>
      </c>
      <c r="P543" t="str">
        <f>IFERROR(__xludf.DUMMYFUNCTION("""COMPUTED_VALUE"""),"Pam")</f>
        <v>Pam</v>
      </c>
      <c r="Q543" t="str">
        <f>IFERROR(__xludf.DUMMYFUNCTION("""COMPUTED_VALUE"""),"All items in working order")</f>
        <v>All items in working order</v>
      </c>
      <c r="AE543" s="11"/>
      <c r="AF543" t="b">
        <v>0</v>
      </c>
      <c r="AG543" s="18"/>
    </row>
    <row r="544">
      <c r="A544" s="10"/>
      <c r="B544" s="11"/>
      <c r="F544" s="13"/>
      <c r="G544" s="14"/>
      <c r="I544" s="15"/>
      <c r="J544" s="16"/>
      <c r="AE544" s="11"/>
      <c r="AF544" t="s">
        <v>13</v>
      </c>
      <c r="AG544" s="18"/>
    </row>
    <row r="545">
      <c r="A545" s="10"/>
      <c r="B545" s="11"/>
      <c r="F545" s="13"/>
      <c r="G545" s="14"/>
      <c r="I545" s="15"/>
      <c r="J545" s="16"/>
      <c r="AE545" s="11"/>
      <c r="AF545" t="s">
        <v>13</v>
      </c>
      <c r="AG545" s="18"/>
    </row>
    <row r="546">
      <c r="A546" s="10"/>
      <c r="B546" s="11"/>
      <c r="F546" s="13"/>
      <c r="G546" s="14"/>
      <c r="I546" s="15"/>
      <c r="J546" s="16"/>
      <c r="AE546" s="11"/>
      <c r="AF546" t="s">
        <v>13</v>
      </c>
      <c r="AG546" s="18"/>
    </row>
    <row r="547">
      <c r="A547" s="10"/>
      <c r="B547" s="11"/>
      <c r="F547" s="13"/>
      <c r="G547" s="14"/>
      <c r="I547" s="15"/>
      <c r="J547" s="16"/>
      <c r="AE547" s="11"/>
      <c r="AF547" t="s">
        <v>13</v>
      </c>
      <c r="AG547" s="18"/>
    </row>
    <row r="548">
      <c r="A548" s="10"/>
      <c r="B548" s="11"/>
      <c r="F548" s="13"/>
      <c r="G548" s="14"/>
      <c r="I548" s="15"/>
      <c r="J548" s="16"/>
      <c r="AE548" s="11"/>
      <c r="AF548" t="s">
        <v>13</v>
      </c>
      <c r="AG548" s="18"/>
    </row>
    <row r="549">
      <c r="A549" s="10"/>
      <c r="B549" s="11"/>
      <c r="F549" s="13"/>
      <c r="G549" s="14"/>
      <c r="I549" s="15"/>
      <c r="J549" s="16"/>
      <c r="AE549" s="11"/>
      <c r="AF549" t="s">
        <v>13</v>
      </c>
      <c r="AG549" s="18"/>
    </row>
    <row r="550">
      <c r="A550" s="10"/>
      <c r="B550" s="11"/>
      <c r="F550" s="13"/>
      <c r="G550" s="14"/>
      <c r="I550" s="15"/>
      <c r="J550" s="16"/>
      <c r="AE550" s="11"/>
      <c r="AF550" t="s">
        <v>13</v>
      </c>
      <c r="AG550" s="18"/>
    </row>
    <row r="551">
      <c r="A551" s="10"/>
      <c r="B551" s="11"/>
      <c r="F551" s="13"/>
      <c r="G551" s="14"/>
      <c r="I551" s="15"/>
      <c r="J551" s="16"/>
      <c r="AE551" s="11"/>
      <c r="AF551" t="s">
        <v>13</v>
      </c>
      <c r="AG551" s="18"/>
    </row>
    <row r="552">
      <c r="A552" s="10"/>
      <c r="B552" s="11"/>
      <c r="F552" s="13"/>
      <c r="G552" s="14"/>
      <c r="I552" s="15"/>
      <c r="J552" s="16"/>
      <c r="AE552" s="11"/>
      <c r="AF552" t="s">
        <v>13</v>
      </c>
      <c r="AG552" s="18"/>
    </row>
    <row r="553">
      <c r="A553" s="10"/>
      <c r="B553" s="11"/>
      <c r="F553" s="13"/>
      <c r="G553" s="14"/>
      <c r="I553" s="15"/>
      <c r="J553" s="16"/>
      <c r="AE553" s="11"/>
      <c r="AF553" t="s">
        <v>13</v>
      </c>
      <c r="AG553" s="18"/>
    </row>
    <row r="554">
      <c r="A554" s="10"/>
      <c r="B554" s="11"/>
      <c r="F554" s="13"/>
      <c r="G554" s="14"/>
      <c r="I554" s="15"/>
      <c r="J554" s="16"/>
      <c r="AE554" s="11"/>
      <c r="AF554" t="s">
        <v>13</v>
      </c>
      <c r="AG554" s="18"/>
    </row>
    <row r="555">
      <c r="A555" s="10"/>
      <c r="B555" s="11"/>
      <c r="F555" s="13"/>
      <c r="G555" s="14"/>
      <c r="I555" s="15"/>
      <c r="J555" s="16"/>
      <c r="AE555" s="11"/>
      <c r="AF555" t="s">
        <v>13</v>
      </c>
      <c r="AG555" s="18"/>
    </row>
    <row r="556">
      <c r="A556" s="10"/>
      <c r="B556" s="11"/>
      <c r="F556" s="13"/>
      <c r="G556" s="14"/>
      <c r="I556" s="15"/>
      <c r="J556" s="16"/>
      <c r="AE556" s="11"/>
      <c r="AF556" t="s">
        <v>13</v>
      </c>
      <c r="AG556" s="18"/>
    </row>
    <row r="557">
      <c r="A557" s="10"/>
      <c r="B557" s="11"/>
      <c r="F557" s="13"/>
      <c r="G557" s="14"/>
      <c r="I557" s="15"/>
      <c r="J557" s="16"/>
      <c r="AE557" s="11"/>
      <c r="AF557" t="s">
        <v>13</v>
      </c>
      <c r="AG557" s="18"/>
    </row>
    <row r="558">
      <c r="A558" s="10"/>
      <c r="B558" s="11"/>
      <c r="F558" s="13"/>
      <c r="G558" s="14"/>
      <c r="I558" s="15"/>
      <c r="J558" s="16"/>
      <c r="AE558" s="11"/>
      <c r="AF558" t="s">
        <v>13</v>
      </c>
      <c r="AG558" s="18"/>
    </row>
    <row r="559">
      <c r="A559" s="10"/>
      <c r="B559" s="11"/>
      <c r="F559" s="13"/>
      <c r="G559" s="14"/>
      <c r="I559" s="15"/>
      <c r="J559" s="16"/>
      <c r="AE559" s="11"/>
      <c r="AF559" t="s">
        <v>13</v>
      </c>
      <c r="AG559" s="18"/>
    </row>
    <row r="560">
      <c r="A560" s="10"/>
      <c r="B560" s="11"/>
      <c r="F560" s="13"/>
      <c r="G560" s="14"/>
      <c r="I560" s="15"/>
      <c r="J560" s="16"/>
      <c r="AE560" s="11"/>
      <c r="AF560" t="s">
        <v>13</v>
      </c>
      <c r="AG560" s="18"/>
    </row>
    <row r="561">
      <c r="A561" s="10"/>
      <c r="B561" s="11"/>
      <c r="F561" s="13"/>
      <c r="G561" s="14"/>
      <c r="I561" s="15"/>
      <c r="J561" s="16"/>
      <c r="AE561" s="11"/>
      <c r="AF561" t="s">
        <v>13</v>
      </c>
      <c r="AG561" s="18"/>
    </row>
    <row r="562">
      <c r="A562" s="10"/>
      <c r="B562" s="11"/>
      <c r="F562" s="13"/>
      <c r="G562" s="14"/>
      <c r="I562" s="15"/>
      <c r="J562" s="16"/>
      <c r="AE562" s="11"/>
      <c r="AF562" t="s">
        <v>13</v>
      </c>
      <c r="AG562" s="18"/>
    </row>
    <row r="563">
      <c r="A563" s="10"/>
      <c r="B563" s="11"/>
      <c r="F563" s="13"/>
      <c r="G563" s="14"/>
      <c r="I563" s="15"/>
      <c r="J563" s="16"/>
      <c r="AE563" s="11"/>
      <c r="AF563" t="s">
        <v>13</v>
      </c>
      <c r="AG563" s="18"/>
    </row>
    <row r="564">
      <c r="A564" s="10"/>
      <c r="B564" s="11"/>
      <c r="F564" s="13"/>
      <c r="G564" s="14"/>
      <c r="I564" s="15"/>
      <c r="J564" s="16"/>
      <c r="AE564" s="11"/>
      <c r="AF564" t="s">
        <v>13</v>
      </c>
      <c r="AG564" s="18"/>
    </row>
    <row r="565">
      <c r="A565" s="10"/>
      <c r="B565" s="11"/>
      <c r="F565" s="13"/>
      <c r="G565" s="14"/>
      <c r="I565" s="15"/>
      <c r="J565" s="16"/>
      <c r="AE565" s="11"/>
      <c r="AF565" t="s">
        <v>13</v>
      </c>
      <c r="AG565" s="18"/>
    </row>
    <row r="566">
      <c r="A566" s="10"/>
      <c r="B566" s="11"/>
      <c r="F566" s="13"/>
      <c r="G566" s="14"/>
      <c r="I566" s="15"/>
      <c r="J566" s="16"/>
      <c r="AE566" s="11"/>
      <c r="AF566" t="s">
        <v>13</v>
      </c>
      <c r="AG566" s="18"/>
    </row>
    <row r="567">
      <c r="A567" s="10"/>
      <c r="B567" s="11"/>
      <c r="F567" s="13"/>
      <c r="G567" s="14"/>
      <c r="I567" s="15"/>
      <c r="J567" s="16"/>
      <c r="AE567" s="11"/>
      <c r="AF567" t="s">
        <v>13</v>
      </c>
      <c r="AG567" s="18"/>
    </row>
    <row r="568">
      <c r="A568" s="10"/>
      <c r="B568" s="11"/>
      <c r="F568" s="13"/>
      <c r="G568" s="14"/>
      <c r="I568" s="15"/>
      <c r="J568" s="16"/>
      <c r="AE568" s="11"/>
      <c r="AF568" t="s">
        <v>13</v>
      </c>
      <c r="AG568" s="18"/>
    </row>
    <row r="569">
      <c r="A569" s="10"/>
      <c r="B569" s="11"/>
      <c r="F569" s="13"/>
      <c r="G569" s="14"/>
      <c r="I569" s="15"/>
      <c r="J569" s="16"/>
      <c r="AE569" s="11"/>
      <c r="AF569" t="s">
        <v>13</v>
      </c>
      <c r="AG569" s="18"/>
    </row>
    <row r="570">
      <c r="A570" s="10"/>
      <c r="B570" s="11"/>
      <c r="F570" s="13"/>
      <c r="G570" s="14"/>
      <c r="I570" s="15"/>
      <c r="J570" s="16"/>
      <c r="AE570" s="11"/>
      <c r="AF570" t="s">
        <v>13</v>
      </c>
      <c r="AG570" s="18"/>
    </row>
    <row r="571">
      <c r="A571" s="10"/>
      <c r="B571" s="11"/>
      <c r="F571" s="13"/>
      <c r="G571" s="14"/>
      <c r="I571" s="15"/>
      <c r="J571" s="16"/>
      <c r="AE571" s="11"/>
      <c r="AF571" t="s">
        <v>13</v>
      </c>
      <c r="AG571" s="18"/>
    </row>
    <row r="572">
      <c r="A572" s="10"/>
      <c r="B572" s="11"/>
      <c r="F572" s="13"/>
      <c r="G572" s="14"/>
      <c r="I572" s="15"/>
      <c r="J572" s="16"/>
      <c r="AE572" s="11"/>
      <c r="AF572" t="s">
        <v>13</v>
      </c>
      <c r="AG572" s="18"/>
    </row>
    <row r="573">
      <c r="A573" s="10"/>
      <c r="B573" s="11"/>
      <c r="F573" s="13"/>
      <c r="G573" s="14"/>
      <c r="I573" s="15"/>
      <c r="J573" s="16"/>
      <c r="AE573" s="11"/>
      <c r="AF573" t="s">
        <v>13</v>
      </c>
      <c r="AG573" s="18"/>
    </row>
    <row r="574">
      <c r="A574" s="10"/>
      <c r="B574" s="11"/>
      <c r="F574" s="13"/>
      <c r="G574" s="14"/>
      <c r="I574" s="15"/>
      <c r="J574" s="16"/>
      <c r="AE574" s="11"/>
      <c r="AF574" t="s">
        <v>13</v>
      </c>
      <c r="AG574" s="18"/>
    </row>
    <row r="575">
      <c r="A575" s="10"/>
      <c r="B575" s="11"/>
      <c r="F575" s="13"/>
      <c r="G575" s="14"/>
      <c r="I575" s="15"/>
      <c r="J575" s="16"/>
      <c r="AE575" s="11"/>
      <c r="AF575" t="s">
        <v>13</v>
      </c>
      <c r="AG575" s="18"/>
    </row>
    <row r="576">
      <c r="A576" s="10"/>
      <c r="B576" s="11"/>
      <c r="F576" s="13"/>
      <c r="G576" s="14"/>
      <c r="I576" s="15"/>
      <c r="J576" s="16"/>
      <c r="AE576" s="11"/>
      <c r="AF576" t="s">
        <v>13</v>
      </c>
      <c r="AG576" s="18"/>
    </row>
    <row r="577">
      <c r="A577" s="10"/>
      <c r="B577" s="11"/>
      <c r="F577" s="13"/>
      <c r="G577" s="14"/>
      <c r="I577" s="15"/>
      <c r="J577" s="16"/>
      <c r="AE577" s="11"/>
      <c r="AF577" t="s">
        <v>13</v>
      </c>
      <c r="AG577" s="18"/>
    </row>
    <row r="578">
      <c r="A578" s="10"/>
      <c r="B578" s="11"/>
      <c r="F578" s="13"/>
      <c r="G578" s="14"/>
      <c r="I578" s="15"/>
      <c r="J578" s="16"/>
      <c r="AE578" s="11"/>
      <c r="AF578" t="s">
        <v>13</v>
      </c>
      <c r="AG578" s="18"/>
    </row>
    <row r="579">
      <c r="A579" s="10"/>
      <c r="B579" s="11"/>
      <c r="F579" s="13"/>
      <c r="G579" s="14"/>
      <c r="I579" s="15"/>
      <c r="J579" s="16"/>
      <c r="AE579" s="11"/>
      <c r="AF579" t="s">
        <v>13</v>
      </c>
      <c r="AG579" s="18"/>
    </row>
    <row r="580">
      <c r="A580" s="10"/>
      <c r="B580" s="11"/>
      <c r="F580" s="13"/>
      <c r="G580" s="14"/>
      <c r="I580" s="15"/>
      <c r="J580" s="16"/>
      <c r="AE580" s="11"/>
      <c r="AF580" t="s">
        <v>13</v>
      </c>
      <c r="AG580" s="18"/>
    </row>
    <row r="581">
      <c r="A581" s="10"/>
      <c r="B581" s="11"/>
      <c r="F581" s="13"/>
      <c r="G581" s="14"/>
      <c r="I581" s="15"/>
      <c r="J581" s="16"/>
      <c r="AE581" s="11"/>
      <c r="AF581" t="s">
        <v>13</v>
      </c>
      <c r="AG581" s="18"/>
    </row>
    <row r="582">
      <c r="A582" s="10"/>
      <c r="B582" s="11"/>
      <c r="F582" s="13"/>
      <c r="G582" s="14"/>
      <c r="I582" s="15"/>
      <c r="J582" s="16"/>
      <c r="AE582" s="11"/>
      <c r="AF582" t="s">
        <v>13</v>
      </c>
      <c r="AG582" s="18"/>
    </row>
    <row r="583">
      <c r="A583" s="10"/>
      <c r="B583" s="11"/>
      <c r="F583" s="13"/>
      <c r="G583" s="14"/>
      <c r="I583" s="15"/>
      <c r="J583" s="16"/>
      <c r="AE583" s="11"/>
      <c r="AF583" t="s">
        <v>13</v>
      </c>
      <c r="AG583" s="18"/>
    </row>
    <row r="584">
      <c r="A584" s="10"/>
      <c r="B584" s="11"/>
      <c r="F584" s="13"/>
      <c r="G584" s="14"/>
      <c r="I584" s="15"/>
      <c r="J584" s="16"/>
      <c r="AE584" s="11"/>
      <c r="AF584" t="s">
        <v>13</v>
      </c>
      <c r="AG584" s="18"/>
    </row>
    <row r="585">
      <c r="A585" s="10"/>
      <c r="B585" s="11"/>
      <c r="F585" s="13"/>
      <c r="G585" s="14"/>
      <c r="I585" s="15"/>
      <c r="J585" s="16"/>
      <c r="AE585" s="11"/>
      <c r="AF585" t="s">
        <v>13</v>
      </c>
      <c r="AG585" s="18"/>
    </row>
    <row r="586">
      <c r="A586" s="10"/>
      <c r="B586" s="11"/>
      <c r="F586" s="13"/>
      <c r="G586" s="14"/>
      <c r="I586" s="15"/>
      <c r="J586" s="16"/>
      <c r="AE586" s="11"/>
      <c r="AF586" t="s">
        <v>13</v>
      </c>
      <c r="AG586" s="18"/>
    </row>
    <row r="587">
      <c r="A587" s="10"/>
      <c r="B587" s="11"/>
      <c r="F587" s="13"/>
      <c r="G587" s="14"/>
      <c r="I587" s="15"/>
      <c r="J587" s="16"/>
      <c r="AE587" s="11"/>
      <c r="AF587" t="s">
        <v>13</v>
      </c>
      <c r="AG587" s="18"/>
    </row>
    <row r="588">
      <c r="A588" s="10"/>
      <c r="B588" s="11"/>
      <c r="F588" s="13"/>
      <c r="G588" s="14"/>
      <c r="I588" s="15"/>
      <c r="J588" s="16"/>
      <c r="AE588" s="11"/>
      <c r="AF588" t="s">
        <v>13</v>
      </c>
      <c r="AG588" s="18"/>
    </row>
    <row r="589">
      <c r="A589" s="10"/>
      <c r="B589" s="11"/>
      <c r="F589" s="13"/>
      <c r="G589" s="14"/>
      <c r="I589" s="15"/>
      <c r="J589" s="16"/>
      <c r="AE589" s="11"/>
      <c r="AF589" t="s">
        <v>13</v>
      </c>
      <c r="AG589" s="18"/>
    </row>
    <row r="590">
      <c r="A590" s="10"/>
      <c r="B590" s="11"/>
      <c r="F590" s="13"/>
      <c r="G590" s="14"/>
      <c r="I590" s="15"/>
      <c r="J590" s="16"/>
      <c r="AE590" s="11"/>
      <c r="AF590" t="s">
        <v>13</v>
      </c>
      <c r="AG590" s="18"/>
    </row>
    <row r="591">
      <c r="A591" s="10"/>
      <c r="B591" s="11"/>
      <c r="F591" s="13"/>
      <c r="G591" s="14"/>
      <c r="I591" s="15"/>
      <c r="J591" s="16"/>
      <c r="AE591" s="11"/>
      <c r="AF591" t="s">
        <v>13</v>
      </c>
      <c r="AG591" s="18"/>
    </row>
    <row r="592">
      <c r="A592" s="10"/>
      <c r="B592" s="11"/>
      <c r="F592" s="13"/>
      <c r="G592" s="14"/>
      <c r="I592" s="15"/>
      <c r="J592" s="16"/>
      <c r="AE592" s="11"/>
      <c r="AF592" t="s">
        <v>13</v>
      </c>
      <c r="AG592" s="18"/>
    </row>
    <row r="593">
      <c r="A593" s="10"/>
      <c r="B593" s="11"/>
      <c r="F593" s="13"/>
      <c r="G593" s="14"/>
      <c r="I593" s="15"/>
      <c r="J593" s="16"/>
      <c r="AE593" s="11"/>
      <c r="AF593" t="s">
        <v>13</v>
      </c>
      <c r="AG593" s="18"/>
    </row>
    <row r="594">
      <c r="A594" s="10"/>
      <c r="B594" s="11"/>
      <c r="F594" s="13"/>
      <c r="G594" s="14"/>
      <c r="I594" s="15"/>
      <c r="J594" s="16"/>
      <c r="AE594" s="11"/>
      <c r="AF594" t="s">
        <v>13</v>
      </c>
      <c r="AG594" s="18"/>
    </row>
    <row r="595">
      <c r="A595" s="10"/>
      <c r="B595" s="11"/>
      <c r="F595" s="13"/>
      <c r="G595" s="14"/>
      <c r="I595" s="15"/>
      <c r="J595" s="16"/>
      <c r="AE595" s="11"/>
      <c r="AF595" t="s">
        <v>13</v>
      </c>
      <c r="AG595" s="18"/>
    </row>
    <row r="596">
      <c r="A596" s="10"/>
      <c r="B596" s="11"/>
      <c r="F596" s="13"/>
      <c r="G596" s="14"/>
      <c r="I596" s="15"/>
      <c r="J596" s="16"/>
      <c r="AE596" s="11"/>
      <c r="AF596" t="s">
        <v>13</v>
      </c>
      <c r="AG596" s="18"/>
    </row>
    <row r="597">
      <c r="A597" s="10"/>
      <c r="B597" s="11"/>
      <c r="F597" s="13"/>
      <c r="G597" s="14"/>
      <c r="I597" s="15"/>
      <c r="J597" s="16"/>
      <c r="AE597" s="11"/>
      <c r="AF597" t="s">
        <v>13</v>
      </c>
      <c r="AG597" s="18"/>
    </row>
    <row r="598">
      <c r="A598" s="10"/>
      <c r="B598" s="11"/>
      <c r="F598" s="13"/>
      <c r="G598" s="14"/>
      <c r="I598" s="15"/>
      <c r="J598" s="16"/>
      <c r="AE598" s="11"/>
      <c r="AF598" t="s">
        <v>13</v>
      </c>
      <c r="AG598" s="18"/>
    </row>
    <row r="599">
      <c r="A599" s="10"/>
      <c r="B599" s="11"/>
      <c r="F599" s="13"/>
      <c r="G599" s="14"/>
      <c r="I599" s="15"/>
      <c r="J599" s="16"/>
      <c r="AE599" s="11"/>
      <c r="AF599" t="s">
        <v>13</v>
      </c>
      <c r="AG599" s="18"/>
    </row>
    <row r="600">
      <c r="A600" s="10"/>
      <c r="B600" s="11"/>
      <c r="F600" s="13"/>
      <c r="G600" s="14"/>
      <c r="I600" s="15"/>
      <c r="J600" s="16"/>
      <c r="AE600" s="11"/>
      <c r="AF600" t="s">
        <v>13</v>
      </c>
      <c r="AG600" s="18"/>
    </row>
    <row r="601">
      <c r="A601" s="10"/>
      <c r="B601" s="11"/>
      <c r="F601" s="13"/>
      <c r="G601" s="14"/>
      <c r="I601" s="15"/>
      <c r="J601" s="16"/>
      <c r="AE601" s="11"/>
      <c r="AF601" t="s">
        <v>13</v>
      </c>
      <c r="AG601" s="18"/>
    </row>
    <row r="602">
      <c r="A602" s="10"/>
      <c r="B602" s="11"/>
      <c r="F602" s="13"/>
      <c r="G602" s="14"/>
      <c r="I602" s="15"/>
      <c r="J602" s="16"/>
      <c r="AE602" s="11"/>
      <c r="AF602" t="s">
        <v>13</v>
      </c>
      <c r="AG602" s="18"/>
    </row>
    <row r="603">
      <c r="A603" s="10"/>
      <c r="B603" s="11"/>
      <c r="F603" s="13"/>
      <c r="G603" s="14"/>
      <c r="I603" s="15"/>
      <c r="J603" s="16"/>
      <c r="AE603" s="11"/>
      <c r="AF603" t="s">
        <v>13</v>
      </c>
      <c r="AG603" s="18"/>
    </row>
    <row r="604">
      <c r="A604" s="10"/>
      <c r="B604" s="11"/>
      <c r="F604" s="13"/>
      <c r="G604" s="14"/>
      <c r="I604" s="15"/>
      <c r="J604" s="16"/>
      <c r="AE604" s="11"/>
      <c r="AF604" t="s">
        <v>13</v>
      </c>
      <c r="AG604" s="18"/>
    </row>
    <row r="605">
      <c r="A605" s="10"/>
      <c r="B605" s="11"/>
      <c r="F605" s="13"/>
      <c r="G605" s="14"/>
      <c r="I605" s="15"/>
      <c r="J605" s="16"/>
      <c r="AE605" s="11"/>
      <c r="AF605" t="s">
        <v>13</v>
      </c>
      <c r="AG605" s="18"/>
    </row>
    <row r="606">
      <c r="A606" s="10"/>
      <c r="B606" s="11"/>
      <c r="F606" s="13"/>
      <c r="G606" s="14"/>
      <c r="I606" s="15"/>
      <c r="J606" s="16"/>
      <c r="AE606" s="11"/>
      <c r="AF606" t="s">
        <v>13</v>
      </c>
      <c r="AG606" s="18"/>
    </row>
    <row r="607">
      <c r="A607" s="10"/>
      <c r="B607" s="11"/>
      <c r="F607" s="13"/>
      <c r="G607" s="14"/>
      <c r="I607" s="15"/>
      <c r="J607" s="16"/>
      <c r="AE607" s="11"/>
      <c r="AF607" t="s">
        <v>13</v>
      </c>
      <c r="AG607" s="18"/>
    </row>
    <row r="608">
      <c r="A608" s="10"/>
      <c r="B608" s="11"/>
      <c r="F608" s="13"/>
      <c r="G608" s="14"/>
      <c r="I608" s="15"/>
      <c r="J608" s="16"/>
      <c r="AE608" s="11"/>
      <c r="AF608" t="s">
        <v>13</v>
      </c>
      <c r="AG608" s="18"/>
    </row>
    <row r="609">
      <c r="A609" s="10"/>
      <c r="B609" s="11"/>
      <c r="F609" s="13"/>
      <c r="G609" s="14"/>
      <c r="I609" s="15"/>
      <c r="J609" s="16"/>
      <c r="AE609" s="11"/>
      <c r="AF609" t="s">
        <v>13</v>
      </c>
      <c r="AG609" s="18"/>
    </row>
    <row r="610">
      <c r="A610" s="10"/>
      <c r="B610" s="11"/>
      <c r="F610" s="13"/>
      <c r="G610" s="14"/>
      <c r="I610" s="15"/>
      <c r="J610" s="16"/>
      <c r="AE610" s="11"/>
      <c r="AF610" t="s">
        <v>13</v>
      </c>
      <c r="AG610" s="18"/>
    </row>
    <row r="611">
      <c r="A611" s="10"/>
      <c r="B611" s="11"/>
      <c r="F611" s="13"/>
      <c r="G611" s="14"/>
      <c r="I611" s="15"/>
      <c r="J611" s="16"/>
      <c r="AE611" s="11"/>
      <c r="AF611" t="s">
        <v>13</v>
      </c>
      <c r="AG611" s="18"/>
    </row>
    <row r="612">
      <c r="A612" s="10"/>
      <c r="B612" s="11"/>
      <c r="F612" s="13"/>
      <c r="G612" s="14"/>
      <c r="I612" s="15"/>
      <c r="J612" s="16"/>
      <c r="AE612" s="11"/>
      <c r="AF612" t="s">
        <v>13</v>
      </c>
      <c r="AG612" s="18"/>
    </row>
    <row r="613">
      <c r="A613" s="10"/>
      <c r="B613" s="11"/>
      <c r="F613" s="13"/>
      <c r="G613" s="14"/>
      <c r="I613" s="15"/>
      <c r="J613" s="16"/>
      <c r="AE613" s="11"/>
      <c r="AF613" t="s">
        <v>13</v>
      </c>
      <c r="AG613" s="18"/>
    </row>
    <row r="614">
      <c r="A614" s="10"/>
      <c r="B614" s="11"/>
      <c r="F614" s="13"/>
      <c r="G614" s="14"/>
      <c r="I614" s="15"/>
      <c r="J614" s="16"/>
      <c r="AE614" s="11"/>
      <c r="AF614" t="s">
        <v>13</v>
      </c>
      <c r="AG614" s="18"/>
    </row>
    <row r="615">
      <c r="A615" s="10"/>
      <c r="B615" s="11"/>
      <c r="F615" s="13"/>
      <c r="G615" s="14"/>
      <c r="I615" s="15"/>
      <c r="J615" s="16"/>
      <c r="AE615" s="11"/>
      <c r="AF615" t="s">
        <v>13</v>
      </c>
      <c r="AG615" s="18"/>
    </row>
    <row r="616">
      <c r="A616" s="10"/>
      <c r="B616" s="11"/>
      <c r="F616" s="13"/>
      <c r="G616" s="14"/>
      <c r="I616" s="15"/>
      <c r="J616" s="16"/>
      <c r="AE616" s="11"/>
      <c r="AF616" t="s">
        <v>13</v>
      </c>
      <c r="AG616" s="18"/>
    </row>
    <row r="617">
      <c r="A617" s="10"/>
      <c r="B617" s="11"/>
      <c r="F617" s="13"/>
      <c r="G617" s="14"/>
      <c r="I617" s="15"/>
      <c r="J617" s="16"/>
      <c r="AE617" s="11"/>
      <c r="AF617" t="s">
        <v>13</v>
      </c>
      <c r="AG617" s="18"/>
    </row>
    <row r="618">
      <c r="A618" s="10"/>
      <c r="B618" s="11"/>
      <c r="F618" s="13"/>
      <c r="G618" s="14"/>
      <c r="I618" s="15"/>
      <c r="J618" s="16"/>
      <c r="AE618" s="11"/>
      <c r="AF618" t="s">
        <v>13</v>
      </c>
      <c r="AG618" s="18"/>
    </row>
    <row r="619">
      <c r="A619" s="10"/>
      <c r="B619" s="11"/>
      <c r="F619" s="13"/>
      <c r="G619" s="14"/>
      <c r="I619" s="15"/>
      <c r="J619" s="16"/>
      <c r="AE619" s="11"/>
      <c r="AF619" t="s">
        <v>13</v>
      </c>
      <c r="AG619" s="18"/>
    </row>
    <row r="620">
      <c r="A620" s="10"/>
      <c r="B620" s="11"/>
      <c r="F620" s="13"/>
      <c r="G620" s="14"/>
      <c r="I620" s="15"/>
      <c r="J620" s="16"/>
      <c r="AE620" s="11"/>
      <c r="AF620" t="s">
        <v>13</v>
      </c>
      <c r="AG620" s="18"/>
    </row>
    <row r="621">
      <c r="A621" s="10"/>
      <c r="B621" s="11"/>
      <c r="F621" s="13"/>
      <c r="G621" s="14"/>
      <c r="I621" s="15"/>
      <c r="J621" s="16"/>
      <c r="AE621" s="11"/>
      <c r="AF621" t="s">
        <v>13</v>
      </c>
      <c r="AG621" s="18"/>
    </row>
    <row r="622">
      <c r="A622" s="10"/>
      <c r="B622" s="11"/>
      <c r="F622" s="13"/>
      <c r="G622" s="14"/>
      <c r="I622" s="15"/>
      <c r="J622" s="16"/>
      <c r="AE622" s="11"/>
      <c r="AF622" t="s">
        <v>13</v>
      </c>
      <c r="AG622" s="18"/>
    </row>
    <row r="623">
      <c r="A623" s="10"/>
      <c r="B623" s="11"/>
      <c r="F623" s="13"/>
      <c r="G623" s="14"/>
      <c r="I623" s="15"/>
      <c r="J623" s="16"/>
      <c r="AE623" s="11"/>
      <c r="AF623" t="s">
        <v>13</v>
      </c>
      <c r="AG623" s="18"/>
    </row>
    <row r="624">
      <c r="A624" s="10"/>
      <c r="B624" s="11"/>
      <c r="F624" s="13"/>
      <c r="G624" s="14"/>
      <c r="I624" s="15"/>
      <c r="J624" s="16"/>
      <c r="AE624" s="11"/>
      <c r="AF624" t="s">
        <v>13</v>
      </c>
      <c r="AG624" s="18"/>
    </row>
    <row r="625">
      <c r="A625" s="10"/>
      <c r="B625" s="11"/>
      <c r="F625" s="13"/>
      <c r="G625" s="14"/>
      <c r="I625" s="15"/>
      <c r="J625" s="16"/>
      <c r="AE625" s="11"/>
      <c r="AF625" t="s">
        <v>13</v>
      </c>
      <c r="AG625" s="18"/>
    </row>
    <row r="626">
      <c r="A626" s="10"/>
      <c r="B626" s="11"/>
      <c r="F626" s="13"/>
      <c r="G626" s="14"/>
      <c r="I626" s="15"/>
      <c r="J626" s="16"/>
      <c r="AE626" s="11"/>
      <c r="AF626" t="s">
        <v>13</v>
      </c>
      <c r="AG626" s="18"/>
    </row>
    <row r="627">
      <c r="A627" s="10"/>
      <c r="B627" s="11"/>
      <c r="F627" s="13"/>
      <c r="G627" s="14"/>
      <c r="I627" s="15"/>
      <c r="J627" s="16"/>
      <c r="AE627" s="11"/>
      <c r="AF627" t="s">
        <v>13</v>
      </c>
      <c r="AG627" s="18"/>
    </row>
    <row r="628">
      <c r="A628" s="10"/>
      <c r="B628" s="11"/>
      <c r="F628" s="13"/>
      <c r="G628" s="14"/>
      <c r="I628" s="15"/>
      <c r="J628" s="16"/>
      <c r="AE628" s="11"/>
      <c r="AF628" t="s">
        <v>13</v>
      </c>
      <c r="AG628" s="18"/>
    </row>
    <row r="629">
      <c r="A629" s="10"/>
      <c r="B629" s="11"/>
      <c r="F629" s="13"/>
      <c r="G629" s="14"/>
      <c r="I629" s="15"/>
      <c r="J629" s="16"/>
      <c r="AE629" s="11"/>
      <c r="AF629" t="s">
        <v>13</v>
      </c>
      <c r="AG629" s="18"/>
    </row>
    <row r="630">
      <c r="A630" s="10"/>
      <c r="B630" s="11"/>
      <c r="F630" s="13"/>
      <c r="G630" s="14"/>
      <c r="I630" s="15"/>
      <c r="J630" s="16"/>
      <c r="AE630" s="11"/>
      <c r="AF630" t="s">
        <v>13</v>
      </c>
      <c r="AG630" s="18"/>
    </row>
    <row r="631">
      <c r="A631" s="10"/>
      <c r="B631" s="11"/>
      <c r="F631" s="13"/>
      <c r="G631" s="14"/>
      <c r="I631" s="15"/>
      <c r="J631" s="16"/>
      <c r="AE631" s="11"/>
      <c r="AF631" t="s">
        <v>13</v>
      </c>
      <c r="AG631" s="18"/>
    </row>
    <row r="632">
      <c r="A632" s="10"/>
      <c r="B632" s="11"/>
      <c r="F632" s="13"/>
      <c r="G632" s="14"/>
      <c r="I632" s="15"/>
      <c r="J632" s="16"/>
      <c r="AE632" s="11"/>
      <c r="AF632" t="s">
        <v>13</v>
      </c>
      <c r="AG632" s="18"/>
    </row>
    <row r="633">
      <c r="A633" s="10"/>
      <c r="B633" s="11"/>
      <c r="F633" s="13"/>
      <c r="G633" s="14"/>
      <c r="I633" s="15"/>
      <c r="J633" s="16"/>
      <c r="AE633" s="11"/>
      <c r="AF633" t="s">
        <v>13</v>
      </c>
      <c r="AG633" s="18"/>
    </row>
    <row r="634">
      <c r="A634" s="10"/>
      <c r="B634" s="11"/>
      <c r="F634" s="13"/>
      <c r="G634" s="14"/>
      <c r="I634" s="15"/>
      <c r="J634" s="16"/>
      <c r="AE634" s="11"/>
      <c r="AF634" t="s">
        <v>13</v>
      </c>
      <c r="AG634" s="18"/>
    </row>
    <row r="635">
      <c r="A635" s="10"/>
      <c r="B635" s="11"/>
      <c r="F635" s="13"/>
      <c r="G635" s="14"/>
      <c r="I635" s="15"/>
      <c r="J635" s="16"/>
      <c r="AE635" s="11"/>
      <c r="AF635" t="s">
        <v>13</v>
      </c>
      <c r="AG635" s="18"/>
    </row>
    <row r="636">
      <c r="A636" s="10"/>
      <c r="B636" s="11"/>
      <c r="F636" s="13"/>
      <c r="G636" s="14"/>
      <c r="I636" s="15"/>
      <c r="J636" s="16"/>
      <c r="AE636" s="11"/>
      <c r="AF636" t="s">
        <v>13</v>
      </c>
      <c r="AG636" s="18"/>
    </row>
    <row r="637">
      <c r="A637" s="10"/>
      <c r="B637" s="11"/>
      <c r="F637" s="13"/>
      <c r="G637" s="14"/>
      <c r="I637" s="15"/>
      <c r="J637" s="16"/>
      <c r="AE637" s="11"/>
      <c r="AF637" t="s">
        <v>13</v>
      </c>
      <c r="AG637" s="18"/>
    </row>
    <row r="638">
      <c r="A638" s="10"/>
      <c r="B638" s="11"/>
      <c r="F638" s="13"/>
      <c r="G638" s="14"/>
      <c r="I638" s="15"/>
      <c r="J638" s="16"/>
      <c r="AE638" s="11"/>
      <c r="AF638" t="s">
        <v>13</v>
      </c>
      <c r="AG638" s="18"/>
    </row>
    <row r="639">
      <c r="A639" s="10"/>
      <c r="B639" s="11"/>
      <c r="F639" s="13"/>
      <c r="G639" s="14"/>
      <c r="I639" s="15"/>
      <c r="J639" s="16"/>
      <c r="AE639" s="11"/>
      <c r="AF639" t="s">
        <v>13</v>
      </c>
      <c r="AG639" s="18"/>
    </row>
    <row r="640">
      <c r="A640" s="10"/>
      <c r="B640" s="11"/>
      <c r="F640" s="13"/>
      <c r="G640" s="14"/>
      <c r="I640" s="15"/>
      <c r="J640" s="16"/>
      <c r="AE640" s="11"/>
      <c r="AF640" t="s">
        <v>13</v>
      </c>
      <c r="AG640" s="18"/>
    </row>
    <row r="641">
      <c r="A641" s="10"/>
      <c r="B641" s="11"/>
      <c r="F641" s="13"/>
      <c r="G641" s="14"/>
      <c r="I641" s="15"/>
      <c r="J641" s="16"/>
      <c r="AE641" s="11"/>
      <c r="AF641" t="s">
        <v>13</v>
      </c>
      <c r="AG641" s="18"/>
    </row>
    <row r="642">
      <c r="A642" s="10"/>
      <c r="B642" s="11"/>
      <c r="F642" s="13"/>
      <c r="G642" s="14"/>
      <c r="I642" s="15"/>
      <c r="J642" s="16"/>
      <c r="AE642" s="11"/>
      <c r="AF642" t="s">
        <v>13</v>
      </c>
      <c r="AG642" s="18"/>
    </row>
    <row r="643">
      <c r="A643" s="10"/>
      <c r="B643" s="11"/>
      <c r="F643" s="13"/>
      <c r="G643" s="14"/>
      <c r="I643" s="15"/>
      <c r="J643" s="16"/>
      <c r="AE643" s="11"/>
      <c r="AF643" t="s">
        <v>13</v>
      </c>
      <c r="AG643" s="18"/>
    </row>
    <row r="644">
      <c r="B644" s="11"/>
      <c r="F644" s="13"/>
      <c r="G644" s="14"/>
      <c r="I644" s="15"/>
      <c r="AE644" s="11"/>
      <c r="AG644" s="18"/>
    </row>
    <row r="645">
      <c r="B645" s="11"/>
      <c r="F645" s="13"/>
      <c r="G645" s="14"/>
      <c r="I645" s="15"/>
      <c r="AE645" s="11"/>
      <c r="AG645" s="18"/>
    </row>
    <row r="646">
      <c r="B646" s="11"/>
      <c r="F646" s="13"/>
      <c r="G646" s="14"/>
      <c r="I646" s="15"/>
      <c r="AE646" s="11"/>
      <c r="AG646" s="18"/>
    </row>
    <row r="647">
      <c r="B647" s="11"/>
      <c r="F647" s="13"/>
      <c r="G647" s="14"/>
      <c r="I647" s="15"/>
      <c r="AE647" s="11"/>
      <c r="AG647" s="18"/>
    </row>
    <row r="648">
      <c r="B648" s="11"/>
      <c r="F648" s="13"/>
      <c r="G648" s="14"/>
      <c r="I648" s="15"/>
      <c r="AE648" s="11"/>
      <c r="AG648" s="18"/>
    </row>
    <row r="649">
      <c r="B649" s="11"/>
      <c r="F649" s="13"/>
      <c r="G649" s="14"/>
      <c r="I649" s="15"/>
      <c r="AE649" s="11"/>
      <c r="AG649" s="18"/>
    </row>
    <row r="650">
      <c r="B650" s="11"/>
      <c r="F650" s="13"/>
      <c r="G650" s="14"/>
      <c r="I650" s="15"/>
      <c r="AE650" s="11"/>
      <c r="AG650" s="18"/>
    </row>
    <row r="651">
      <c r="B651" s="11"/>
      <c r="F651" s="13"/>
      <c r="G651" s="14"/>
      <c r="I651" s="15"/>
      <c r="AE651" s="11"/>
      <c r="AG651" s="18"/>
    </row>
    <row r="652">
      <c r="B652" s="11"/>
      <c r="F652" s="13"/>
      <c r="G652" s="14"/>
      <c r="I652" s="15"/>
      <c r="AE652" s="11"/>
      <c r="AG652" s="18"/>
    </row>
    <row r="653">
      <c r="B653" s="11"/>
      <c r="F653" s="13"/>
      <c r="G653" s="14"/>
      <c r="I653" s="15"/>
      <c r="AE653" s="11"/>
      <c r="AG653" s="18"/>
    </row>
    <row r="654">
      <c r="B654" s="11"/>
      <c r="F654" s="13"/>
      <c r="G654" s="14"/>
      <c r="I654" s="15"/>
      <c r="AE654" s="11"/>
      <c r="AG654" s="18"/>
    </row>
    <row r="655">
      <c r="B655" s="11"/>
      <c r="F655" s="13"/>
      <c r="G655" s="14"/>
      <c r="I655" s="15"/>
      <c r="AE655" s="11"/>
      <c r="AG655" s="18"/>
    </row>
    <row r="656">
      <c r="B656" s="11"/>
      <c r="F656" s="13"/>
      <c r="G656" s="14"/>
      <c r="I656" s="15"/>
      <c r="AE656" s="11"/>
      <c r="AG656" s="18"/>
    </row>
    <row r="657">
      <c r="B657" s="11"/>
      <c r="F657" s="13"/>
      <c r="G657" s="14"/>
      <c r="I657" s="15"/>
      <c r="AE657" s="11"/>
      <c r="AG657" s="18"/>
    </row>
    <row r="658">
      <c r="B658" s="11"/>
      <c r="F658" s="13"/>
      <c r="G658" s="14"/>
      <c r="I658" s="15"/>
      <c r="AE658" s="11"/>
      <c r="AG658" s="18"/>
    </row>
    <row r="659">
      <c r="B659" s="11"/>
      <c r="F659" s="13"/>
      <c r="G659" s="14"/>
      <c r="I659" s="15"/>
      <c r="AE659" s="11"/>
      <c r="AG659" s="18"/>
    </row>
    <row r="660">
      <c r="B660" s="11"/>
      <c r="F660" s="13"/>
      <c r="G660" s="14"/>
      <c r="I660" s="15"/>
      <c r="AE660" s="11"/>
      <c r="AG660" s="18"/>
    </row>
    <row r="661">
      <c r="B661" s="11"/>
      <c r="F661" s="13"/>
      <c r="G661" s="14"/>
      <c r="I661" s="15"/>
      <c r="AE661" s="11"/>
      <c r="AG661" s="18"/>
    </row>
    <row r="662">
      <c r="B662" s="11"/>
      <c r="F662" s="13"/>
      <c r="G662" s="14"/>
      <c r="I662" s="15"/>
      <c r="AE662" s="11"/>
      <c r="AG662" s="18"/>
    </row>
    <row r="663">
      <c r="B663" s="11"/>
      <c r="F663" s="13"/>
      <c r="G663" s="14"/>
      <c r="I663" s="15"/>
      <c r="AE663" s="11"/>
      <c r="AG663" s="18"/>
    </row>
    <row r="664">
      <c r="B664" s="11"/>
      <c r="F664" s="13"/>
      <c r="G664" s="14"/>
      <c r="I664" s="15"/>
      <c r="AE664" s="11"/>
      <c r="AG664" s="18"/>
    </row>
    <row r="665">
      <c r="B665" s="11"/>
      <c r="F665" s="13"/>
      <c r="G665" s="14"/>
      <c r="I665" s="15"/>
      <c r="AE665" s="11"/>
      <c r="AG665" s="18"/>
    </row>
    <row r="666">
      <c r="B666" s="11"/>
      <c r="F666" s="13"/>
      <c r="G666" s="14"/>
      <c r="I666" s="15"/>
      <c r="AE666" s="11"/>
      <c r="AG666" s="18"/>
    </row>
    <row r="667">
      <c r="B667" s="11"/>
      <c r="F667" s="13"/>
      <c r="G667" s="14"/>
      <c r="I667" s="15"/>
      <c r="AE667" s="11"/>
      <c r="AG667" s="18"/>
    </row>
    <row r="668">
      <c r="B668" s="11"/>
      <c r="F668" s="13"/>
      <c r="G668" s="14"/>
      <c r="I668" s="15"/>
      <c r="AE668" s="11"/>
      <c r="AG668" s="18"/>
    </row>
    <row r="669">
      <c r="B669" s="11"/>
      <c r="F669" s="13"/>
      <c r="G669" s="14"/>
      <c r="I669" s="15"/>
      <c r="AE669" s="11"/>
      <c r="AG669" s="18"/>
    </row>
    <row r="670">
      <c r="B670" s="11"/>
      <c r="F670" s="13"/>
      <c r="G670" s="14"/>
      <c r="I670" s="15"/>
      <c r="AE670" s="11"/>
      <c r="AG670" s="18"/>
    </row>
    <row r="671">
      <c r="B671" s="11"/>
      <c r="F671" s="13"/>
      <c r="G671" s="14"/>
      <c r="I671" s="15"/>
      <c r="AE671" s="11"/>
      <c r="AG671" s="18"/>
    </row>
    <row r="672">
      <c r="B672" s="11"/>
      <c r="F672" s="13"/>
      <c r="G672" s="14"/>
      <c r="I672" s="15"/>
      <c r="AE672" s="11"/>
      <c r="AG672" s="18"/>
    </row>
    <row r="673">
      <c r="B673" s="11"/>
      <c r="F673" s="13"/>
      <c r="G673" s="14"/>
      <c r="I673" s="15"/>
      <c r="AE673" s="11"/>
      <c r="AG673" s="18"/>
    </row>
    <row r="674">
      <c r="B674" s="11"/>
      <c r="F674" s="13"/>
      <c r="G674" s="14"/>
      <c r="I674" s="15"/>
      <c r="AE674" s="11"/>
      <c r="AG674" s="18"/>
    </row>
    <row r="675">
      <c r="B675" s="11"/>
      <c r="F675" s="13"/>
      <c r="G675" s="14"/>
      <c r="I675" s="15"/>
      <c r="AE675" s="11"/>
      <c r="AG675" s="18"/>
    </row>
    <row r="676">
      <c r="B676" s="11"/>
      <c r="F676" s="13"/>
      <c r="G676" s="14"/>
      <c r="I676" s="15"/>
      <c r="AE676" s="11"/>
      <c r="AG676" s="18"/>
    </row>
    <row r="677">
      <c r="B677" s="11"/>
      <c r="F677" s="13"/>
      <c r="G677" s="14"/>
      <c r="I677" s="15"/>
      <c r="AE677" s="11"/>
      <c r="AG677" s="18"/>
    </row>
    <row r="678">
      <c r="B678" s="11"/>
      <c r="F678" s="13"/>
      <c r="G678" s="14"/>
      <c r="I678" s="15"/>
      <c r="AE678" s="11"/>
      <c r="AG678" s="18"/>
    </row>
    <row r="679">
      <c r="B679" s="11"/>
      <c r="F679" s="13"/>
      <c r="G679" s="14"/>
      <c r="I679" s="15"/>
      <c r="AE679" s="11"/>
      <c r="AG679" s="18"/>
    </row>
    <row r="680">
      <c r="B680" s="11"/>
      <c r="F680" s="13"/>
      <c r="G680" s="14"/>
      <c r="I680" s="15"/>
      <c r="AE680" s="11"/>
      <c r="AG680" s="18"/>
    </row>
    <row r="681">
      <c r="B681" s="11"/>
      <c r="F681" s="13"/>
      <c r="G681" s="14"/>
      <c r="I681" s="15"/>
      <c r="AE681" s="11"/>
      <c r="AG681" s="18"/>
    </row>
    <row r="682">
      <c r="B682" s="11"/>
      <c r="F682" s="13"/>
      <c r="G682" s="14"/>
      <c r="I682" s="15"/>
      <c r="AE682" s="11"/>
      <c r="AG682" s="18"/>
    </row>
    <row r="683">
      <c r="B683" s="11"/>
      <c r="F683" s="13"/>
      <c r="G683" s="14"/>
      <c r="I683" s="15"/>
      <c r="AE683" s="11"/>
      <c r="AG683" s="18"/>
    </row>
    <row r="684">
      <c r="B684" s="11"/>
      <c r="F684" s="13"/>
      <c r="G684" s="14"/>
      <c r="I684" s="15"/>
      <c r="AE684" s="11"/>
      <c r="AG684" s="18"/>
    </row>
    <row r="685">
      <c r="B685" s="11"/>
      <c r="F685" s="13"/>
      <c r="G685" s="14"/>
      <c r="I685" s="15"/>
      <c r="AE685" s="11"/>
      <c r="AG685" s="18"/>
    </row>
    <row r="686">
      <c r="B686" s="11"/>
      <c r="F686" s="13"/>
      <c r="G686" s="14"/>
      <c r="I686" s="15"/>
      <c r="AE686" s="11"/>
      <c r="AG686" s="18"/>
    </row>
    <row r="687">
      <c r="B687" s="11"/>
      <c r="F687" s="13"/>
      <c r="G687" s="14"/>
      <c r="I687" s="15"/>
      <c r="AE687" s="11"/>
      <c r="AG687" s="18"/>
    </row>
    <row r="688">
      <c r="B688" s="11"/>
      <c r="F688" s="13"/>
      <c r="G688" s="14"/>
      <c r="I688" s="15"/>
      <c r="AE688" s="11"/>
      <c r="AG688" s="18"/>
    </row>
    <row r="689">
      <c r="B689" s="11"/>
      <c r="F689" s="13"/>
      <c r="G689" s="14"/>
      <c r="I689" s="15"/>
      <c r="AE689" s="11"/>
      <c r="AG689" s="18"/>
    </row>
    <row r="690">
      <c r="B690" s="11"/>
      <c r="F690" s="13"/>
      <c r="G690" s="14"/>
      <c r="I690" s="15"/>
      <c r="AE690" s="11"/>
      <c r="AG690" s="18"/>
    </row>
    <row r="691">
      <c r="B691" s="11"/>
      <c r="F691" s="13"/>
      <c r="G691" s="14"/>
      <c r="I691" s="15"/>
      <c r="AE691" s="11"/>
      <c r="AG691" s="18"/>
    </row>
    <row r="692">
      <c r="B692" s="11"/>
      <c r="F692" s="13"/>
      <c r="G692" s="14"/>
      <c r="I692" s="15"/>
      <c r="AE692" s="11"/>
      <c r="AG692" s="18"/>
    </row>
    <row r="693">
      <c r="B693" s="11"/>
      <c r="F693" s="13"/>
      <c r="G693" s="14"/>
      <c r="I693" s="15"/>
      <c r="AE693" s="11"/>
      <c r="AG693" s="18"/>
    </row>
    <row r="694">
      <c r="B694" s="11"/>
      <c r="F694" s="13"/>
      <c r="G694" s="14"/>
      <c r="I694" s="15"/>
      <c r="AE694" s="11"/>
      <c r="AG694" s="18"/>
    </row>
    <row r="695">
      <c r="B695" s="11"/>
      <c r="F695" s="13"/>
      <c r="G695" s="14"/>
      <c r="I695" s="15"/>
      <c r="AE695" s="11"/>
      <c r="AG695" s="18"/>
    </row>
    <row r="696">
      <c r="B696" s="11"/>
      <c r="F696" s="13"/>
      <c r="G696" s="14"/>
      <c r="I696" s="15"/>
      <c r="AE696" s="11"/>
      <c r="AG696" s="18"/>
    </row>
    <row r="697">
      <c r="B697" s="11"/>
      <c r="F697" s="13"/>
      <c r="G697" s="14"/>
      <c r="I697" s="15"/>
      <c r="AE697" s="11"/>
      <c r="AG697" s="18"/>
    </row>
    <row r="698">
      <c r="B698" s="11"/>
      <c r="F698" s="13"/>
      <c r="G698" s="14"/>
      <c r="I698" s="15"/>
      <c r="AE698" s="11"/>
      <c r="AG698" s="18"/>
    </row>
    <row r="699">
      <c r="B699" s="11"/>
      <c r="F699" s="13"/>
      <c r="G699" s="14"/>
      <c r="I699" s="15"/>
      <c r="AE699" s="11"/>
      <c r="AG699" s="18"/>
    </row>
    <row r="700">
      <c r="B700" s="11"/>
      <c r="F700" s="13"/>
      <c r="G700" s="14"/>
      <c r="I700" s="15"/>
      <c r="AE700" s="11"/>
      <c r="AG700" s="18"/>
    </row>
    <row r="701">
      <c r="B701" s="11"/>
      <c r="F701" s="13"/>
      <c r="G701" s="14"/>
      <c r="I701" s="15"/>
      <c r="AE701" s="11"/>
      <c r="AG701" s="18"/>
    </row>
    <row r="702">
      <c r="B702" s="11"/>
      <c r="F702" s="13"/>
      <c r="G702" s="14"/>
      <c r="I702" s="15"/>
      <c r="AE702" s="11"/>
      <c r="AG702" s="18"/>
    </row>
    <row r="703">
      <c r="B703" s="11"/>
      <c r="F703" s="13"/>
      <c r="G703" s="14"/>
      <c r="I703" s="15"/>
      <c r="AE703" s="11"/>
      <c r="AG703" s="18"/>
    </row>
    <row r="704">
      <c r="B704" s="11"/>
      <c r="F704" s="13"/>
      <c r="G704" s="14"/>
      <c r="I704" s="15"/>
      <c r="AE704" s="11"/>
      <c r="AG704" s="18"/>
    </row>
    <row r="705">
      <c r="B705" s="11"/>
      <c r="F705" s="13"/>
      <c r="G705" s="14"/>
      <c r="I705" s="15"/>
      <c r="AE705" s="11"/>
      <c r="AG705" s="18"/>
    </row>
    <row r="706">
      <c r="B706" s="11"/>
      <c r="F706" s="13"/>
      <c r="G706" s="14"/>
      <c r="I706" s="15"/>
      <c r="AE706" s="11"/>
      <c r="AG706" s="18"/>
    </row>
    <row r="707">
      <c r="B707" s="11"/>
      <c r="F707" s="13"/>
      <c r="G707" s="14"/>
      <c r="I707" s="15"/>
      <c r="AE707" s="11"/>
      <c r="AG707" s="18"/>
    </row>
    <row r="708">
      <c r="B708" s="11"/>
      <c r="F708" s="13"/>
      <c r="G708" s="14"/>
      <c r="I708" s="15"/>
      <c r="AE708" s="11"/>
      <c r="AG708" s="18"/>
    </row>
    <row r="709">
      <c r="B709" s="11"/>
      <c r="F709" s="13"/>
      <c r="G709" s="14"/>
      <c r="I709" s="15"/>
      <c r="AE709" s="11"/>
      <c r="AG709" s="18"/>
    </row>
    <row r="710">
      <c r="B710" s="11"/>
      <c r="F710" s="13"/>
      <c r="G710" s="14"/>
      <c r="I710" s="15"/>
      <c r="AE710" s="11"/>
      <c r="AG710" s="18"/>
    </row>
    <row r="711">
      <c r="B711" s="11"/>
      <c r="F711" s="13"/>
      <c r="G711" s="14"/>
      <c r="I711" s="15"/>
      <c r="AE711" s="11"/>
      <c r="AG711" s="18"/>
    </row>
    <row r="712">
      <c r="B712" s="11"/>
      <c r="F712" s="13"/>
      <c r="G712" s="14"/>
      <c r="I712" s="15"/>
      <c r="AE712" s="11"/>
      <c r="AG712" s="18"/>
    </row>
    <row r="713">
      <c r="B713" s="11"/>
      <c r="F713" s="13"/>
      <c r="G713" s="14"/>
      <c r="I713" s="15"/>
      <c r="AE713" s="11"/>
      <c r="AG713" s="18"/>
    </row>
    <row r="714">
      <c r="B714" s="11"/>
      <c r="F714" s="13"/>
      <c r="G714" s="14"/>
      <c r="I714" s="15"/>
      <c r="AE714" s="11"/>
      <c r="AG714" s="18"/>
    </row>
    <row r="715">
      <c r="B715" s="11"/>
      <c r="F715" s="13"/>
      <c r="G715" s="14"/>
      <c r="I715" s="15"/>
      <c r="AE715" s="11"/>
      <c r="AG715" s="18"/>
    </row>
    <row r="716">
      <c r="B716" s="11"/>
      <c r="F716" s="13"/>
      <c r="G716" s="14"/>
      <c r="I716" s="15"/>
      <c r="AE716" s="11"/>
      <c r="AG716" s="18"/>
    </row>
    <row r="717">
      <c r="B717" s="11"/>
      <c r="F717" s="13"/>
      <c r="G717" s="14"/>
      <c r="I717" s="15"/>
      <c r="AE717" s="11"/>
      <c r="AG717" s="18"/>
    </row>
    <row r="718">
      <c r="B718" s="11"/>
      <c r="F718" s="13"/>
      <c r="G718" s="14"/>
      <c r="I718" s="15"/>
      <c r="AE718" s="11"/>
      <c r="AG718" s="18"/>
    </row>
    <row r="719">
      <c r="B719" s="11"/>
      <c r="F719" s="13"/>
      <c r="G719" s="14"/>
      <c r="I719" s="15"/>
      <c r="AE719" s="11"/>
      <c r="AG719" s="18"/>
    </row>
    <row r="720">
      <c r="B720" s="11"/>
      <c r="F720" s="13"/>
      <c r="G720" s="14"/>
      <c r="I720" s="15"/>
      <c r="AE720" s="11"/>
      <c r="AG720" s="18"/>
    </row>
    <row r="721">
      <c r="B721" s="11"/>
      <c r="F721" s="13"/>
      <c r="G721" s="14"/>
      <c r="I721" s="15"/>
      <c r="AE721" s="11"/>
      <c r="AG721" s="18"/>
    </row>
    <row r="722">
      <c r="B722" s="11"/>
      <c r="F722" s="13"/>
      <c r="G722" s="14"/>
      <c r="I722" s="15"/>
      <c r="AE722" s="11"/>
      <c r="AG722" s="18"/>
    </row>
    <row r="723">
      <c r="B723" s="11"/>
      <c r="F723" s="13"/>
      <c r="G723" s="14"/>
      <c r="I723" s="15"/>
      <c r="AE723" s="11"/>
      <c r="AG723" s="18"/>
    </row>
    <row r="724">
      <c r="B724" s="11"/>
      <c r="F724" s="13"/>
      <c r="G724" s="14"/>
      <c r="I724" s="15"/>
      <c r="AE724" s="11"/>
      <c r="AG724" s="18"/>
    </row>
    <row r="725">
      <c r="B725" s="11"/>
      <c r="F725" s="13"/>
      <c r="G725" s="14"/>
      <c r="I725" s="15"/>
      <c r="AE725" s="11"/>
      <c r="AG725" s="18"/>
    </row>
    <row r="726">
      <c r="B726" s="11"/>
      <c r="F726" s="13"/>
      <c r="G726" s="14"/>
      <c r="I726" s="15"/>
      <c r="AE726" s="11"/>
      <c r="AG726" s="18"/>
    </row>
    <row r="727">
      <c r="B727" s="11"/>
      <c r="F727" s="13"/>
      <c r="G727" s="14"/>
      <c r="I727" s="15"/>
      <c r="AE727" s="11"/>
      <c r="AG727" s="18"/>
    </row>
    <row r="728">
      <c r="B728" s="11"/>
      <c r="F728" s="13"/>
      <c r="G728" s="14"/>
      <c r="I728" s="15"/>
      <c r="AE728" s="11"/>
      <c r="AG728" s="18"/>
    </row>
    <row r="729">
      <c r="B729" s="11"/>
      <c r="F729" s="13"/>
      <c r="G729" s="14"/>
      <c r="I729" s="15"/>
      <c r="AE729" s="11"/>
      <c r="AG729" s="18"/>
    </row>
    <row r="730">
      <c r="B730" s="11"/>
      <c r="F730" s="13"/>
      <c r="G730" s="14"/>
      <c r="I730" s="15"/>
      <c r="AE730" s="11"/>
      <c r="AG730" s="18"/>
    </row>
    <row r="731">
      <c r="B731" s="11"/>
      <c r="F731" s="13"/>
      <c r="G731" s="14"/>
      <c r="I731" s="15"/>
      <c r="AE731" s="11"/>
      <c r="AG731" s="18"/>
    </row>
    <row r="732">
      <c r="B732" s="11"/>
      <c r="F732" s="13"/>
      <c r="G732" s="14"/>
      <c r="I732" s="15"/>
      <c r="AE732" s="11"/>
      <c r="AG732" s="18"/>
    </row>
    <row r="733">
      <c r="B733" s="11"/>
      <c r="F733" s="13"/>
      <c r="G733" s="14"/>
      <c r="I733" s="15"/>
      <c r="AE733" s="11"/>
      <c r="AG733" s="18"/>
    </row>
    <row r="734">
      <c r="B734" s="11"/>
      <c r="F734" s="13"/>
      <c r="G734" s="14"/>
      <c r="I734" s="15"/>
      <c r="AE734" s="11"/>
      <c r="AG734" s="18"/>
    </row>
    <row r="735">
      <c r="B735" s="11"/>
      <c r="F735" s="13"/>
      <c r="G735" s="14"/>
      <c r="I735" s="15"/>
      <c r="AE735" s="11"/>
      <c r="AG735" s="18"/>
    </row>
    <row r="736">
      <c r="B736" s="11"/>
      <c r="F736" s="13"/>
      <c r="G736" s="14"/>
      <c r="I736" s="15"/>
      <c r="AE736" s="11"/>
      <c r="AG736" s="18"/>
    </row>
    <row r="737">
      <c r="B737" s="11"/>
      <c r="F737" s="13"/>
      <c r="G737" s="14"/>
      <c r="I737" s="15"/>
      <c r="AE737" s="11"/>
      <c r="AG737" s="18"/>
    </row>
    <row r="738">
      <c r="B738" s="11"/>
      <c r="F738" s="13"/>
      <c r="G738" s="14"/>
      <c r="I738" s="15"/>
      <c r="AE738" s="11"/>
      <c r="AG738" s="18"/>
    </row>
    <row r="739">
      <c r="B739" s="11"/>
      <c r="F739" s="13"/>
      <c r="G739" s="14"/>
      <c r="I739" s="15"/>
      <c r="AE739" s="11"/>
      <c r="AG739" s="18"/>
    </row>
    <row r="740">
      <c r="B740" s="11"/>
      <c r="F740" s="13"/>
      <c r="G740" s="14"/>
      <c r="I740" s="15"/>
      <c r="AE740" s="11"/>
      <c r="AG740" s="18"/>
    </row>
    <row r="741">
      <c r="B741" s="11"/>
      <c r="F741" s="13"/>
      <c r="G741" s="14"/>
      <c r="I741" s="15"/>
      <c r="AE741" s="11"/>
      <c r="AG741" s="18"/>
    </row>
    <row r="742">
      <c r="B742" s="11"/>
      <c r="F742" s="13"/>
      <c r="G742" s="14"/>
      <c r="I742" s="15"/>
      <c r="AE742" s="11"/>
      <c r="AG742" s="18"/>
    </row>
    <row r="743">
      <c r="B743" s="11"/>
      <c r="F743" s="13"/>
      <c r="G743" s="14"/>
      <c r="I743" s="15"/>
      <c r="AE743" s="11"/>
      <c r="AG743" s="18"/>
    </row>
    <row r="744">
      <c r="B744" s="11"/>
      <c r="F744" s="13"/>
      <c r="G744" s="14"/>
      <c r="I744" s="15"/>
      <c r="AE744" s="11"/>
      <c r="AG744" s="18"/>
    </row>
    <row r="745">
      <c r="B745" s="11"/>
      <c r="F745" s="13"/>
      <c r="G745" s="14"/>
      <c r="I745" s="15"/>
      <c r="AE745" s="11"/>
      <c r="AG745" s="18"/>
    </row>
    <row r="746">
      <c r="B746" s="11"/>
      <c r="F746" s="13"/>
      <c r="G746" s="14"/>
      <c r="I746" s="15"/>
      <c r="AE746" s="11"/>
      <c r="AG746" s="18"/>
    </row>
    <row r="747">
      <c r="B747" s="11"/>
      <c r="F747" s="13"/>
      <c r="G747" s="14"/>
      <c r="I747" s="15"/>
      <c r="AE747" s="11"/>
      <c r="AG747" s="18"/>
    </row>
    <row r="748">
      <c r="B748" s="11"/>
      <c r="F748" s="13"/>
      <c r="G748" s="14"/>
      <c r="I748" s="15"/>
      <c r="AE748" s="11"/>
      <c r="AG748" s="18"/>
    </row>
    <row r="749">
      <c r="B749" s="11"/>
      <c r="F749" s="13"/>
      <c r="G749" s="14"/>
      <c r="I749" s="15"/>
      <c r="AE749" s="11"/>
      <c r="AG749" s="18"/>
    </row>
    <row r="750">
      <c r="B750" s="11"/>
      <c r="F750" s="13"/>
      <c r="G750" s="14"/>
      <c r="I750" s="15"/>
      <c r="AE750" s="11"/>
      <c r="AG750" s="18"/>
    </row>
    <row r="751">
      <c r="B751" s="11"/>
      <c r="F751" s="13"/>
      <c r="G751" s="14"/>
      <c r="I751" s="15"/>
      <c r="AE751" s="11"/>
      <c r="AG751" s="18"/>
    </row>
    <row r="752">
      <c r="B752" s="11"/>
      <c r="F752" s="13"/>
      <c r="G752" s="14"/>
      <c r="I752" s="15"/>
      <c r="AE752" s="11"/>
      <c r="AG752" s="18"/>
    </row>
    <row r="753">
      <c r="B753" s="11"/>
      <c r="F753" s="13"/>
      <c r="G753" s="14"/>
      <c r="I753" s="15"/>
      <c r="AE753" s="11"/>
      <c r="AG753" s="18"/>
    </row>
    <row r="754">
      <c r="B754" s="11"/>
      <c r="F754" s="13"/>
      <c r="G754" s="14"/>
      <c r="I754" s="15"/>
      <c r="AE754" s="11"/>
      <c r="AG754" s="18"/>
    </row>
    <row r="755">
      <c r="B755" s="11"/>
      <c r="F755" s="13"/>
      <c r="G755" s="14"/>
      <c r="I755" s="15"/>
      <c r="AE755" s="11"/>
      <c r="AG755" s="18"/>
    </row>
    <row r="756">
      <c r="B756" s="11"/>
      <c r="F756" s="13"/>
      <c r="G756" s="14"/>
      <c r="I756" s="15"/>
      <c r="AE756" s="11"/>
      <c r="AG756" s="18"/>
    </row>
    <row r="757">
      <c r="B757" s="11"/>
      <c r="F757" s="13"/>
      <c r="G757" s="14"/>
      <c r="I757" s="15"/>
      <c r="AE757" s="11"/>
      <c r="AG757" s="18"/>
    </row>
    <row r="758">
      <c r="B758" s="11"/>
      <c r="F758" s="13"/>
      <c r="G758" s="14"/>
      <c r="I758" s="15"/>
      <c r="AE758" s="11"/>
      <c r="AG758" s="18"/>
    </row>
    <row r="759">
      <c r="B759" s="11"/>
      <c r="F759" s="13"/>
      <c r="G759" s="14"/>
      <c r="I759" s="15"/>
      <c r="AE759" s="11"/>
      <c r="AG759" s="18"/>
    </row>
    <row r="760">
      <c r="B760" s="11"/>
      <c r="F760" s="13"/>
      <c r="G760" s="14"/>
      <c r="I760" s="15"/>
      <c r="AE760" s="11"/>
      <c r="AG760" s="18"/>
    </row>
    <row r="761">
      <c r="B761" s="11"/>
      <c r="F761" s="13"/>
      <c r="G761" s="14"/>
      <c r="I761" s="15"/>
      <c r="AE761" s="11"/>
      <c r="AG761" s="18"/>
    </row>
    <row r="762">
      <c r="B762" s="11"/>
      <c r="F762" s="13"/>
      <c r="G762" s="14"/>
      <c r="I762" s="15"/>
      <c r="AE762" s="11"/>
      <c r="AG762" s="18"/>
    </row>
    <row r="763">
      <c r="B763" s="11"/>
      <c r="F763" s="13"/>
      <c r="G763" s="14"/>
      <c r="I763" s="15"/>
      <c r="AE763" s="11"/>
      <c r="AG763" s="18"/>
    </row>
    <row r="764">
      <c r="B764" s="11"/>
      <c r="F764" s="13"/>
      <c r="G764" s="14"/>
      <c r="I764" s="15"/>
      <c r="AE764" s="11"/>
      <c r="AG764" s="18"/>
    </row>
    <row r="765">
      <c r="B765" s="11"/>
      <c r="F765" s="13"/>
      <c r="G765" s="14"/>
      <c r="I765" s="15"/>
      <c r="AE765" s="11"/>
      <c r="AG765" s="18"/>
    </row>
    <row r="766">
      <c r="B766" s="11"/>
      <c r="F766" s="13"/>
      <c r="G766" s="14"/>
      <c r="I766" s="15"/>
      <c r="AE766" s="11"/>
      <c r="AG766" s="18"/>
    </row>
    <row r="767">
      <c r="B767" s="11"/>
      <c r="F767" s="13"/>
      <c r="G767" s="14"/>
      <c r="I767" s="15"/>
      <c r="AE767" s="11"/>
      <c r="AG767" s="18"/>
    </row>
    <row r="768">
      <c r="B768" s="11"/>
      <c r="F768" s="13"/>
      <c r="G768" s="14"/>
      <c r="I768" s="15"/>
      <c r="AE768" s="11"/>
      <c r="AG768" s="18"/>
    </row>
    <row r="769">
      <c r="B769" s="11"/>
      <c r="F769" s="13"/>
      <c r="G769" s="14"/>
      <c r="I769" s="15"/>
      <c r="AE769" s="11"/>
      <c r="AG769" s="18"/>
    </row>
    <row r="770">
      <c r="B770" s="11"/>
      <c r="F770" s="13"/>
      <c r="G770" s="14"/>
      <c r="I770" s="15"/>
      <c r="AE770" s="11"/>
      <c r="AG770" s="18"/>
    </row>
    <row r="771">
      <c r="B771" s="11"/>
      <c r="F771" s="13"/>
      <c r="G771" s="14"/>
      <c r="I771" s="15"/>
      <c r="AE771" s="11"/>
      <c r="AG771" s="18"/>
    </row>
    <row r="772">
      <c r="B772" s="11"/>
      <c r="F772" s="13"/>
      <c r="G772" s="14"/>
      <c r="I772" s="15"/>
      <c r="AE772" s="11"/>
      <c r="AG772" s="18"/>
    </row>
    <row r="773">
      <c r="B773" s="11"/>
      <c r="F773" s="13"/>
      <c r="G773" s="14"/>
      <c r="I773" s="15"/>
      <c r="AE773" s="11"/>
      <c r="AG773" s="18"/>
    </row>
    <row r="774">
      <c r="B774" s="11"/>
      <c r="F774" s="13"/>
      <c r="G774" s="14"/>
      <c r="I774" s="15"/>
      <c r="AE774" s="11"/>
      <c r="AG774" s="18"/>
    </row>
    <row r="775">
      <c r="B775" s="11"/>
      <c r="F775" s="13"/>
      <c r="G775" s="14"/>
      <c r="I775" s="15"/>
      <c r="AE775" s="11"/>
      <c r="AG775" s="18"/>
    </row>
    <row r="776">
      <c r="B776" s="11"/>
      <c r="F776" s="13"/>
      <c r="G776" s="14"/>
      <c r="I776" s="15"/>
      <c r="AE776" s="11"/>
      <c r="AG776" s="18"/>
    </row>
    <row r="777">
      <c r="B777" s="11"/>
      <c r="F777" s="13"/>
      <c r="G777" s="14"/>
      <c r="I777" s="15"/>
      <c r="AE777" s="11"/>
      <c r="AG777" s="18"/>
    </row>
    <row r="778">
      <c r="B778" s="11"/>
      <c r="F778" s="13"/>
      <c r="G778" s="14"/>
      <c r="I778" s="15"/>
      <c r="AE778" s="11"/>
      <c r="AG778" s="18"/>
    </row>
    <row r="779">
      <c r="B779" s="11"/>
      <c r="F779" s="13"/>
      <c r="G779" s="14"/>
      <c r="I779" s="15"/>
      <c r="AE779" s="11"/>
      <c r="AG779" s="18"/>
    </row>
    <row r="780">
      <c r="B780" s="11"/>
      <c r="F780" s="13"/>
      <c r="G780" s="14"/>
      <c r="I780" s="15"/>
      <c r="AE780" s="11"/>
      <c r="AG780" s="18"/>
    </row>
    <row r="781">
      <c r="B781" s="11"/>
      <c r="F781" s="13"/>
      <c r="G781" s="14"/>
      <c r="I781" s="15"/>
      <c r="AE781" s="11"/>
      <c r="AG781" s="18"/>
    </row>
    <row r="782">
      <c r="B782" s="11"/>
      <c r="F782" s="13"/>
      <c r="G782" s="14"/>
      <c r="I782" s="15"/>
      <c r="AE782" s="11"/>
      <c r="AG782" s="18"/>
    </row>
    <row r="783">
      <c r="B783" s="11"/>
      <c r="F783" s="13"/>
      <c r="G783" s="14"/>
      <c r="I783" s="15"/>
      <c r="AE783" s="11"/>
      <c r="AG783" s="18"/>
    </row>
    <row r="784">
      <c r="B784" s="11"/>
      <c r="F784" s="13"/>
      <c r="G784" s="14"/>
      <c r="I784" s="15"/>
      <c r="AE784" s="11"/>
      <c r="AG784" s="18"/>
    </row>
    <row r="785">
      <c r="B785" s="11"/>
      <c r="F785" s="13"/>
      <c r="G785" s="14"/>
      <c r="I785" s="15"/>
      <c r="AE785" s="11"/>
      <c r="AG785" s="18"/>
    </row>
    <row r="786">
      <c r="B786" s="11"/>
      <c r="F786" s="13"/>
      <c r="G786" s="14"/>
      <c r="I786" s="15"/>
      <c r="AE786" s="11"/>
      <c r="AG786" s="18"/>
    </row>
    <row r="787">
      <c r="B787" s="11"/>
      <c r="F787" s="13"/>
      <c r="G787" s="14"/>
      <c r="I787" s="15"/>
      <c r="AE787" s="11"/>
      <c r="AG787" s="18"/>
    </row>
    <row r="788">
      <c r="B788" s="11"/>
      <c r="F788" s="13"/>
      <c r="G788" s="14"/>
      <c r="I788" s="15"/>
      <c r="AE788" s="11"/>
      <c r="AG788" s="18"/>
    </row>
    <row r="789">
      <c r="B789" s="11"/>
      <c r="F789" s="13"/>
      <c r="G789" s="14"/>
      <c r="I789" s="15"/>
      <c r="AE789" s="11"/>
      <c r="AG789" s="18"/>
    </row>
    <row r="790">
      <c r="B790" s="11"/>
      <c r="F790" s="13"/>
      <c r="G790" s="14"/>
      <c r="I790" s="15"/>
      <c r="AE790" s="11"/>
      <c r="AG790" s="18"/>
    </row>
    <row r="791">
      <c r="B791" s="11"/>
      <c r="F791" s="13"/>
      <c r="G791" s="14"/>
      <c r="I791" s="15"/>
      <c r="AE791" s="11"/>
      <c r="AG791" s="18"/>
    </row>
    <row r="792">
      <c r="B792" s="11"/>
      <c r="F792" s="13"/>
      <c r="G792" s="14"/>
      <c r="I792" s="15"/>
      <c r="AE792" s="11"/>
      <c r="AG792" s="18"/>
    </row>
    <row r="793">
      <c r="B793" s="11"/>
      <c r="F793" s="13"/>
      <c r="G793" s="14"/>
      <c r="I793" s="15"/>
      <c r="AE793" s="11"/>
      <c r="AG793" s="18"/>
    </row>
    <row r="794">
      <c r="B794" s="11"/>
      <c r="F794" s="13"/>
      <c r="G794" s="14"/>
      <c r="I794" s="15"/>
      <c r="AE794" s="11"/>
      <c r="AG794" s="18"/>
    </row>
    <row r="795">
      <c r="B795" s="11"/>
      <c r="F795" s="13"/>
      <c r="G795" s="14"/>
      <c r="I795" s="15"/>
      <c r="AE795" s="11"/>
      <c r="AG795" s="18"/>
    </row>
    <row r="796">
      <c r="B796" s="11"/>
      <c r="F796" s="13"/>
      <c r="G796" s="14"/>
      <c r="I796" s="15"/>
      <c r="AE796" s="11"/>
      <c r="AG796" s="18"/>
    </row>
    <row r="797">
      <c r="B797" s="11"/>
      <c r="F797" s="13"/>
      <c r="G797" s="14"/>
      <c r="I797" s="15"/>
      <c r="AE797" s="11"/>
      <c r="AG797" s="18"/>
    </row>
    <row r="798">
      <c r="B798" s="11"/>
      <c r="F798" s="13"/>
      <c r="G798" s="14"/>
      <c r="I798" s="15"/>
      <c r="AE798" s="11"/>
      <c r="AG798" s="18"/>
    </row>
    <row r="799">
      <c r="B799" s="11"/>
      <c r="F799" s="13"/>
      <c r="G799" s="14"/>
      <c r="I799" s="15"/>
      <c r="AE799" s="11"/>
      <c r="AG799" s="18"/>
    </row>
    <row r="800">
      <c r="B800" s="11"/>
      <c r="F800" s="13"/>
      <c r="G800" s="14"/>
      <c r="I800" s="15"/>
      <c r="AE800" s="11"/>
      <c r="AG800" s="18"/>
    </row>
    <row r="801">
      <c r="B801" s="11"/>
      <c r="F801" s="13"/>
      <c r="G801" s="14"/>
      <c r="I801" s="15"/>
      <c r="AE801" s="11"/>
      <c r="AG801" s="18"/>
    </row>
    <row r="802">
      <c r="B802" s="11"/>
      <c r="F802" s="13"/>
      <c r="G802" s="14"/>
      <c r="I802" s="15"/>
      <c r="AE802" s="11"/>
      <c r="AG802" s="18"/>
    </row>
    <row r="803">
      <c r="B803" s="11"/>
      <c r="F803" s="13"/>
      <c r="G803" s="14"/>
      <c r="I803" s="15"/>
      <c r="AE803" s="11"/>
      <c r="AG803" s="18"/>
    </row>
    <row r="804">
      <c r="B804" s="11"/>
      <c r="F804" s="13"/>
      <c r="G804" s="14"/>
      <c r="I804" s="15"/>
      <c r="AE804" s="11"/>
      <c r="AG804" s="18"/>
    </row>
    <row r="805">
      <c r="B805" s="11"/>
      <c r="F805" s="13"/>
      <c r="G805" s="14"/>
      <c r="I805" s="15"/>
      <c r="AE805" s="11"/>
      <c r="AG805" s="18"/>
    </row>
    <row r="806">
      <c r="B806" s="11"/>
      <c r="F806" s="13"/>
      <c r="G806" s="14"/>
      <c r="I806" s="15"/>
      <c r="AE806" s="11"/>
      <c r="AG806" s="18"/>
    </row>
    <row r="807">
      <c r="B807" s="11"/>
      <c r="F807" s="13"/>
      <c r="G807" s="14"/>
      <c r="I807" s="15"/>
      <c r="AE807" s="11"/>
      <c r="AG807" s="18"/>
    </row>
    <row r="808">
      <c r="B808" s="11"/>
      <c r="F808" s="13"/>
      <c r="G808" s="14"/>
      <c r="I808" s="15"/>
      <c r="AE808" s="11"/>
      <c r="AG808" s="18"/>
    </row>
    <row r="809">
      <c r="B809" s="11"/>
      <c r="F809" s="13"/>
      <c r="G809" s="14"/>
      <c r="I809" s="15"/>
      <c r="AE809" s="11"/>
      <c r="AG809" s="18"/>
    </row>
    <row r="810">
      <c r="B810" s="11"/>
      <c r="F810" s="13"/>
      <c r="G810" s="14"/>
      <c r="I810" s="15"/>
      <c r="AE810" s="11"/>
      <c r="AG810" s="18"/>
    </row>
    <row r="811">
      <c r="B811" s="11"/>
      <c r="F811" s="13"/>
      <c r="G811" s="14"/>
      <c r="I811" s="15"/>
      <c r="AE811" s="11"/>
      <c r="AG811" s="18"/>
    </row>
    <row r="812">
      <c r="B812" s="11"/>
      <c r="F812" s="13"/>
      <c r="G812" s="14"/>
      <c r="I812" s="15"/>
      <c r="AE812" s="11"/>
      <c r="AG812" s="18"/>
    </row>
    <row r="813">
      <c r="B813" s="11"/>
      <c r="F813" s="13"/>
      <c r="G813" s="14"/>
      <c r="I813" s="15"/>
      <c r="AE813" s="11"/>
      <c r="AG813" s="18"/>
    </row>
    <row r="814">
      <c r="B814" s="11"/>
      <c r="F814" s="13"/>
      <c r="G814" s="14"/>
      <c r="I814" s="15"/>
      <c r="AE814" s="11"/>
      <c r="AG814" s="18"/>
    </row>
    <row r="815">
      <c r="B815" s="11"/>
      <c r="F815" s="13"/>
      <c r="G815" s="14"/>
      <c r="I815" s="15"/>
      <c r="AE815" s="11"/>
      <c r="AG815" s="18"/>
    </row>
    <row r="816">
      <c r="B816" s="11"/>
      <c r="F816" s="13"/>
      <c r="G816" s="14"/>
      <c r="I816" s="15"/>
      <c r="AE816" s="11"/>
      <c r="AG816" s="18"/>
    </row>
    <row r="817">
      <c r="B817" s="11"/>
      <c r="F817" s="13"/>
      <c r="G817" s="14"/>
      <c r="I817" s="15"/>
      <c r="AE817" s="11"/>
      <c r="AG817" s="18"/>
    </row>
    <row r="818">
      <c r="B818" s="11"/>
      <c r="F818" s="13"/>
      <c r="G818" s="14"/>
      <c r="I818" s="15"/>
      <c r="AE818" s="11"/>
      <c r="AG818" s="18"/>
    </row>
    <row r="819">
      <c r="B819" s="11"/>
      <c r="F819" s="13"/>
      <c r="G819" s="14"/>
      <c r="I819" s="15"/>
      <c r="AE819" s="11"/>
      <c r="AG819" s="18"/>
    </row>
    <row r="820">
      <c r="B820" s="11"/>
      <c r="F820" s="13"/>
      <c r="G820" s="14"/>
      <c r="I820" s="15"/>
      <c r="AE820" s="11"/>
      <c r="AG820" s="18"/>
    </row>
    <row r="821">
      <c r="B821" s="11"/>
      <c r="F821" s="13"/>
      <c r="G821" s="14"/>
      <c r="I821" s="15"/>
      <c r="AE821" s="11"/>
      <c r="AG821" s="18"/>
    </row>
    <row r="822">
      <c r="B822" s="11"/>
      <c r="F822" s="13"/>
      <c r="G822" s="14"/>
      <c r="I822" s="15"/>
      <c r="AE822" s="11"/>
      <c r="AG822" s="18"/>
    </row>
    <row r="823">
      <c r="B823" s="11"/>
      <c r="F823" s="13"/>
      <c r="G823" s="14"/>
      <c r="I823" s="15"/>
      <c r="AE823" s="11"/>
      <c r="AG823" s="18"/>
    </row>
    <row r="824">
      <c r="B824" s="11"/>
      <c r="F824" s="13"/>
      <c r="G824" s="14"/>
      <c r="I824" s="15"/>
      <c r="AE824" s="11"/>
      <c r="AG824" s="18"/>
    </row>
    <row r="825">
      <c r="B825" s="11"/>
      <c r="F825" s="13"/>
      <c r="G825" s="14"/>
      <c r="I825" s="15"/>
      <c r="AE825" s="11"/>
      <c r="AG825" s="18"/>
    </row>
    <row r="826">
      <c r="B826" s="11"/>
      <c r="F826" s="13"/>
      <c r="G826" s="14"/>
      <c r="I826" s="15"/>
      <c r="AE826" s="11"/>
      <c r="AG826" s="18"/>
    </row>
    <row r="827">
      <c r="B827" s="11"/>
      <c r="F827" s="13"/>
      <c r="G827" s="14"/>
      <c r="I827" s="15"/>
      <c r="AE827" s="11"/>
      <c r="AG827" s="18"/>
    </row>
    <row r="828">
      <c r="B828" s="11"/>
      <c r="F828" s="13"/>
      <c r="G828" s="14"/>
      <c r="I828" s="15"/>
      <c r="AE828" s="11"/>
      <c r="AG828" s="18"/>
    </row>
    <row r="829">
      <c r="B829" s="11"/>
      <c r="F829" s="13"/>
      <c r="G829" s="14"/>
      <c r="I829" s="15"/>
      <c r="AE829" s="11"/>
      <c r="AG829" s="18"/>
    </row>
    <row r="830">
      <c r="B830" s="11"/>
      <c r="F830" s="13"/>
      <c r="G830" s="14"/>
      <c r="I830" s="15"/>
      <c r="AE830" s="11"/>
      <c r="AG830" s="18"/>
    </row>
    <row r="831">
      <c r="B831" s="11"/>
      <c r="F831" s="13"/>
      <c r="G831" s="14"/>
      <c r="I831" s="15"/>
      <c r="AE831" s="11"/>
      <c r="AG831" s="18"/>
    </row>
    <row r="832">
      <c r="B832" s="11"/>
      <c r="F832" s="13"/>
      <c r="G832" s="14"/>
      <c r="I832" s="15"/>
      <c r="AE832" s="11"/>
      <c r="AG832" s="18"/>
    </row>
    <row r="833">
      <c r="B833" s="11"/>
      <c r="F833" s="13"/>
      <c r="G833" s="14"/>
      <c r="I833" s="15"/>
      <c r="AE833" s="11"/>
      <c r="AG833" s="18"/>
    </row>
    <row r="834">
      <c r="B834" s="11"/>
      <c r="F834" s="13"/>
      <c r="G834" s="14"/>
      <c r="I834" s="15"/>
      <c r="AE834" s="11"/>
      <c r="AG834" s="18"/>
    </row>
    <row r="835">
      <c r="B835" s="11"/>
      <c r="F835" s="13"/>
      <c r="G835" s="14"/>
      <c r="I835" s="15"/>
      <c r="AE835" s="11"/>
      <c r="AG835" s="18"/>
    </row>
    <row r="836">
      <c r="B836" s="11"/>
      <c r="F836" s="13"/>
      <c r="G836" s="14"/>
      <c r="I836" s="15"/>
      <c r="AE836" s="11"/>
      <c r="AG836" s="18"/>
    </row>
    <row r="837">
      <c r="B837" s="11"/>
      <c r="F837" s="13"/>
      <c r="G837" s="14"/>
      <c r="I837" s="15"/>
      <c r="AE837" s="11"/>
      <c r="AG837" s="18"/>
    </row>
    <row r="838">
      <c r="B838" s="11"/>
      <c r="F838" s="13"/>
      <c r="G838" s="14"/>
      <c r="I838" s="15"/>
      <c r="AE838" s="11"/>
      <c r="AG838" s="18"/>
    </row>
    <row r="839">
      <c r="B839" s="11"/>
      <c r="F839" s="13"/>
      <c r="G839" s="14"/>
      <c r="I839" s="15"/>
      <c r="AE839" s="11"/>
      <c r="AG839" s="18"/>
    </row>
    <row r="840">
      <c r="B840" s="11"/>
      <c r="F840" s="13"/>
      <c r="G840" s="14"/>
      <c r="I840" s="15"/>
      <c r="AE840" s="11"/>
      <c r="AG840" s="18"/>
    </row>
    <row r="841">
      <c r="B841" s="11"/>
      <c r="F841" s="13"/>
      <c r="G841" s="14"/>
      <c r="I841" s="15"/>
      <c r="AE841" s="11"/>
      <c r="AG841" s="18"/>
    </row>
    <row r="842">
      <c r="B842" s="11"/>
      <c r="F842" s="13"/>
      <c r="G842" s="14"/>
      <c r="I842" s="15"/>
      <c r="AE842" s="11"/>
      <c r="AG842" s="18"/>
    </row>
    <row r="843">
      <c r="B843" s="11"/>
      <c r="F843" s="13"/>
      <c r="G843" s="14"/>
      <c r="I843" s="15"/>
      <c r="AE843" s="11"/>
      <c r="AG843" s="18"/>
    </row>
    <row r="844">
      <c r="B844" s="11"/>
      <c r="F844" s="13"/>
      <c r="G844" s="14"/>
      <c r="I844" s="15"/>
      <c r="AE844" s="11"/>
      <c r="AG844" s="18"/>
    </row>
    <row r="845">
      <c r="B845" s="11"/>
      <c r="F845" s="13"/>
      <c r="G845" s="14"/>
      <c r="I845" s="15"/>
      <c r="AE845" s="11"/>
      <c r="AG845" s="18"/>
    </row>
    <row r="846">
      <c r="B846" s="11"/>
      <c r="F846" s="13"/>
      <c r="G846" s="14"/>
      <c r="I846" s="15"/>
      <c r="AE846" s="11"/>
      <c r="AG846" s="18"/>
    </row>
    <row r="847">
      <c r="B847" s="11"/>
      <c r="F847" s="13"/>
      <c r="G847" s="14"/>
      <c r="I847" s="15"/>
      <c r="AE847" s="11"/>
      <c r="AG847" s="18"/>
    </row>
    <row r="848">
      <c r="B848" s="11"/>
      <c r="F848" s="13"/>
      <c r="G848" s="14"/>
      <c r="I848" s="15"/>
      <c r="AE848" s="11"/>
      <c r="AG848" s="18"/>
    </row>
    <row r="849">
      <c r="B849" s="11"/>
      <c r="F849" s="13"/>
      <c r="G849" s="14"/>
      <c r="I849" s="15"/>
      <c r="AE849" s="11"/>
      <c r="AG849" s="18"/>
    </row>
    <row r="850">
      <c r="B850" s="11"/>
      <c r="F850" s="13"/>
      <c r="G850" s="14"/>
      <c r="I850" s="15"/>
      <c r="AE850" s="11"/>
      <c r="AG850" s="18"/>
    </row>
    <row r="851">
      <c r="B851" s="11"/>
      <c r="F851" s="13"/>
      <c r="G851" s="14"/>
      <c r="I851" s="15"/>
      <c r="AE851" s="11"/>
      <c r="AG851" s="18"/>
    </row>
    <row r="852">
      <c r="B852" s="11"/>
      <c r="F852" s="13"/>
      <c r="G852" s="14"/>
      <c r="I852" s="15"/>
      <c r="AE852" s="11"/>
      <c r="AG852" s="18"/>
    </row>
    <row r="853">
      <c r="B853" s="11"/>
      <c r="F853" s="13"/>
      <c r="G853" s="14"/>
      <c r="I853" s="15"/>
      <c r="AE853" s="11"/>
      <c r="AG853" s="18"/>
    </row>
    <row r="854">
      <c r="B854" s="11"/>
      <c r="F854" s="13"/>
      <c r="G854" s="14"/>
      <c r="I854" s="15"/>
      <c r="AE854" s="11"/>
      <c r="AG854" s="18"/>
    </row>
    <row r="855">
      <c r="B855" s="11"/>
      <c r="F855" s="13"/>
      <c r="G855" s="14"/>
      <c r="I855" s="15"/>
      <c r="AE855" s="11"/>
      <c r="AG855" s="18"/>
    </row>
    <row r="856">
      <c r="B856" s="11"/>
      <c r="F856" s="13"/>
      <c r="G856" s="14"/>
      <c r="I856" s="15"/>
      <c r="AE856" s="11"/>
      <c r="AG856" s="18"/>
    </row>
    <row r="857">
      <c r="B857" s="11"/>
      <c r="F857" s="13"/>
      <c r="G857" s="14"/>
      <c r="I857" s="15"/>
      <c r="AE857" s="11"/>
      <c r="AG857" s="18"/>
    </row>
    <row r="858">
      <c r="B858" s="11"/>
      <c r="F858" s="13"/>
      <c r="G858" s="14"/>
      <c r="I858" s="15"/>
      <c r="AE858" s="11"/>
      <c r="AG858" s="18"/>
    </row>
    <row r="859">
      <c r="B859" s="11"/>
      <c r="F859" s="13"/>
      <c r="G859" s="14"/>
      <c r="I859" s="15"/>
      <c r="AE859" s="11"/>
      <c r="AG859" s="18"/>
    </row>
    <row r="860">
      <c r="B860" s="11"/>
      <c r="F860" s="13"/>
      <c r="G860" s="14"/>
      <c r="I860" s="15"/>
      <c r="AE860" s="11"/>
      <c r="AG860" s="18"/>
    </row>
    <row r="861">
      <c r="B861" s="11"/>
      <c r="F861" s="13"/>
      <c r="G861" s="14"/>
      <c r="I861" s="15"/>
      <c r="AE861" s="11"/>
      <c r="AG861" s="18"/>
    </row>
    <row r="862">
      <c r="B862" s="11"/>
      <c r="F862" s="13"/>
      <c r="G862" s="14"/>
      <c r="I862" s="15"/>
      <c r="AE862" s="11"/>
      <c r="AG862" s="18"/>
    </row>
    <row r="863">
      <c r="B863" s="11"/>
      <c r="F863" s="13"/>
      <c r="G863" s="14"/>
      <c r="I863" s="15"/>
      <c r="AE863" s="11"/>
      <c r="AG863" s="18"/>
    </row>
    <row r="864">
      <c r="B864" s="11"/>
      <c r="F864" s="13"/>
      <c r="G864" s="14"/>
      <c r="I864" s="15"/>
      <c r="AE864" s="11"/>
      <c r="AG864" s="18"/>
    </row>
    <row r="865">
      <c r="B865" s="11"/>
      <c r="F865" s="13"/>
      <c r="G865" s="14"/>
      <c r="I865" s="15"/>
      <c r="AE865" s="11"/>
      <c r="AG865" s="18"/>
    </row>
    <row r="866">
      <c r="B866" s="11"/>
      <c r="F866" s="13"/>
      <c r="G866" s="14"/>
      <c r="I866" s="15"/>
      <c r="AE866" s="11"/>
      <c r="AG866" s="18"/>
    </row>
    <row r="867">
      <c r="B867" s="11"/>
      <c r="F867" s="13"/>
      <c r="G867" s="14"/>
      <c r="I867" s="15"/>
      <c r="AE867" s="11"/>
      <c r="AG867" s="18"/>
    </row>
    <row r="868">
      <c r="B868" s="11"/>
      <c r="F868" s="13"/>
      <c r="G868" s="14"/>
      <c r="I868" s="15"/>
      <c r="AE868" s="11"/>
      <c r="AG868" s="18"/>
    </row>
    <row r="869">
      <c r="B869" s="11"/>
      <c r="F869" s="13"/>
      <c r="G869" s="14"/>
      <c r="I869" s="15"/>
      <c r="AE869" s="11"/>
      <c r="AG869" s="18"/>
    </row>
    <row r="870">
      <c r="B870" s="11"/>
      <c r="F870" s="13"/>
      <c r="G870" s="14"/>
      <c r="I870" s="15"/>
      <c r="AE870" s="11"/>
      <c r="AG870" s="18"/>
    </row>
    <row r="871">
      <c r="B871" s="11"/>
      <c r="F871" s="13"/>
      <c r="G871" s="14"/>
      <c r="I871" s="15"/>
      <c r="AE871" s="11"/>
      <c r="AG871" s="18"/>
    </row>
    <row r="872">
      <c r="B872" s="11"/>
      <c r="F872" s="13"/>
      <c r="G872" s="14"/>
      <c r="I872" s="15"/>
      <c r="AE872" s="11"/>
      <c r="AG872" s="18"/>
    </row>
    <row r="873">
      <c r="B873" s="11"/>
      <c r="F873" s="13"/>
      <c r="G873" s="14"/>
      <c r="I873" s="15"/>
      <c r="AE873" s="11"/>
      <c r="AG873" s="18"/>
    </row>
    <row r="874">
      <c r="B874" s="11"/>
      <c r="F874" s="13"/>
      <c r="G874" s="14"/>
      <c r="I874" s="15"/>
      <c r="AE874" s="11"/>
      <c r="AG874" s="18"/>
    </row>
    <row r="875">
      <c r="B875" s="11"/>
      <c r="F875" s="13"/>
      <c r="G875" s="14"/>
      <c r="I875" s="15"/>
      <c r="AE875" s="11"/>
      <c r="AG875" s="18"/>
    </row>
    <row r="876">
      <c r="B876" s="11"/>
      <c r="F876" s="13"/>
      <c r="G876" s="14"/>
      <c r="I876" s="15"/>
      <c r="AE876" s="11"/>
      <c r="AG876" s="18"/>
    </row>
    <row r="877">
      <c r="B877" s="11"/>
      <c r="F877" s="13"/>
      <c r="G877" s="14"/>
      <c r="I877" s="15"/>
      <c r="AE877" s="11"/>
      <c r="AG877" s="18"/>
    </row>
    <row r="878">
      <c r="B878" s="11"/>
      <c r="F878" s="13"/>
      <c r="G878" s="14"/>
      <c r="I878" s="15"/>
      <c r="AE878" s="11"/>
      <c r="AG878" s="18"/>
    </row>
    <row r="879">
      <c r="B879" s="11"/>
      <c r="F879" s="13"/>
      <c r="G879" s="14"/>
      <c r="I879" s="15"/>
      <c r="AE879" s="11"/>
      <c r="AG879" s="18"/>
    </row>
    <row r="880">
      <c r="B880" s="11"/>
      <c r="F880" s="13"/>
      <c r="G880" s="14"/>
      <c r="I880" s="15"/>
      <c r="AE880" s="11"/>
      <c r="AG880" s="18"/>
    </row>
    <row r="881">
      <c r="B881" s="11"/>
      <c r="F881" s="13"/>
      <c r="G881" s="14"/>
      <c r="I881" s="15"/>
      <c r="AE881" s="11"/>
      <c r="AG881" s="18"/>
    </row>
    <row r="882">
      <c r="B882" s="11"/>
      <c r="F882" s="13"/>
      <c r="G882" s="14"/>
      <c r="I882" s="15"/>
      <c r="AE882" s="11"/>
      <c r="AG882" s="18"/>
    </row>
    <row r="883">
      <c r="B883" s="11"/>
      <c r="F883" s="13"/>
      <c r="G883" s="14"/>
      <c r="I883" s="15"/>
      <c r="AE883" s="11"/>
      <c r="AG883" s="18"/>
    </row>
    <row r="884">
      <c r="B884" s="11"/>
      <c r="F884" s="13"/>
      <c r="G884" s="14"/>
      <c r="I884" s="15"/>
      <c r="AE884" s="11"/>
      <c r="AG884" s="18"/>
    </row>
    <row r="885">
      <c r="B885" s="11"/>
      <c r="F885" s="13"/>
      <c r="G885" s="14"/>
      <c r="I885" s="15"/>
      <c r="AE885" s="11"/>
      <c r="AG885" s="18"/>
    </row>
    <row r="886">
      <c r="B886" s="11"/>
      <c r="F886" s="13"/>
      <c r="G886" s="14"/>
      <c r="I886" s="15"/>
      <c r="AE886" s="11"/>
      <c r="AG886" s="18"/>
    </row>
    <row r="887">
      <c r="B887" s="11"/>
      <c r="F887" s="13"/>
      <c r="G887" s="14"/>
      <c r="I887" s="15"/>
      <c r="AE887" s="11"/>
      <c r="AG887" s="18"/>
    </row>
    <row r="888">
      <c r="B888" s="11"/>
      <c r="F888" s="13"/>
      <c r="G888" s="14"/>
      <c r="I888" s="15"/>
      <c r="AE888" s="11"/>
      <c r="AG888" s="18"/>
    </row>
    <row r="889">
      <c r="B889" s="11"/>
      <c r="F889" s="13"/>
      <c r="G889" s="14"/>
      <c r="I889" s="15"/>
      <c r="AE889" s="11"/>
      <c r="AG889" s="18"/>
    </row>
    <row r="890">
      <c r="B890" s="11"/>
      <c r="F890" s="13"/>
      <c r="G890" s="14"/>
      <c r="I890" s="15"/>
      <c r="AE890" s="11"/>
      <c r="AG890" s="18"/>
    </row>
    <row r="891">
      <c r="B891" s="11"/>
      <c r="F891" s="13"/>
      <c r="G891" s="14"/>
      <c r="I891" s="15"/>
      <c r="AE891" s="11"/>
      <c r="AG891" s="18"/>
    </row>
    <row r="892">
      <c r="B892" s="11"/>
      <c r="F892" s="13"/>
      <c r="G892" s="14"/>
      <c r="I892" s="15"/>
      <c r="AE892" s="11"/>
      <c r="AG892" s="18"/>
    </row>
    <row r="893">
      <c r="B893" s="11"/>
      <c r="F893" s="13"/>
      <c r="G893" s="14"/>
      <c r="I893" s="15"/>
      <c r="AE893" s="11"/>
      <c r="AG893" s="18"/>
    </row>
    <row r="894">
      <c r="B894" s="11"/>
      <c r="F894" s="13"/>
      <c r="G894" s="14"/>
      <c r="I894" s="15"/>
      <c r="AE894" s="11"/>
      <c r="AG894" s="18"/>
    </row>
    <row r="895">
      <c r="B895" s="11"/>
      <c r="F895" s="13"/>
      <c r="G895" s="14"/>
      <c r="I895" s="15"/>
      <c r="AE895" s="11"/>
      <c r="AG895" s="18"/>
    </row>
    <row r="896">
      <c r="B896" s="11"/>
      <c r="F896" s="13"/>
      <c r="G896" s="14"/>
      <c r="I896" s="15"/>
      <c r="AE896" s="11"/>
      <c r="AG896" s="18"/>
    </row>
    <row r="897">
      <c r="B897" s="11"/>
      <c r="F897" s="13"/>
      <c r="G897" s="14"/>
      <c r="I897" s="15"/>
      <c r="AE897" s="11"/>
      <c r="AG897" s="18"/>
    </row>
    <row r="898">
      <c r="B898" s="11"/>
      <c r="F898" s="13"/>
      <c r="G898" s="14"/>
      <c r="I898" s="15"/>
      <c r="AE898" s="11"/>
      <c r="AG898" s="18"/>
    </row>
    <row r="899">
      <c r="B899" s="11"/>
      <c r="F899" s="13"/>
      <c r="G899" s="14"/>
      <c r="I899" s="15"/>
      <c r="AE899" s="11"/>
      <c r="AG899" s="18"/>
    </row>
    <row r="900">
      <c r="B900" s="11"/>
      <c r="F900" s="13"/>
      <c r="G900" s="14"/>
      <c r="I900" s="15"/>
      <c r="AE900" s="11"/>
      <c r="AG900" s="18"/>
    </row>
    <row r="901">
      <c r="B901" s="11"/>
      <c r="F901" s="13"/>
      <c r="G901" s="14"/>
      <c r="I901" s="15"/>
      <c r="AE901" s="11"/>
      <c r="AG901" s="18"/>
    </row>
    <row r="902">
      <c r="B902" s="11"/>
      <c r="F902" s="13"/>
      <c r="G902" s="14"/>
      <c r="I902" s="15"/>
      <c r="AE902" s="11"/>
      <c r="AG902" s="18"/>
    </row>
    <row r="903">
      <c r="B903" s="11"/>
      <c r="F903" s="13"/>
      <c r="G903" s="14"/>
      <c r="I903" s="15"/>
      <c r="AE903" s="11"/>
      <c r="AG903" s="18"/>
    </row>
    <row r="904">
      <c r="B904" s="11"/>
      <c r="F904" s="13"/>
      <c r="G904" s="14"/>
      <c r="I904" s="15"/>
      <c r="AE904" s="11"/>
      <c r="AG904" s="18"/>
    </row>
    <row r="905">
      <c r="B905" s="11"/>
      <c r="F905" s="13"/>
      <c r="G905" s="14"/>
      <c r="I905" s="15"/>
      <c r="AE905" s="11"/>
      <c r="AG905" s="18"/>
    </row>
    <row r="906">
      <c r="B906" s="11"/>
      <c r="F906" s="13"/>
      <c r="G906" s="14"/>
      <c r="I906" s="15"/>
      <c r="AE906" s="11"/>
      <c r="AG906" s="18"/>
    </row>
    <row r="907">
      <c r="B907" s="11"/>
      <c r="F907" s="13"/>
      <c r="G907" s="14"/>
      <c r="I907" s="15"/>
      <c r="AE907" s="11"/>
      <c r="AG907" s="18"/>
    </row>
    <row r="908">
      <c r="B908" s="11"/>
      <c r="F908" s="13"/>
      <c r="G908" s="14"/>
      <c r="I908" s="15"/>
      <c r="AE908" s="11"/>
      <c r="AG908" s="18"/>
    </row>
    <row r="909">
      <c r="B909" s="11"/>
      <c r="F909" s="13"/>
      <c r="G909" s="14"/>
      <c r="I909" s="15"/>
      <c r="AE909" s="11"/>
      <c r="AG909" s="18"/>
    </row>
    <row r="910">
      <c r="B910" s="11"/>
      <c r="F910" s="13"/>
      <c r="G910" s="14"/>
      <c r="I910" s="15"/>
      <c r="AE910" s="11"/>
      <c r="AG910" s="18"/>
    </row>
    <row r="911">
      <c r="B911" s="11"/>
      <c r="F911" s="13"/>
      <c r="G911" s="14"/>
      <c r="I911" s="15"/>
      <c r="AE911" s="11"/>
      <c r="AG911" s="18"/>
    </row>
    <row r="912">
      <c r="B912" s="11"/>
      <c r="F912" s="13"/>
      <c r="G912" s="14"/>
      <c r="I912" s="15"/>
      <c r="AE912" s="11"/>
      <c r="AG912" s="18"/>
    </row>
    <row r="913">
      <c r="B913" s="11"/>
      <c r="F913" s="13"/>
      <c r="G913" s="14"/>
      <c r="I913" s="15"/>
      <c r="AE913" s="11"/>
      <c r="AG913" s="18"/>
    </row>
    <row r="914">
      <c r="B914" s="11"/>
      <c r="F914" s="13"/>
      <c r="G914" s="14"/>
      <c r="I914" s="15"/>
      <c r="AE914" s="11"/>
      <c r="AG914" s="18"/>
    </row>
    <row r="915">
      <c r="B915" s="11"/>
      <c r="F915" s="13"/>
      <c r="G915" s="14"/>
      <c r="I915" s="15"/>
      <c r="AE915" s="11"/>
      <c r="AG915" s="18"/>
    </row>
    <row r="916">
      <c r="B916" s="11"/>
      <c r="F916" s="13"/>
      <c r="G916" s="14"/>
      <c r="I916" s="15"/>
      <c r="AE916" s="11"/>
      <c r="AG916" s="18"/>
    </row>
    <row r="917">
      <c r="B917" s="11"/>
      <c r="F917" s="13"/>
      <c r="G917" s="14"/>
      <c r="I917" s="15"/>
      <c r="AE917" s="11"/>
      <c r="AG917" s="18"/>
    </row>
    <row r="918">
      <c r="B918" s="11"/>
      <c r="F918" s="13"/>
      <c r="G918" s="14"/>
      <c r="I918" s="15"/>
      <c r="AE918" s="11"/>
      <c r="AG918" s="18"/>
    </row>
    <row r="919">
      <c r="B919" s="11"/>
      <c r="F919" s="13"/>
      <c r="G919" s="14"/>
      <c r="I919" s="15"/>
      <c r="AE919" s="11"/>
      <c r="AG919" s="18"/>
    </row>
    <row r="920">
      <c r="B920" s="11"/>
      <c r="F920" s="13"/>
      <c r="G920" s="14"/>
      <c r="I920" s="15"/>
      <c r="AE920" s="11"/>
      <c r="AG920" s="18"/>
    </row>
    <row r="921">
      <c r="B921" s="11"/>
      <c r="F921" s="13"/>
      <c r="G921" s="14"/>
      <c r="I921" s="15"/>
      <c r="AE921" s="11"/>
      <c r="AG921" s="18"/>
    </row>
    <row r="922">
      <c r="B922" s="11"/>
      <c r="F922" s="13"/>
      <c r="G922" s="14"/>
      <c r="I922" s="15"/>
      <c r="AE922" s="11"/>
      <c r="AG922" s="18"/>
    </row>
    <row r="923">
      <c r="B923" s="11"/>
      <c r="F923" s="13"/>
      <c r="G923" s="14"/>
      <c r="I923" s="15"/>
      <c r="AE923" s="11"/>
      <c r="AG923" s="18"/>
    </row>
    <row r="924">
      <c r="B924" s="11"/>
      <c r="F924" s="13"/>
      <c r="G924" s="14"/>
      <c r="I924" s="15"/>
      <c r="AE924" s="11"/>
      <c r="AG924" s="18"/>
    </row>
    <row r="925">
      <c r="B925" s="11"/>
      <c r="F925" s="13"/>
      <c r="G925" s="14"/>
      <c r="I925" s="15"/>
      <c r="AE925" s="11"/>
      <c r="AG925" s="18"/>
    </row>
    <row r="926">
      <c r="B926" s="11"/>
      <c r="F926" s="13"/>
      <c r="G926" s="14"/>
      <c r="I926" s="15"/>
      <c r="AE926" s="11"/>
      <c r="AG926" s="18"/>
    </row>
    <row r="927">
      <c r="B927" s="11"/>
      <c r="F927" s="13"/>
      <c r="G927" s="14"/>
      <c r="I927" s="15"/>
      <c r="AE927" s="11"/>
      <c r="AG927" s="18"/>
    </row>
    <row r="928">
      <c r="B928" s="11"/>
      <c r="F928" s="13"/>
      <c r="G928" s="14"/>
      <c r="I928" s="15"/>
      <c r="AE928" s="11"/>
      <c r="AG928" s="18"/>
    </row>
    <row r="929">
      <c r="B929" s="11"/>
      <c r="F929" s="13"/>
      <c r="G929" s="14"/>
      <c r="I929" s="15"/>
      <c r="AE929" s="11"/>
      <c r="AG929" s="18"/>
    </row>
    <row r="930">
      <c r="B930" s="11"/>
      <c r="F930" s="13"/>
      <c r="G930" s="14"/>
      <c r="I930" s="15"/>
      <c r="AE930" s="11"/>
      <c r="AG930" s="18"/>
    </row>
    <row r="931">
      <c r="B931" s="11"/>
      <c r="F931" s="13"/>
      <c r="G931" s="14"/>
      <c r="I931" s="15"/>
      <c r="AE931" s="11"/>
      <c r="AG931" s="18"/>
    </row>
    <row r="932">
      <c r="B932" s="11"/>
      <c r="F932" s="13"/>
      <c r="G932" s="14"/>
      <c r="I932" s="15"/>
      <c r="AE932" s="11"/>
      <c r="AG932" s="18"/>
    </row>
    <row r="933">
      <c r="B933" s="11"/>
      <c r="F933" s="13"/>
      <c r="G933" s="14"/>
      <c r="I933" s="15"/>
      <c r="AE933" s="11"/>
      <c r="AG933" s="18"/>
    </row>
    <row r="934">
      <c r="B934" s="11"/>
      <c r="F934" s="13"/>
      <c r="G934" s="14"/>
      <c r="I934" s="15"/>
      <c r="AE934" s="11"/>
      <c r="AG934" s="18"/>
    </row>
    <row r="935">
      <c r="B935" s="11"/>
      <c r="F935" s="13"/>
      <c r="G935" s="14"/>
      <c r="I935" s="15"/>
      <c r="AE935" s="11"/>
      <c r="AG935" s="18"/>
    </row>
    <row r="936">
      <c r="B936" s="11"/>
      <c r="F936" s="13"/>
      <c r="G936" s="14"/>
      <c r="I936" s="15"/>
      <c r="AE936" s="11"/>
      <c r="AG936" s="18"/>
    </row>
    <row r="937">
      <c r="B937" s="11"/>
      <c r="F937" s="13"/>
      <c r="G937" s="14"/>
      <c r="I937" s="15"/>
      <c r="AE937" s="11"/>
      <c r="AG937" s="18"/>
    </row>
    <row r="938">
      <c r="B938" s="11"/>
      <c r="F938" s="13"/>
      <c r="G938" s="14"/>
      <c r="I938" s="15"/>
      <c r="AE938" s="11"/>
      <c r="AG938" s="18"/>
    </row>
    <row r="939">
      <c r="B939" s="11"/>
      <c r="F939" s="13"/>
      <c r="G939" s="14"/>
      <c r="I939" s="15"/>
      <c r="AE939" s="11"/>
      <c r="AG939" s="18"/>
    </row>
    <row r="940">
      <c r="B940" s="11"/>
      <c r="F940" s="13"/>
      <c r="G940" s="14"/>
      <c r="I940" s="15"/>
      <c r="AE940" s="11"/>
      <c r="AG940" s="18"/>
    </row>
    <row r="941">
      <c r="B941" s="11"/>
      <c r="F941" s="13"/>
      <c r="G941" s="14"/>
      <c r="I941" s="15"/>
      <c r="AE941" s="11"/>
      <c r="AG941" s="18"/>
    </row>
    <row r="942">
      <c r="B942" s="11"/>
      <c r="F942" s="13"/>
      <c r="G942" s="14"/>
      <c r="I942" s="15"/>
      <c r="AE942" s="11"/>
      <c r="AG942" s="18"/>
    </row>
    <row r="943">
      <c r="B943" s="11"/>
      <c r="F943" s="13"/>
      <c r="G943" s="14"/>
      <c r="I943" s="15"/>
      <c r="AE943" s="11"/>
      <c r="AG943" s="18"/>
    </row>
    <row r="944">
      <c r="B944" s="11"/>
      <c r="F944" s="13"/>
      <c r="G944" s="14"/>
      <c r="I944" s="15"/>
      <c r="AE944" s="11"/>
      <c r="AG944" s="18"/>
    </row>
    <row r="945">
      <c r="B945" s="11"/>
      <c r="F945" s="13"/>
      <c r="G945" s="14"/>
      <c r="I945" s="15"/>
      <c r="AE945" s="11"/>
      <c r="AG945" s="18"/>
    </row>
    <row r="946">
      <c r="B946" s="11"/>
      <c r="F946" s="13"/>
      <c r="G946" s="14"/>
      <c r="I946" s="15"/>
      <c r="AE946" s="11"/>
      <c r="AG946" s="18"/>
    </row>
    <row r="947">
      <c r="B947" s="11"/>
      <c r="F947" s="13"/>
      <c r="G947" s="14"/>
      <c r="I947" s="15"/>
      <c r="AE947" s="11"/>
      <c r="AG947" s="18"/>
    </row>
    <row r="948">
      <c r="B948" s="11"/>
      <c r="F948" s="13"/>
      <c r="G948" s="14"/>
      <c r="I948" s="15"/>
      <c r="AE948" s="11"/>
      <c r="AG948" s="18"/>
    </row>
    <row r="949">
      <c r="B949" s="11"/>
      <c r="F949" s="13"/>
      <c r="G949" s="14"/>
      <c r="I949" s="15"/>
      <c r="AE949" s="11"/>
      <c r="AG949" s="18"/>
    </row>
    <row r="950">
      <c r="B950" s="11"/>
      <c r="F950" s="13"/>
      <c r="G950" s="14"/>
      <c r="I950" s="15"/>
      <c r="AE950" s="11"/>
      <c r="AG950" s="18"/>
    </row>
    <row r="951">
      <c r="B951" s="11"/>
      <c r="F951" s="13"/>
      <c r="G951" s="14"/>
      <c r="I951" s="15"/>
      <c r="AE951" s="11"/>
      <c r="AG951" s="18"/>
    </row>
    <row r="952">
      <c r="B952" s="11"/>
      <c r="F952" s="13"/>
      <c r="G952" s="14"/>
      <c r="I952" s="15"/>
      <c r="AE952" s="11"/>
      <c r="AG952" s="18"/>
    </row>
    <row r="953">
      <c r="B953" s="11"/>
      <c r="F953" s="13"/>
      <c r="G953" s="14"/>
      <c r="I953" s="15"/>
      <c r="AE953" s="11"/>
      <c r="AG953" s="18"/>
    </row>
    <row r="954">
      <c r="B954" s="11"/>
      <c r="F954" s="13"/>
      <c r="G954" s="14"/>
      <c r="I954" s="15"/>
      <c r="AE954" s="11"/>
      <c r="AG954" s="18"/>
    </row>
    <row r="955">
      <c r="B955" s="11"/>
      <c r="F955" s="13"/>
      <c r="G955" s="14"/>
      <c r="I955" s="15"/>
      <c r="AE955" s="11"/>
      <c r="AG955" s="18"/>
    </row>
    <row r="956">
      <c r="B956" s="11"/>
      <c r="F956" s="13"/>
      <c r="G956" s="14"/>
      <c r="I956" s="15"/>
      <c r="AE956" s="11"/>
      <c r="AG956" s="18"/>
    </row>
    <row r="957">
      <c r="B957" s="11"/>
      <c r="F957" s="13"/>
      <c r="G957" s="14"/>
      <c r="I957" s="15"/>
      <c r="AE957" s="11"/>
      <c r="AG957" s="18"/>
    </row>
    <row r="958">
      <c r="B958" s="11"/>
      <c r="F958" s="13"/>
      <c r="G958" s="14"/>
      <c r="I958" s="15"/>
      <c r="AE958" s="11"/>
      <c r="AG958" s="18"/>
    </row>
    <row r="959">
      <c r="B959" s="11"/>
      <c r="F959" s="13"/>
      <c r="G959" s="14"/>
      <c r="I959" s="15"/>
      <c r="AE959" s="11"/>
      <c r="AG959" s="18"/>
    </row>
    <row r="960">
      <c r="B960" s="11"/>
      <c r="F960" s="13"/>
      <c r="G960" s="14"/>
      <c r="I960" s="15"/>
      <c r="AE960" s="11"/>
      <c r="AG960" s="18"/>
    </row>
    <row r="961">
      <c r="B961" s="11"/>
      <c r="F961" s="13"/>
      <c r="G961" s="14"/>
      <c r="I961" s="15"/>
      <c r="AE961" s="11"/>
      <c r="AG961" s="18"/>
    </row>
    <row r="962">
      <c r="B962" s="11"/>
      <c r="F962" s="13"/>
      <c r="G962" s="14"/>
      <c r="I962" s="15"/>
      <c r="AE962" s="11"/>
      <c r="AG962" s="18"/>
    </row>
    <row r="963">
      <c r="B963" s="11"/>
      <c r="F963" s="13"/>
      <c r="G963" s="14"/>
      <c r="I963" s="15"/>
      <c r="AE963" s="11"/>
      <c r="AG963" s="18"/>
    </row>
    <row r="964">
      <c r="B964" s="11"/>
      <c r="F964" s="13"/>
      <c r="G964" s="14"/>
      <c r="I964" s="15"/>
      <c r="AE964" s="11"/>
      <c r="AG964" s="18"/>
    </row>
    <row r="965">
      <c r="B965" s="11"/>
      <c r="F965" s="13"/>
      <c r="G965" s="14"/>
      <c r="I965" s="15"/>
      <c r="AE965" s="11"/>
      <c r="AG965" s="18"/>
    </row>
    <row r="966">
      <c r="B966" s="11"/>
      <c r="F966" s="13"/>
      <c r="G966" s="14"/>
      <c r="I966" s="15"/>
      <c r="AE966" s="11"/>
      <c r="AG966" s="18"/>
    </row>
    <row r="967">
      <c r="B967" s="11"/>
      <c r="F967" s="13"/>
      <c r="G967" s="14"/>
      <c r="I967" s="15"/>
      <c r="AE967" s="11"/>
      <c r="AG967" s="18"/>
    </row>
    <row r="968">
      <c r="B968" s="11"/>
      <c r="F968" s="13"/>
      <c r="G968" s="14"/>
      <c r="I968" s="15"/>
      <c r="AE968" s="11"/>
      <c r="AG968" s="18"/>
    </row>
    <row r="969">
      <c r="B969" s="11"/>
      <c r="F969" s="13"/>
      <c r="G969" s="14"/>
      <c r="I969" s="15"/>
      <c r="AE969" s="11"/>
      <c r="AG969" s="18"/>
    </row>
    <row r="970">
      <c r="B970" s="11"/>
      <c r="F970" s="13"/>
      <c r="G970" s="14"/>
      <c r="I970" s="15"/>
      <c r="AE970" s="11"/>
      <c r="AG970" s="18"/>
    </row>
    <row r="971">
      <c r="B971" s="11"/>
      <c r="F971" s="13"/>
      <c r="G971" s="14"/>
      <c r="I971" s="15"/>
      <c r="AE971" s="11"/>
      <c r="AG971" s="18"/>
    </row>
    <row r="972">
      <c r="B972" s="11"/>
      <c r="F972" s="13"/>
      <c r="G972" s="14"/>
      <c r="I972" s="15"/>
      <c r="AE972" s="11"/>
      <c r="AG972" s="18"/>
    </row>
    <row r="973">
      <c r="B973" s="11"/>
      <c r="F973" s="13"/>
      <c r="G973" s="14"/>
      <c r="I973" s="15"/>
      <c r="AE973" s="11"/>
      <c r="AG973" s="18"/>
    </row>
    <row r="974">
      <c r="B974" s="11"/>
      <c r="F974" s="13"/>
      <c r="G974" s="14"/>
      <c r="I974" s="15"/>
      <c r="AE974" s="11"/>
      <c r="AG974" s="18"/>
    </row>
  </sheetData>
  <conditionalFormatting sqref="AG1:AG974">
    <cfRule type="containsBlanks" dxfId="0" priority="1">
      <formula>LEN(TRIM(AG1))=0</formula>
    </cfRule>
  </conditionalFormatting>
  <conditionalFormatting sqref="AG1:AG974">
    <cfRule type="containsText" dxfId="1" priority="2" operator="containsText" text="KR">
      <formula>NOT(ISERROR(SEARCH(("KR"),(AG1))))</formula>
    </cfRule>
  </conditionalFormatting>
  <conditionalFormatting sqref="AG1:AG974">
    <cfRule type="beginsWith" dxfId="2" priority="3" operator="beginsWith" text="cancel">
      <formula>LEFT((AG1),LEN("cancel"))=("cancel")</formula>
    </cfRule>
  </conditionalFormatting>
  <conditionalFormatting sqref="AG1:AG974">
    <cfRule type="containsText" dxfId="1" priority="4" operator="containsText" text="J">
      <formula>NOT(ISERROR(SEARCH(("J"),(AG1))))</formula>
    </cfRule>
  </conditionalFormatting>
  <conditionalFormatting sqref="AG1:AG974">
    <cfRule type="containsText" dxfId="1" priority="5" operator="containsText" text="ND">
      <formula>NOT(ISERROR(SEARCH(("ND"),(AG1))))</formula>
    </cfRule>
  </conditionalFormatting>
  <conditionalFormatting sqref="AG1:AG974">
    <cfRule type="containsText" dxfId="1" priority="6" operator="containsText" text="SF">
      <formula>NOT(ISERROR(SEARCH(("SF"),(AG1))))</formula>
    </cfRule>
  </conditionalFormatting>
  <conditionalFormatting sqref="AG1:AG974">
    <cfRule type="containsText" dxfId="1" priority="7" operator="containsText" text="LS">
      <formula>NOT(ISERROR(SEARCH(("LS"),(AG1))))</formula>
    </cfRule>
  </conditionalFormatting>
  <conditionalFormatting sqref="AG1:AG974">
    <cfRule type="containsText" dxfId="1" priority="8" operator="containsText" text="SW">
      <formula>NOT(ISERROR(SEARCH(("SW"),(AG1))))</formula>
    </cfRule>
  </conditionalFormatting>
  <conditionalFormatting sqref="AG1:AG974">
    <cfRule type="containsText" dxfId="1" priority="9" operator="containsText" text="SE">
      <formula>NOT(ISERROR(SEARCH(("SE"),(AG1))))</formula>
    </cfRule>
  </conditionalFormatting>
  <conditionalFormatting sqref="AG1:AG974">
    <cfRule type="containsText" dxfId="1" priority="10" operator="containsText" text="pm">
      <formula>NOT(ISERROR(SEARCH(("pm"),(AG1))))</formula>
    </cfRule>
  </conditionalFormatting>
  <conditionalFormatting sqref="AH1:AH974 AG187:AG188">
    <cfRule type="containsBlanks" dxfId="0" priority="11">
      <formula>LEN(TRIM(AH1))=0</formula>
    </cfRule>
  </conditionalFormatting>
  <conditionalFormatting sqref="AH1:AH974 AG187:AG188">
    <cfRule type="notContainsBlanks" dxfId="1" priority="12">
      <formula>LEN(TRIM(AH1))&gt;0</formula>
    </cfRule>
  </conditionalFormatting>
  <conditionalFormatting sqref="AG1:AG974">
    <cfRule type="notContainsBlanks" dxfId="1" priority="13">
      <formula>LEN(TRIM(AG1))&gt;0</formula>
    </cfRule>
  </conditionalFormatting>
  <hyperlinks>
    <hyperlink r:id="rId1" ref="AJ27"/>
    <hyperlink r:id="rId2" ref="AJ28"/>
    <hyperlink r:id="rId3" ref="AJ29"/>
    <hyperlink r:id="rId4" ref="AJ30"/>
    <hyperlink r:id="rId5" ref="AJ31"/>
    <hyperlink r:id="rId6" ref="AJ32"/>
    <hyperlink r:id="rId7" ref="AJ33"/>
    <hyperlink r:id="rId8" ref="AJ34"/>
    <hyperlink r:id="rId9" ref="AJ35"/>
    <hyperlink r:id="rId10" ref="AJ36"/>
    <hyperlink r:id="rId11" ref="AJ37"/>
    <hyperlink r:id="rId12" ref="AJ38"/>
    <hyperlink r:id="rId13" ref="AJ39"/>
    <hyperlink r:id="rId14" ref="AJ41"/>
    <hyperlink r:id="rId15" ref="AJ42"/>
    <hyperlink r:id="rId16" ref="AJ43"/>
    <hyperlink r:id="rId17" ref="AJ44"/>
    <hyperlink r:id="rId18" ref="AJ45"/>
    <hyperlink r:id="rId19" ref="AJ46"/>
    <hyperlink r:id="rId20" ref="AJ47"/>
    <hyperlink r:id="rId21" ref="AJ48"/>
    <hyperlink r:id="rId22" ref="AJ49"/>
    <hyperlink r:id="rId23" ref="AJ50"/>
    <hyperlink r:id="rId24" ref="AJ51"/>
    <hyperlink r:id="rId25" ref="AJ52"/>
    <hyperlink r:id="rId26" ref="AJ53"/>
    <hyperlink r:id="rId27" ref="AJ54"/>
    <hyperlink r:id="rId28" ref="AJ55"/>
    <hyperlink r:id="rId29" ref="AJ56"/>
    <hyperlink r:id="rId30" ref="AJ57"/>
    <hyperlink r:id="rId31" ref="AJ58"/>
    <hyperlink r:id="rId32" ref="AJ59"/>
    <hyperlink r:id="rId33" ref="AJ60"/>
    <hyperlink r:id="rId34" ref="AJ61"/>
    <hyperlink r:id="rId35" ref="AJ62"/>
    <hyperlink r:id="rId36" ref="AJ63"/>
    <hyperlink r:id="rId37" ref="AJ64"/>
    <hyperlink r:id="rId38" ref="AJ65"/>
    <hyperlink r:id="rId39" ref="AJ66"/>
    <hyperlink r:id="rId40" ref="AJ67"/>
    <hyperlink r:id="rId41" ref="AJ68"/>
    <hyperlink r:id="rId42" ref="AJ69"/>
    <hyperlink r:id="rId43" ref="AJ70"/>
    <hyperlink r:id="rId44" ref="AJ71"/>
    <hyperlink r:id="rId45" ref="AJ72"/>
    <hyperlink r:id="rId46" ref="AJ73"/>
    <hyperlink r:id="rId47" ref="AJ74"/>
    <hyperlink r:id="rId48" ref="AJ75"/>
    <hyperlink r:id="rId49" ref="AJ76"/>
    <hyperlink r:id="rId50" ref="AJ77"/>
    <hyperlink r:id="rId51" ref="AJ78"/>
    <hyperlink r:id="rId52" ref="AJ79"/>
    <hyperlink r:id="rId53" ref="AJ80"/>
    <hyperlink r:id="rId54" ref="AJ81"/>
    <hyperlink r:id="rId55" ref="AJ82"/>
    <hyperlink r:id="rId56" ref="AJ83"/>
    <hyperlink r:id="rId57" ref="AJ84"/>
    <hyperlink r:id="rId58" ref="AJ85"/>
    <hyperlink r:id="rId59" ref="AJ86"/>
    <hyperlink r:id="rId60" ref="AJ87"/>
    <hyperlink r:id="rId61" ref="AJ88"/>
    <hyperlink r:id="rId62" ref="AJ89"/>
    <hyperlink r:id="rId63" ref="AJ90"/>
    <hyperlink r:id="rId64" ref="AJ91"/>
    <hyperlink r:id="rId65" ref="AJ92"/>
    <hyperlink r:id="rId66" ref="AJ93"/>
    <hyperlink r:id="rId67" ref="AJ94"/>
    <hyperlink r:id="rId68" ref="AJ95"/>
    <hyperlink r:id="rId69" ref="AJ96"/>
    <hyperlink r:id="rId70" ref="AJ97"/>
    <hyperlink r:id="rId71" ref="AJ98"/>
    <hyperlink r:id="rId72" ref="AJ99"/>
    <hyperlink r:id="rId73" ref="AJ100"/>
    <hyperlink r:id="rId74" ref="AJ101"/>
    <hyperlink r:id="rId75" ref="AJ102"/>
    <hyperlink r:id="rId76" ref="AJ103"/>
    <hyperlink r:id="rId77" ref="AJ104"/>
    <hyperlink r:id="rId78" ref="AJ105"/>
    <hyperlink r:id="rId79" ref="AJ106"/>
    <hyperlink r:id="rId80" ref="AJ107"/>
    <hyperlink r:id="rId81" ref="AJ108"/>
    <hyperlink r:id="rId82" ref="AJ109"/>
    <hyperlink r:id="rId83" ref="AJ110"/>
    <hyperlink r:id="rId84" ref="AJ111"/>
    <hyperlink r:id="rId85" ref="AJ112"/>
    <hyperlink r:id="rId86" ref="AJ113"/>
    <hyperlink r:id="rId87" ref="AJ114"/>
    <hyperlink r:id="rId88" ref="AJ115"/>
    <hyperlink r:id="rId89" ref="AJ116"/>
    <hyperlink r:id="rId90" ref="AJ117"/>
    <hyperlink r:id="rId91" ref="AJ118"/>
    <hyperlink r:id="rId92" ref="AJ119"/>
    <hyperlink r:id="rId93" ref="AJ120"/>
    <hyperlink r:id="rId94" ref="AJ121"/>
    <hyperlink r:id="rId95" ref="AJ122"/>
    <hyperlink r:id="rId96" ref="AJ123"/>
    <hyperlink r:id="rId97" ref="AJ124"/>
    <hyperlink r:id="rId98" ref="AJ125"/>
    <hyperlink r:id="rId99" ref="AJ126"/>
    <hyperlink r:id="rId100" ref="AJ127"/>
    <hyperlink r:id="rId101" ref="AJ128"/>
    <hyperlink r:id="rId102" ref="AJ129"/>
    <hyperlink r:id="rId103" ref="AJ130"/>
    <hyperlink r:id="rId104" ref="AJ131"/>
    <hyperlink r:id="rId105" ref="AJ132"/>
    <hyperlink r:id="rId106" ref="AJ133"/>
    <hyperlink r:id="rId107" ref="AJ134"/>
    <hyperlink r:id="rId108" ref="AJ135"/>
    <hyperlink r:id="rId109" ref="AJ136"/>
    <hyperlink r:id="rId110" ref="AJ137"/>
    <hyperlink r:id="rId111" ref="AJ138"/>
    <hyperlink r:id="rId112" ref="AJ139"/>
    <hyperlink r:id="rId113" ref="AJ140"/>
    <hyperlink r:id="rId114" ref="AJ141"/>
    <hyperlink r:id="rId115" ref="AJ142"/>
    <hyperlink r:id="rId116" ref="AJ143"/>
    <hyperlink r:id="rId117" ref="AJ144"/>
    <hyperlink r:id="rId118" ref="AJ145"/>
    <hyperlink r:id="rId119" ref="AJ146"/>
    <hyperlink r:id="rId120" ref="AJ147"/>
    <hyperlink r:id="rId121" ref="AJ148"/>
    <hyperlink r:id="rId122" ref="AJ149"/>
    <hyperlink r:id="rId123" ref="AJ150"/>
    <hyperlink r:id="rId124" ref="AJ151"/>
    <hyperlink r:id="rId125" ref="AJ152"/>
    <hyperlink r:id="rId126" ref="AJ153"/>
    <hyperlink r:id="rId127" ref="AJ154"/>
    <hyperlink r:id="rId128" ref="AJ155"/>
    <hyperlink r:id="rId129" ref="AJ156"/>
    <hyperlink r:id="rId130" ref="AJ157"/>
    <hyperlink r:id="rId131" ref="AJ158"/>
    <hyperlink r:id="rId132" ref="AJ159"/>
    <hyperlink r:id="rId133" ref="AJ160"/>
    <hyperlink r:id="rId134" ref="AJ161"/>
    <hyperlink r:id="rId135" ref="AJ162"/>
    <hyperlink r:id="rId136" ref="AJ163"/>
    <hyperlink r:id="rId137" ref="AJ164"/>
    <hyperlink r:id="rId138" ref="AJ165"/>
    <hyperlink r:id="rId139" ref="AJ166"/>
    <hyperlink r:id="rId140" ref="AJ167"/>
    <hyperlink r:id="rId141" ref="AJ168"/>
    <hyperlink r:id="rId142" ref="AJ169"/>
    <hyperlink r:id="rId143" ref="AJ170"/>
    <hyperlink r:id="rId144" ref="AJ171"/>
    <hyperlink r:id="rId145" ref="AJ172"/>
    <hyperlink r:id="rId146" ref="AJ173"/>
    <hyperlink r:id="rId147" ref="AJ174"/>
    <hyperlink r:id="rId148" ref="AJ175"/>
    <hyperlink r:id="rId149" ref="AJ176"/>
    <hyperlink r:id="rId150" ref="AJ177"/>
    <hyperlink r:id="rId151" ref="AJ178"/>
    <hyperlink r:id="rId152" ref="AJ179"/>
    <hyperlink r:id="rId153" ref="AJ180"/>
    <hyperlink r:id="rId154" ref="AJ181"/>
    <hyperlink r:id="rId155" ref="AJ182"/>
    <hyperlink r:id="rId156" ref="AJ183"/>
    <hyperlink r:id="rId157" ref="AJ184"/>
    <hyperlink r:id="rId158" ref="AJ185"/>
    <hyperlink r:id="rId159" ref="AJ186"/>
    <hyperlink r:id="rId160" ref="AJ187"/>
    <hyperlink r:id="rId161" ref="AJ188"/>
    <hyperlink r:id="rId162" ref="AJ189"/>
    <hyperlink r:id="rId163" ref="AJ190"/>
    <hyperlink r:id="rId164" ref="AJ191"/>
    <hyperlink r:id="rId165" ref="AJ192"/>
    <hyperlink r:id="rId166" ref="AJ193"/>
    <hyperlink r:id="rId167" ref="AJ194"/>
    <hyperlink r:id="rId168" ref="AJ195"/>
    <hyperlink r:id="rId169" ref="AJ196"/>
    <hyperlink r:id="rId170" ref="AJ197"/>
    <hyperlink r:id="rId171" ref="AJ198"/>
    <hyperlink r:id="rId172" ref="AJ199"/>
    <hyperlink r:id="rId173" ref="AJ200"/>
    <hyperlink r:id="rId174" ref="AJ201"/>
    <hyperlink r:id="rId175" ref="AJ202"/>
    <hyperlink r:id="rId176" ref="AJ203"/>
    <hyperlink r:id="rId177" ref="AJ204"/>
    <hyperlink r:id="rId178" ref="AJ206"/>
    <hyperlink r:id="rId179" ref="AJ207"/>
    <hyperlink r:id="rId180" ref="AJ208"/>
    <hyperlink r:id="rId181" ref="AJ209"/>
    <hyperlink r:id="rId182" ref="AJ210"/>
    <hyperlink r:id="rId183" ref="AJ211"/>
    <hyperlink r:id="rId184" ref="AJ212"/>
    <hyperlink r:id="rId185" ref="AJ213"/>
    <hyperlink r:id="rId186" ref="AJ214"/>
    <hyperlink r:id="rId187" ref="AJ215"/>
    <hyperlink r:id="rId188" ref="AJ216"/>
    <hyperlink r:id="rId189" ref="AJ217"/>
    <hyperlink r:id="rId190" ref="AJ218"/>
    <hyperlink r:id="rId191" ref="AJ219"/>
    <hyperlink r:id="rId192" ref="AJ220"/>
    <hyperlink r:id="rId193" ref="AJ221"/>
    <hyperlink r:id="rId194" ref="AJ222"/>
    <hyperlink r:id="rId195" ref="AJ223"/>
    <hyperlink r:id="rId196" ref="AJ224"/>
    <hyperlink r:id="rId197" ref="AJ225"/>
    <hyperlink r:id="rId198" ref="AJ226"/>
    <hyperlink r:id="rId199" ref="AJ227"/>
    <hyperlink r:id="rId200" ref="AJ228"/>
    <hyperlink r:id="rId201" ref="AJ229"/>
    <hyperlink r:id="rId202" ref="AJ230"/>
    <hyperlink r:id="rId203" ref="AJ231"/>
    <hyperlink r:id="rId204" ref="AJ232"/>
    <hyperlink r:id="rId205" ref="AJ233"/>
    <hyperlink r:id="rId206" ref="AJ234"/>
    <hyperlink r:id="rId207" ref="AJ235"/>
    <hyperlink r:id="rId208" ref="AJ236"/>
    <hyperlink r:id="rId209" ref="AJ237"/>
    <hyperlink r:id="rId210" ref="AJ238"/>
    <hyperlink r:id="rId211" ref="AJ239"/>
    <hyperlink r:id="rId212" ref="AJ240"/>
    <hyperlink r:id="rId213" ref="AJ241"/>
    <hyperlink r:id="rId214" ref="AJ242"/>
    <hyperlink r:id="rId215" ref="AJ243"/>
    <hyperlink r:id="rId216" ref="AJ244"/>
    <hyperlink r:id="rId217" ref="AJ245"/>
    <hyperlink r:id="rId218" ref="AJ246"/>
    <hyperlink r:id="rId219" ref="AJ247"/>
    <hyperlink r:id="rId220" ref="AJ248"/>
    <hyperlink r:id="rId221" ref="AJ249"/>
    <hyperlink r:id="rId222" ref="AJ250"/>
    <hyperlink r:id="rId223" ref="AJ251"/>
    <hyperlink r:id="rId224" ref="AJ252"/>
    <hyperlink r:id="rId225" ref="AJ253"/>
    <hyperlink r:id="rId226" ref="AJ254"/>
    <hyperlink r:id="rId227" ref="AJ255"/>
    <hyperlink r:id="rId228" ref="AJ256"/>
    <hyperlink r:id="rId229" ref="AJ257"/>
    <hyperlink r:id="rId230" ref="AJ258"/>
    <hyperlink r:id="rId231" ref="AJ259"/>
    <hyperlink r:id="rId232" ref="AJ260"/>
    <hyperlink r:id="rId233" ref="AJ261"/>
    <hyperlink r:id="rId234" ref="AJ262"/>
    <hyperlink r:id="rId235" ref="AJ263"/>
    <hyperlink r:id="rId236" ref="AJ264"/>
    <hyperlink r:id="rId237" ref="AJ265"/>
    <hyperlink r:id="rId238" ref="AJ266"/>
    <hyperlink r:id="rId239" ref="AJ267"/>
    <hyperlink r:id="rId240" ref="AJ268"/>
    <hyperlink r:id="rId241" ref="AJ269"/>
    <hyperlink r:id="rId242" ref="AJ270"/>
    <hyperlink r:id="rId243" ref="AJ271"/>
    <hyperlink r:id="rId244" ref="AJ272"/>
    <hyperlink r:id="rId245" ref="AJ273"/>
    <hyperlink r:id="rId246" ref="AJ274"/>
    <hyperlink r:id="rId247" ref="AJ275"/>
    <hyperlink r:id="rId248" ref="AJ276"/>
    <hyperlink r:id="rId249" ref="AJ277"/>
    <hyperlink r:id="rId250" ref="AJ278"/>
    <hyperlink r:id="rId251" ref="AJ279"/>
    <hyperlink r:id="rId252" ref="AJ280"/>
    <hyperlink r:id="rId253" ref="AJ281"/>
    <hyperlink r:id="rId254" ref="AJ282"/>
    <hyperlink r:id="rId255" ref="AJ283"/>
    <hyperlink r:id="rId256" ref="AJ284"/>
    <hyperlink r:id="rId257" ref="AJ285"/>
    <hyperlink r:id="rId258" ref="AJ286"/>
    <hyperlink r:id="rId259" ref="AJ287"/>
    <hyperlink r:id="rId260" ref="AJ288"/>
    <hyperlink r:id="rId261" ref="AJ289"/>
    <hyperlink r:id="rId262" ref="AJ290"/>
    <hyperlink r:id="rId263" ref="AJ291"/>
    <hyperlink r:id="rId264" ref="AJ292"/>
    <hyperlink r:id="rId265" ref="AJ293"/>
    <hyperlink r:id="rId266" ref="AJ294"/>
    <hyperlink r:id="rId267" ref="AJ295"/>
    <hyperlink r:id="rId268" ref="AJ296"/>
    <hyperlink r:id="rId269" ref="AJ297"/>
    <hyperlink r:id="rId270" ref="AJ298"/>
    <hyperlink r:id="rId271" ref="AJ299"/>
    <hyperlink r:id="rId272" ref="AJ300"/>
    <hyperlink r:id="rId273" ref="AJ301"/>
    <hyperlink r:id="rId274" ref="AJ302"/>
    <hyperlink r:id="rId275" ref="AJ303"/>
    <hyperlink r:id="rId276" ref="AJ304"/>
    <hyperlink r:id="rId277" ref="AJ305"/>
    <hyperlink r:id="rId278" ref="AJ306"/>
    <hyperlink r:id="rId279" ref="AJ307"/>
    <hyperlink r:id="rId280" ref="AJ308"/>
    <hyperlink r:id="rId281" ref="AJ309"/>
    <hyperlink r:id="rId282" ref="AJ310"/>
    <hyperlink r:id="rId283" ref="AJ311"/>
    <hyperlink r:id="rId284" ref="AJ312"/>
    <hyperlink r:id="rId285" ref="AJ313"/>
    <hyperlink r:id="rId286" ref="AJ314"/>
    <hyperlink r:id="rId287" ref="AJ315"/>
    <hyperlink r:id="rId288" ref="AJ316"/>
    <hyperlink r:id="rId289" ref="AJ317"/>
    <hyperlink r:id="rId290" ref="AJ318"/>
    <hyperlink r:id="rId291" ref="AJ319"/>
    <hyperlink r:id="rId292" ref="AJ320"/>
    <hyperlink r:id="rId293" ref="AJ321"/>
    <hyperlink r:id="rId294" ref="AJ322"/>
    <hyperlink r:id="rId295" ref="AJ323"/>
    <hyperlink r:id="rId296" ref="AJ324"/>
    <hyperlink r:id="rId297" ref="AJ325"/>
    <hyperlink r:id="rId298" ref="AJ326"/>
    <hyperlink r:id="rId299" ref="AJ327"/>
    <hyperlink r:id="rId300" ref="AJ328"/>
    <hyperlink r:id="rId301" ref="AJ329"/>
    <hyperlink r:id="rId302" ref="AJ330"/>
    <hyperlink r:id="rId303" ref="AJ331"/>
    <hyperlink r:id="rId304" ref="AJ332"/>
    <hyperlink r:id="rId305" ref="AJ333"/>
    <hyperlink r:id="rId306" ref="AJ334"/>
    <hyperlink r:id="rId307" ref="AJ335"/>
    <hyperlink r:id="rId308" ref="AJ336"/>
    <hyperlink r:id="rId309" ref="AJ337"/>
    <hyperlink r:id="rId310" ref="AJ338"/>
    <hyperlink r:id="rId311" ref="AJ339"/>
    <hyperlink r:id="rId312" ref="AJ340"/>
    <hyperlink r:id="rId313" ref="AJ341"/>
    <hyperlink r:id="rId314" ref="AJ342"/>
    <hyperlink r:id="rId315" ref="AJ343"/>
    <hyperlink r:id="rId316" ref="AJ344"/>
    <hyperlink r:id="rId317" ref="AJ345"/>
    <hyperlink r:id="rId318" ref="AJ346"/>
    <hyperlink r:id="rId319" ref="AJ347"/>
    <hyperlink r:id="rId320" ref="AJ348"/>
    <hyperlink r:id="rId321" ref="AJ349"/>
    <hyperlink r:id="rId322" ref="AJ350"/>
    <hyperlink r:id="rId323" ref="AJ351"/>
    <hyperlink r:id="rId324" ref="AJ352"/>
    <hyperlink r:id="rId325" ref="AJ353"/>
    <hyperlink r:id="rId326" ref="AJ354"/>
    <hyperlink r:id="rId327" ref="AJ355"/>
    <hyperlink r:id="rId328" ref="AJ356"/>
    <hyperlink r:id="rId329" ref="AJ357"/>
    <hyperlink r:id="rId330" ref="AJ358"/>
    <hyperlink r:id="rId331" ref="AJ359"/>
    <hyperlink r:id="rId332" ref="AJ360"/>
    <hyperlink r:id="rId333" ref="AJ361"/>
    <hyperlink r:id="rId334" ref="AJ362"/>
    <hyperlink r:id="rId335" ref="AJ363"/>
    <hyperlink r:id="rId336" ref="AJ364"/>
    <hyperlink r:id="rId337" ref="AJ365"/>
    <hyperlink r:id="rId338" ref="AJ366"/>
    <hyperlink r:id="rId339" ref="AJ367"/>
    <hyperlink r:id="rId340" ref="AJ368"/>
    <hyperlink r:id="rId341" ref="AJ369"/>
    <hyperlink r:id="rId342" ref="AJ370"/>
    <hyperlink r:id="rId343" ref="AJ371"/>
    <hyperlink r:id="rId344" ref="AJ372"/>
    <hyperlink r:id="rId345" ref="AJ373"/>
    <hyperlink r:id="rId346" ref="AJ374"/>
    <hyperlink r:id="rId347" ref="AJ375"/>
    <hyperlink r:id="rId348" ref="AJ376"/>
    <hyperlink r:id="rId349" ref="AJ377"/>
    <hyperlink r:id="rId350" ref="AJ378"/>
    <hyperlink r:id="rId351" ref="AJ379"/>
    <hyperlink r:id="rId352" ref="AJ380"/>
    <hyperlink r:id="rId353" ref="AJ381"/>
    <hyperlink r:id="rId354" ref="AJ382"/>
    <hyperlink r:id="rId355" ref="AJ383"/>
    <hyperlink r:id="rId356" ref="AJ384"/>
    <hyperlink r:id="rId357" ref="AJ385"/>
    <hyperlink r:id="rId358" ref="AJ386"/>
    <hyperlink r:id="rId359" ref="AJ387"/>
    <hyperlink r:id="rId360" ref="AJ388"/>
    <hyperlink r:id="rId361" ref="AJ389"/>
    <hyperlink r:id="rId362" ref="AJ390"/>
    <hyperlink r:id="rId363" ref="AJ391"/>
    <hyperlink r:id="rId364" ref="AJ392"/>
    <hyperlink r:id="rId365" ref="AJ393"/>
    <hyperlink r:id="rId366" ref="AJ394"/>
    <hyperlink r:id="rId367" ref="AJ395"/>
    <hyperlink r:id="rId368" ref="AJ396"/>
    <hyperlink r:id="rId369" ref="AJ397"/>
    <hyperlink r:id="rId370" ref="AJ398"/>
    <hyperlink r:id="rId371" ref="AJ399"/>
    <hyperlink r:id="rId372" ref="AJ400"/>
    <hyperlink r:id="rId373" ref="AJ401"/>
    <hyperlink r:id="rId374" ref="AJ402"/>
    <hyperlink r:id="rId375" ref="AJ403"/>
    <hyperlink r:id="rId376" ref="AJ404"/>
    <hyperlink r:id="rId377" ref="AJ405"/>
    <hyperlink r:id="rId378" ref="AJ406"/>
    <hyperlink r:id="rId379" ref="AJ407"/>
    <hyperlink r:id="rId380" ref="AJ408"/>
    <hyperlink r:id="rId381" ref="AJ409"/>
    <hyperlink r:id="rId382" ref="AJ410"/>
    <hyperlink r:id="rId383" ref="AJ411"/>
    <hyperlink r:id="rId384" ref="AJ412"/>
    <hyperlink r:id="rId385" ref="AJ413"/>
    <hyperlink r:id="rId386" ref="AJ414"/>
    <hyperlink r:id="rId387" ref="AJ415"/>
    <hyperlink r:id="rId388" ref="AJ416"/>
    <hyperlink r:id="rId389" ref="AJ417"/>
    <hyperlink r:id="rId390" ref="AJ418"/>
    <hyperlink r:id="rId391" ref="AJ419"/>
    <hyperlink r:id="rId392" ref="AJ420"/>
    <hyperlink r:id="rId393" ref="AJ421"/>
    <hyperlink r:id="rId394" ref="AJ422"/>
    <hyperlink r:id="rId395" ref="AJ423"/>
    <hyperlink r:id="rId396" ref="AJ424"/>
    <hyperlink r:id="rId397" ref="AJ425"/>
    <hyperlink r:id="rId398" ref="AJ426"/>
    <hyperlink r:id="rId399" ref="AJ427"/>
    <hyperlink r:id="rId400" ref="AJ428"/>
    <hyperlink r:id="rId401" ref="AJ429"/>
    <hyperlink r:id="rId402" ref="AJ430"/>
    <hyperlink r:id="rId403" ref="AJ431"/>
    <hyperlink r:id="rId404" ref="AJ432"/>
    <hyperlink r:id="rId405" ref="AJ433"/>
    <hyperlink r:id="rId406" ref="AJ434"/>
    <hyperlink r:id="rId407" ref="AJ435"/>
    <hyperlink r:id="rId408" ref="AJ436"/>
    <hyperlink r:id="rId409" ref="AJ437"/>
    <hyperlink r:id="rId410" ref="AJ438"/>
    <hyperlink r:id="rId411" ref="AJ439"/>
    <hyperlink r:id="rId412" ref="AJ440"/>
    <hyperlink r:id="rId413" ref="AJ441"/>
  </hyperlinks>
  <drawing r:id="rId4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7" width="21.57"/>
  </cols>
  <sheetData>
    <row r="1">
      <c r="A1" t="s">
        <v>1589</v>
      </c>
      <c r="B1" s="12" t="s">
        <v>1590</v>
      </c>
      <c r="C1" s="12" t="s">
        <v>1591</v>
      </c>
      <c r="D1" s="12" t="s">
        <v>1592</v>
      </c>
      <c r="E1" s="12" t="s">
        <v>1593</v>
      </c>
      <c r="F1" s="12" t="s">
        <v>1594</v>
      </c>
      <c r="G1" t="s">
        <v>1595</v>
      </c>
      <c r="H1" s="12" t="s">
        <v>1596</v>
      </c>
      <c r="I1" t="s">
        <v>1597</v>
      </c>
      <c r="J1" t="s">
        <v>1598</v>
      </c>
      <c r="K1" t="s">
        <v>1599</v>
      </c>
      <c r="L1" t="s">
        <v>1600</v>
      </c>
      <c r="M1" t="s">
        <v>1601</v>
      </c>
      <c r="N1" t="s">
        <v>1602</v>
      </c>
      <c r="O1" t="s">
        <v>1603</v>
      </c>
      <c r="P1" s="12" t="s">
        <v>1604</v>
      </c>
      <c r="Q1" t="s">
        <v>1605</v>
      </c>
      <c r="R1" t="s">
        <v>1606</v>
      </c>
      <c r="S1" t="s">
        <v>1607</v>
      </c>
      <c r="T1" t="s">
        <v>1608</v>
      </c>
      <c r="U1" t="s">
        <v>1609</v>
      </c>
      <c r="V1" t="s">
        <v>1610</v>
      </c>
      <c r="W1" t="s">
        <v>1611</v>
      </c>
      <c r="X1" t="s">
        <v>1612</v>
      </c>
      <c r="Y1" t="s">
        <v>1613</v>
      </c>
      <c r="Z1" t="s">
        <v>1614</v>
      </c>
      <c r="AA1" t="s">
        <v>1615</v>
      </c>
      <c r="AB1" t="s">
        <v>1616</v>
      </c>
      <c r="AC1" t="s">
        <v>1617</v>
      </c>
      <c r="AD1" t="s">
        <v>1618</v>
      </c>
      <c r="AE1" s="12" t="s">
        <v>1619</v>
      </c>
      <c r="AF1" s="9" t="s">
        <v>3</v>
      </c>
      <c r="AG1" s="9" t="s">
        <v>4</v>
      </c>
      <c r="AH1" s="9" t="s">
        <v>5</v>
      </c>
      <c r="AI1" s="9" t="s">
        <v>6</v>
      </c>
    </row>
    <row r="2">
      <c r="A2" s="26">
        <v>42342.632352789355</v>
      </c>
      <c r="B2" s="12" t="s">
        <v>1620</v>
      </c>
      <c r="C2" s="12" t="s">
        <v>1621</v>
      </c>
      <c r="D2" s="12" t="s">
        <v>1622</v>
      </c>
      <c r="E2" s="12" t="s">
        <v>1623</v>
      </c>
      <c r="F2" s="27">
        <v>42342.0</v>
      </c>
      <c r="G2" s="12" t="s">
        <v>1624</v>
      </c>
      <c r="H2" s="28">
        <v>0.0625</v>
      </c>
      <c r="I2" s="29">
        <v>0.6666666666642413</v>
      </c>
      <c r="J2" s="12" t="s">
        <v>1625</v>
      </c>
      <c r="L2" s="12" t="s">
        <v>1626</v>
      </c>
      <c r="M2" s="12" t="s">
        <v>1627</v>
      </c>
      <c r="N2" s="12" t="s">
        <v>1628</v>
      </c>
      <c r="O2" s="12" t="s">
        <v>1629</v>
      </c>
      <c r="AF2" s="30" t="s">
        <v>8</v>
      </c>
      <c r="AG2" s="30" t="s">
        <v>8</v>
      </c>
      <c r="AH2" s="30" t="s">
        <v>8</v>
      </c>
      <c r="AI2" s="30" t="s">
        <v>8</v>
      </c>
    </row>
    <row r="3">
      <c r="A3" s="26">
        <v>42342.63713599537</v>
      </c>
      <c r="B3" s="12" t="s">
        <v>1620</v>
      </c>
      <c r="C3" s="12" t="s">
        <v>1621</v>
      </c>
      <c r="D3" s="12" t="s">
        <v>1630</v>
      </c>
      <c r="E3" s="12" t="s">
        <v>1623</v>
      </c>
      <c r="F3" s="27">
        <v>42342.0</v>
      </c>
      <c r="G3" s="12" t="s">
        <v>1624</v>
      </c>
      <c r="H3" s="28">
        <v>0.05208333333575865</v>
      </c>
      <c r="I3" s="29">
        <v>0.6666666666642413</v>
      </c>
      <c r="J3" s="12" t="s">
        <v>1631</v>
      </c>
      <c r="L3" s="12" t="s">
        <v>1626</v>
      </c>
      <c r="M3" s="12" t="s">
        <v>1632</v>
      </c>
      <c r="N3" s="12" t="s">
        <v>1633</v>
      </c>
      <c r="O3" s="12" t="s">
        <v>1634</v>
      </c>
      <c r="AF3" s="30" t="s">
        <v>8</v>
      </c>
      <c r="AG3" s="30" t="s">
        <v>8</v>
      </c>
      <c r="AH3" s="30" t="s">
        <v>8</v>
      </c>
      <c r="AI3" s="30" t="s">
        <v>8</v>
      </c>
    </row>
    <row r="4">
      <c r="A4" s="26">
        <v>42346.64814518519</v>
      </c>
      <c r="B4" s="12" t="s">
        <v>1620</v>
      </c>
      <c r="C4" s="12" t="s">
        <v>1635</v>
      </c>
      <c r="D4" s="12" t="s">
        <v>1630</v>
      </c>
      <c r="E4" s="12" t="s">
        <v>1636</v>
      </c>
      <c r="F4" s="27">
        <v>42347.0</v>
      </c>
      <c r="G4" s="12" t="s">
        <v>1637</v>
      </c>
      <c r="H4" s="28">
        <v>0.375</v>
      </c>
      <c r="I4" s="26">
        <v>42347.70833333333</v>
      </c>
      <c r="J4" s="12" t="s">
        <v>1631</v>
      </c>
      <c r="L4" s="12" t="s">
        <v>1626</v>
      </c>
      <c r="M4" s="12" t="s">
        <v>1638</v>
      </c>
      <c r="N4" s="12" t="s">
        <v>1639</v>
      </c>
      <c r="O4" s="12" t="s">
        <v>1640</v>
      </c>
      <c r="AF4" s="30" t="s">
        <v>8</v>
      </c>
      <c r="AG4" s="30" t="s">
        <v>8</v>
      </c>
      <c r="AH4" s="30" t="s">
        <v>8</v>
      </c>
      <c r="AI4" s="30" t="s">
        <v>8</v>
      </c>
    </row>
    <row r="5">
      <c r="A5" s="26">
        <v>42536.53945409722</v>
      </c>
      <c r="B5" s="12" t="s">
        <v>1620</v>
      </c>
      <c r="C5" s="12" t="s">
        <v>1635</v>
      </c>
      <c r="D5" s="12" t="s">
        <v>1630</v>
      </c>
      <c r="E5" s="12" t="s">
        <v>1641</v>
      </c>
      <c r="F5" s="27">
        <v>42537.0</v>
      </c>
      <c r="G5" s="12" t="s">
        <v>1642</v>
      </c>
      <c r="H5" s="28">
        <v>0.16666666666424135</v>
      </c>
      <c r="I5" s="26">
        <v>42537.58333333333</v>
      </c>
      <c r="J5" s="12" t="s">
        <v>1643</v>
      </c>
      <c r="L5" s="12" t="s">
        <v>1626</v>
      </c>
      <c r="M5" s="12" t="s">
        <v>1640</v>
      </c>
      <c r="N5" s="12" t="s">
        <v>1644</v>
      </c>
      <c r="O5" s="12" t="s">
        <v>1640</v>
      </c>
      <c r="AF5" s="30" t="s">
        <v>8</v>
      </c>
      <c r="AG5" s="30" t="s">
        <v>8</v>
      </c>
      <c r="AH5" s="30" t="s">
        <v>8</v>
      </c>
      <c r="AI5" s="30" t="s">
        <v>8</v>
      </c>
    </row>
    <row r="6">
      <c r="A6" s="26">
        <v>42542.45380643518</v>
      </c>
      <c r="B6" s="12" t="s">
        <v>1620</v>
      </c>
      <c r="C6" s="12" t="s">
        <v>1635</v>
      </c>
      <c r="D6" s="12" t="s">
        <v>1630</v>
      </c>
      <c r="E6" s="12" t="s">
        <v>1645</v>
      </c>
      <c r="F6" s="27">
        <v>42543.0</v>
      </c>
      <c r="G6" s="12" t="s">
        <v>1646</v>
      </c>
      <c r="H6" s="28">
        <v>0.375</v>
      </c>
      <c r="I6" s="26">
        <v>42543.54166666667</v>
      </c>
      <c r="J6" s="12" t="s">
        <v>1643</v>
      </c>
      <c r="L6" s="12" t="s">
        <v>1626</v>
      </c>
      <c r="M6" s="12" t="s">
        <v>1640</v>
      </c>
      <c r="N6" s="12" t="s">
        <v>1647</v>
      </c>
      <c r="O6" s="12" t="s">
        <v>1640</v>
      </c>
      <c r="AF6" s="30" t="s">
        <v>8</v>
      </c>
      <c r="AG6" s="30" t="s">
        <v>8</v>
      </c>
      <c r="AH6" s="30" t="s">
        <v>8</v>
      </c>
      <c r="AI6" s="30" t="s">
        <v>8</v>
      </c>
    </row>
    <row r="7">
      <c r="A7" s="26">
        <v>42596.453526412035</v>
      </c>
      <c r="B7" s="12" t="s">
        <v>1620</v>
      </c>
      <c r="C7" s="12" t="s">
        <v>1635</v>
      </c>
      <c r="D7" s="12" t="s">
        <v>1630</v>
      </c>
      <c r="E7" s="12" t="s">
        <v>1648</v>
      </c>
      <c r="F7" s="27">
        <v>42597.0</v>
      </c>
      <c r="G7" s="12" t="s">
        <v>1649</v>
      </c>
      <c r="H7" s="28">
        <v>0.28125</v>
      </c>
      <c r="I7" s="26">
        <v>42536.54166666667</v>
      </c>
      <c r="J7" s="12" t="s">
        <v>1643</v>
      </c>
      <c r="L7" s="12" t="s">
        <v>1626</v>
      </c>
      <c r="M7" s="12" t="s">
        <v>1640</v>
      </c>
      <c r="N7" s="12" t="s">
        <v>1650</v>
      </c>
      <c r="O7" s="12" t="s">
        <v>1640</v>
      </c>
      <c r="AF7" s="30" t="s">
        <v>8</v>
      </c>
      <c r="AG7" s="30" t="s">
        <v>8</v>
      </c>
      <c r="AH7" s="30" t="s">
        <v>8</v>
      </c>
      <c r="AI7" s="30" t="s">
        <v>8</v>
      </c>
    </row>
    <row r="8">
      <c r="A8" s="26">
        <v>42628.46103982639</v>
      </c>
      <c r="B8" s="12" t="s">
        <v>1620</v>
      </c>
      <c r="C8" s="12" t="s">
        <v>1635</v>
      </c>
      <c r="D8" s="12" t="s">
        <v>1630</v>
      </c>
      <c r="E8" s="12" t="s">
        <v>1648</v>
      </c>
      <c r="F8" s="27">
        <v>42629.0</v>
      </c>
      <c r="G8" s="12" t="s">
        <v>1651</v>
      </c>
      <c r="H8" s="28">
        <v>0.29166666666424135</v>
      </c>
      <c r="I8" s="26">
        <v>42629.54166666667</v>
      </c>
      <c r="J8" s="12" t="s">
        <v>1643</v>
      </c>
      <c r="L8" s="12" t="s">
        <v>1626</v>
      </c>
      <c r="M8" s="12" t="s">
        <v>1640</v>
      </c>
      <c r="N8" s="12" t="s">
        <v>1652</v>
      </c>
      <c r="O8" s="12" t="s">
        <v>1640</v>
      </c>
      <c r="AF8" s="30" t="s">
        <v>8</v>
      </c>
      <c r="AG8" s="30" t="s">
        <v>8</v>
      </c>
      <c r="AH8" s="30" t="s">
        <v>8</v>
      </c>
      <c r="AI8" s="30" t="s">
        <v>8</v>
      </c>
    </row>
    <row r="9">
      <c r="A9" s="26">
        <v>42642.61750065972</v>
      </c>
      <c r="B9" s="12" t="s">
        <v>1620</v>
      </c>
      <c r="C9" s="12" t="s">
        <v>1635</v>
      </c>
      <c r="D9" s="12" t="s">
        <v>1630</v>
      </c>
      <c r="E9" s="12" t="s">
        <v>1648</v>
      </c>
      <c r="F9" s="27">
        <v>42643.0</v>
      </c>
      <c r="G9" s="12" t="s">
        <v>1653</v>
      </c>
      <c r="H9" s="28">
        <v>0.33333333333575865</v>
      </c>
      <c r="I9" s="26">
        <v>42643.5</v>
      </c>
      <c r="J9" s="12" t="s">
        <v>1643</v>
      </c>
      <c r="L9" s="12" t="s">
        <v>1626</v>
      </c>
      <c r="M9" s="12" t="s">
        <v>1640</v>
      </c>
      <c r="N9" s="12" t="s">
        <v>1654</v>
      </c>
      <c r="O9" s="12" t="s">
        <v>1640</v>
      </c>
      <c r="AF9" s="30" t="s">
        <v>8</v>
      </c>
      <c r="AG9" s="30" t="s">
        <v>8</v>
      </c>
      <c r="AH9" s="30" t="s">
        <v>8</v>
      </c>
      <c r="AI9" s="30" t="s">
        <v>8</v>
      </c>
    </row>
    <row r="10">
      <c r="A10" s="26">
        <v>42655.689032650465</v>
      </c>
      <c r="B10" s="12" t="s">
        <v>1620</v>
      </c>
      <c r="C10" s="12" t="s">
        <v>1635</v>
      </c>
      <c r="D10" s="12" t="s">
        <v>1630</v>
      </c>
      <c r="E10" s="12" t="s">
        <v>1648</v>
      </c>
      <c r="F10" s="27">
        <v>42656.0</v>
      </c>
      <c r="G10" s="12" t="s">
        <v>1655</v>
      </c>
      <c r="H10" s="28">
        <v>0.27083333333575865</v>
      </c>
      <c r="I10" s="26">
        <v>42656.5</v>
      </c>
      <c r="J10" s="12" t="s">
        <v>1643</v>
      </c>
      <c r="L10" s="12" t="s">
        <v>1626</v>
      </c>
      <c r="M10" s="12" t="s">
        <v>1640</v>
      </c>
      <c r="N10" s="12" t="s">
        <v>1656</v>
      </c>
      <c r="O10" s="12" t="s">
        <v>1640</v>
      </c>
      <c r="AF10" s="30" t="s">
        <v>8</v>
      </c>
      <c r="AG10" s="30" t="s">
        <v>8</v>
      </c>
      <c r="AH10" s="30" t="s">
        <v>8</v>
      </c>
      <c r="AI10" s="30" t="s">
        <v>8</v>
      </c>
    </row>
    <row r="11">
      <c r="A11" s="26">
        <v>42710.565824467594</v>
      </c>
      <c r="B11" s="12" t="s">
        <v>1620</v>
      </c>
      <c r="C11" s="12" t="s">
        <v>1635</v>
      </c>
      <c r="D11" s="12" t="s">
        <v>1630</v>
      </c>
      <c r="E11" s="12" t="s">
        <v>1648</v>
      </c>
      <c r="F11" s="27">
        <v>42711.0</v>
      </c>
      <c r="G11" s="12" t="s">
        <v>1657</v>
      </c>
      <c r="H11" s="28">
        <v>0.5625</v>
      </c>
      <c r="I11" s="26">
        <v>42711.70833333333</v>
      </c>
      <c r="J11" s="12" t="s">
        <v>1658</v>
      </c>
      <c r="L11" s="12" t="s">
        <v>1626</v>
      </c>
      <c r="M11" s="12" t="s">
        <v>1640</v>
      </c>
      <c r="N11" s="12" t="s">
        <v>1650</v>
      </c>
      <c r="O11" s="12" t="s">
        <v>1640</v>
      </c>
      <c r="AF11" s="30" t="s">
        <v>8</v>
      </c>
      <c r="AG11" s="30" t="s">
        <v>8</v>
      </c>
      <c r="AH11" s="30" t="s">
        <v>8</v>
      </c>
      <c r="AI11" s="30" t="s">
        <v>8</v>
      </c>
    </row>
    <row r="12">
      <c r="A12" s="26">
        <v>42710.566515451384</v>
      </c>
      <c r="B12" s="12" t="s">
        <v>1620</v>
      </c>
      <c r="C12" s="12" t="s">
        <v>1635</v>
      </c>
      <c r="D12" s="12" t="s">
        <v>1630</v>
      </c>
      <c r="E12" s="12" t="s">
        <v>1648</v>
      </c>
      <c r="F12" s="27">
        <v>42713.0</v>
      </c>
      <c r="G12" s="12" t="s">
        <v>1657</v>
      </c>
      <c r="H12" s="28">
        <v>0.6458333333357587</v>
      </c>
      <c r="I12" s="26">
        <v>42713.75</v>
      </c>
      <c r="J12" s="12" t="s">
        <v>1658</v>
      </c>
      <c r="L12" s="12" t="s">
        <v>1626</v>
      </c>
      <c r="M12" s="12" t="s">
        <v>1640</v>
      </c>
      <c r="N12" s="12" t="s">
        <v>1650</v>
      </c>
      <c r="O12" s="12" t="s">
        <v>1640</v>
      </c>
      <c r="AF12" s="30" t="s">
        <v>8</v>
      </c>
      <c r="AG12" s="30" t="s">
        <v>8</v>
      </c>
      <c r="AH12" s="30" t="s">
        <v>8</v>
      </c>
      <c r="AI12" s="30" t="s">
        <v>8</v>
      </c>
    </row>
    <row r="13">
      <c r="A13" s="26">
        <v>42775.52267298611</v>
      </c>
      <c r="B13" s="12" t="s">
        <v>1620</v>
      </c>
      <c r="C13" s="12" t="s">
        <v>1635</v>
      </c>
      <c r="D13" s="12" t="s">
        <v>1630</v>
      </c>
      <c r="E13" s="12" t="s">
        <v>1648</v>
      </c>
      <c r="F13" s="27">
        <v>42776.0</v>
      </c>
      <c r="G13" s="12" t="s">
        <v>1659</v>
      </c>
      <c r="H13" s="28">
        <v>0.30208333333575865</v>
      </c>
      <c r="I13" s="26">
        <v>42776.5</v>
      </c>
      <c r="L13" s="12" t="s">
        <v>1626</v>
      </c>
      <c r="M13" s="12" t="s">
        <v>1640</v>
      </c>
      <c r="N13" s="12" t="s">
        <v>1660</v>
      </c>
      <c r="O13" s="12" t="s">
        <v>1640</v>
      </c>
      <c r="AF13" s="30" t="s">
        <v>8</v>
      </c>
      <c r="AG13" s="30" t="s">
        <v>8</v>
      </c>
      <c r="AH13" s="30" t="s">
        <v>8</v>
      </c>
      <c r="AI13" s="30" t="s">
        <v>8</v>
      </c>
    </row>
    <row r="14">
      <c r="A14" s="26">
        <v>42789.423990752315</v>
      </c>
      <c r="B14" s="12" t="s">
        <v>1620</v>
      </c>
      <c r="C14" s="12" t="s">
        <v>1635</v>
      </c>
      <c r="D14" s="12" t="s">
        <v>1630</v>
      </c>
      <c r="E14" s="12" t="s">
        <v>1648</v>
      </c>
      <c r="F14" s="27">
        <v>42790.0</v>
      </c>
      <c r="G14" s="12" t="s">
        <v>1661</v>
      </c>
      <c r="H14" s="28">
        <v>0.26388888889050577</v>
      </c>
      <c r="I14" s="26">
        <v>42790.5</v>
      </c>
      <c r="J14" s="12" t="s">
        <v>1643</v>
      </c>
      <c r="L14" s="12" t="s">
        <v>1626</v>
      </c>
      <c r="M14" s="12" t="s">
        <v>1640</v>
      </c>
      <c r="N14" s="12" t="s">
        <v>1662</v>
      </c>
      <c r="O14" s="12" t="s">
        <v>1640</v>
      </c>
      <c r="AF14" s="30" t="s">
        <v>8</v>
      </c>
      <c r="AG14" s="30" t="s">
        <v>8</v>
      </c>
      <c r="AH14" s="30" t="s">
        <v>8</v>
      </c>
      <c r="AI14" s="30" t="s">
        <v>8</v>
      </c>
    </row>
    <row r="15">
      <c r="A15" s="26">
        <v>42804.322415208335</v>
      </c>
      <c r="B15" s="12" t="s">
        <v>1620</v>
      </c>
      <c r="C15" s="12" t="s">
        <v>1635</v>
      </c>
      <c r="D15" s="12" t="s">
        <v>1630</v>
      </c>
      <c r="E15" s="12" t="s">
        <v>1645</v>
      </c>
      <c r="F15" s="27">
        <v>42804.0</v>
      </c>
      <c r="G15" s="12" t="s">
        <v>1663</v>
      </c>
      <c r="H15" s="28">
        <v>0.35416666666424135</v>
      </c>
      <c r="I15" s="26">
        <v>42804.54166666667</v>
      </c>
      <c r="J15" s="12" t="s">
        <v>1643</v>
      </c>
      <c r="M15" s="12" t="s">
        <v>1640</v>
      </c>
      <c r="N15" s="12" t="s">
        <v>1664</v>
      </c>
      <c r="O15" s="12" t="s">
        <v>1640</v>
      </c>
      <c r="AF15" s="30" t="s">
        <v>8</v>
      </c>
      <c r="AG15" s="30" t="s">
        <v>8</v>
      </c>
      <c r="AH15" s="30" t="s">
        <v>8</v>
      </c>
      <c r="AI15" s="30" t="s">
        <v>8</v>
      </c>
    </row>
    <row r="16">
      <c r="A16" s="26">
        <v>42838.392366643515</v>
      </c>
      <c r="B16" s="12" t="s">
        <v>1620</v>
      </c>
      <c r="C16" s="12" t="s">
        <v>1635</v>
      </c>
      <c r="D16" s="12" t="s">
        <v>1630</v>
      </c>
      <c r="E16" s="12" t="s">
        <v>1648</v>
      </c>
      <c r="F16" s="27">
        <v>42840.0</v>
      </c>
      <c r="G16" s="12" t="s">
        <v>1665</v>
      </c>
      <c r="H16" s="28">
        <v>0.33333333333575865</v>
      </c>
      <c r="I16" s="26">
        <v>42842.33333333333</v>
      </c>
      <c r="J16" s="12" t="s">
        <v>1643</v>
      </c>
      <c r="L16" s="12" t="s">
        <v>1626</v>
      </c>
      <c r="M16" s="12" t="s">
        <v>1640</v>
      </c>
      <c r="N16" s="12" t="s">
        <v>1666</v>
      </c>
      <c r="O16" s="12" t="s">
        <v>1640</v>
      </c>
      <c r="AF16" s="30" t="s">
        <v>8</v>
      </c>
      <c r="AG16" s="30" t="s">
        <v>8</v>
      </c>
      <c r="AH16" s="30" t="s">
        <v>8</v>
      </c>
      <c r="AI16" s="30" t="s">
        <v>8</v>
      </c>
    </row>
    <row r="17">
      <c r="A17" s="26">
        <v>42845.52479333333</v>
      </c>
      <c r="B17" s="12" t="s">
        <v>1620</v>
      </c>
      <c r="C17" s="12" t="s">
        <v>1635</v>
      </c>
      <c r="D17" s="12" t="s">
        <v>1630</v>
      </c>
      <c r="E17" s="12" t="s">
        <v>1648</v>
      </c>
      <c r="F17" s="27">
        <v>42846.0</v>
      </c>
      <c r="G17" s="12" t="s">
        <v>1665</v>
      </c>
      <c r="H17" s="28">
        <v>0.27083333333575865</v>
      </c>
      <c r="I17" s="26">
        <v>42846.54166666667</v>
      </c>
      <c r="J17" s="12" t="s">
        <v>1658</v>
      </c>
      <c r="L17" s="12" t="s">
        <v>1626</v>
      </c>
      <c r="M17" s="12" t="s">
        <v>1640</v>
      </c>
      <c r="N17" s="12" t="s">
        <v>1667</v>
      </c>
      <c r="O17" s="12" t="s">
        <v>1640</v>
      </c>
      <c r="AF17" s="30" t="s">
        <v>8</v>
      </c>
      <c r="AG17" s="30" t="s">
        <v>8</v>
      </c>
      <c r="AH17" s="30" t="s">
        <v>8</v>
      </c>
      <c r="AI17" s="30" t="s">
        <v>8</v>
      </c>
    </row>
    <row r="18">
      <c r="A18" s="26">
        <v>42852.41689221065</v>
      </c>
      <c r="B18" s="12" t="s">
        <v>1620</v>
      </c>
      <c r="C18" s="12" t="s">
        <v>1635</v>
      </c>
      <c r="D18" s="12" t="s">
        <v>1630</v>
      </c>
      <c r="E18" s="12" t="s">
        <v>1648</v>
      </c>
      <c r="F18" s="27">
        <v>42853.0</v>
      </c>
      <c r="G18" s="12" t="s">
        <v>1659</v>
      </c>
      <c r="H18" s="28">
        <v>0.41666666666424135</v>
      </c>
      <c r="I18" s="26">
        <v>42853.58333333333</v>
      </c>
      <c r="J18" s="12" t="s">
        <v>1643</v>
      </c>
      <c r="L18" s="12" t="s">
        <v>1626</v>
      </c>
      <c r="M18" s="12" t="s">
        <v>1640</v>
      </c>
      <c r="N18" s="12" t="s">
        <v>1668</v>
      </c>
      <c r="AF18" s="30" t="s">
        <v>8</v>
      </c>
      <c r="AG18" s="30" t="s">
        <v>8</v>
      </c>
      <c r="AH18" s="30" t="s">
        <v>8</v>
      </c>
      <c r="AI18" s="30" t="s">
        <v>8</v>
      </c>
    </row>
    <row r="19">
      <c r="A19" s="26">
        <v>42858.39426244213</v>
      </c>
      <c r="B19" s="12" t="s">
        <v>1620</v>
      </c>
      <c r="C19" s="12" t="s">
        <v>1635</v>
      </c>
      <c r="D19" s="12" t="s">
        <v>1630</v>
      </c>
      <c r="E19" s="12" t="s">
        <v>1645</v>
      </c>
      <c r="F19" s="27">
        <v>42860.0</v>
      </c>
      <c r="G19" s="12" t="s">
        <v>1669</v>
      </c>
      <c r="H19" s="28">
        <v>0.29166666666424135</v>
      </c>
      <c r="I19" s="26">
        <v>42860.58333333333</v>
      </c>
      <c r="J19" s="12" t="s">
        <v>1643</v>
      </c>
      <c r="L19" s="12" t="s">
        <v>1626</v>
      </c>
      <c r="M19" s="12" t="s">
        <v>1640</v>
      </c>
      <c r="N19" s="12" t="s">
        <v>1670</v>
      </c>
      <c r="O19" s="12" t="s">
        <v>1640</v>
      </c>
      <c r="AF19" s="30" t="s">
        <v>8</v>
      </c>
      <c r="AG19" s="30" t="s">
        <v>8</v>
      </c>
      <c r="AH19" s="30" t="s">
        <v>8</v>
      </c>
      <c r="AI19" s="30" t="s">
        <v>8</v>
      </c>
    </row>
    <row r="20">
      <c r="A20" s="26">
        <v>42891.496738761576</v>
      </c>
      <c r="B20" s="12" t="s">
        <v>1620</v>
      </c>
      <c r="C20" s="12" t="s">
        <v>1635</v>
      </c>
      <c r="D20" s="12" t="s">
        <v>1630</v>
      </c>
      <c r="F20" s="27">
        <v>42894.0</v>
      </c>
      <c r="H20" s="28">
        <v>0.33333333333575865</v>
      </c>
      <c r="I20" s="26">
        <v>42894.58333333333</v>
      </c>
      <c r="J20" s="12" t="s">
        <v>1643</v>
      </c>
      <c r="L20" s="12" t="s">
        <v>1626</v>
      </c>
      <c r="M20" s="12" t="s">
        <v>1640</v>
      </c>
      <c r="N20" s="12" t="s">
        <v>1640</v>
      </c>
      <c r="O20" s="12" t="s">
        <v>1640</v>
      </c>
      <c r="AF20" s="30" t="s">
        <v>8</v>
      </c>
      <c r="AG20" s="30" t="s">
        <v>8</v>
      </c>
      <c r="AH20" s="30" t="s">
        <v>8</v>
      </c>
      <c r="AI20" s="30" t="s">
        <v>8</v>
      </c>
    </row>
    <row r="21">
      <c r="A21" s="26">
        <v>42891.49732659722</v>
      </c>
      <c r="B21" s="12" t="s">
        <v>1620</v>
      </c>
      <c r="C21" s="12" t="s">
        <v>1635</v>
      </c>
      <c r="D21" s="12" t="s">
        <v>1630</v>
      </c>
      <c r="F21" s="27">
        <v>42895.0</v>
      </c>
      <c r="H21" s="28">
        <v>0.33333333333575865</v>
      </c>
      <c r="I21" s="26">
        <v>42895.58333333333</v>
      </c>
      <c r="J21" s="12" t="s">
        <v>1643</v>
      </c>
      <c r="L21" s="12" t="s">
        <v>1626</v>
      </c>
      <c r="M21" s="12" t="s">
        <v>1640</v>
      </c>
      <c r="N21" s="12" t="s">
        <v>1640</v>
      </c>
      <c r="O21" s="12" t="s">
        <v>1640</v>
      </c>
      <c r="AF21" s="30" t="s">
        <v>8</v>
      </c>
      <c r="AG21" s="30" t="s">
        <v>8</v>
      </c>
      <c r="AH21" s="30" t="s">
        <v>8</v>
      </c>
      <c r="AI21" s="30" t="s">
        <v>8</v>
      </c>
    </row>
    <row r="22">
      <c r="A22" s="26">
        <v>42899.4301591088</v>
      </c>
      <c r="B22" s="12" t="s">
        <v>1620</v>
      </c>
      <c r="C22" s="12" t="s">
        <v>1635</v>
      </c>
      <c r="D22" s="12" t="s">
        <v>1630</v>
      </c>
      <c r="E22" s="12" t="s">
        <v>1623</v>
      </c>
      <c r="F22" s="27">
        <v>42900.0</v>
      </c>
      <c r="G22" s="12" t="s">
        <v>1671</v>
      </c>
      <c r="H22" s="28">
        <v>0.375</v>
      </c>
      <c r="I22" s="26">
        <v>42900.54166666667</v>
      </c>
      <c r="J22" s="12" t="s">
        <v>1643</v>
      </c>
      <c r="L22" s="12" t="s">
        <v>1626</v>
      </c>
      <c r="M22" s="12" t="s">
        <v>1640</v>
      </c>
      <c r="N22" s="12" t="s">
        <v>1640</v>
      </c>
      <c r="O22" s="12" t="s">
        <v>1640</v>
      </c>
      <c r="AC22" s="31" t="s">
        <v>1672</v>
      </c>
      <c r="AD22" s="12" t="s">
        <v>1673</v>
      </c>
      <c r="AE22" s="32"/>
      <c r="AF22" s="30" t="s">
        <v>8</v>
      </c>
      <c r="AG22" s="30" t="s">
        <v>8</v>
      </c>
      <c r="AH22" s="30" t="s">
        <v>8</v>
      </c>
      <c r="AI22" s="30" t="s">
        <v>8</v>
      </c>
    </row>
    <row r="23">
      <c r="A23" s="26">
        <v>42906.522776446756</v>
      </c>
      <c r="B23" s="12" t="s">
        <v>1620</v>
      </c>
      <c r="C23" s="12" t="s">
        <v>1635</v>
      </c>
      <c r="D23" s="12" t="s">
        <v>1630</v>
      </c>
      <c r="E23" s="12" t="s">
        <v>1674</v>
      </c>
      <c r="F23" s="27">
        <v>42907.0</v>
      </c>
      <c r="G23" s="12" t="s">
        <v>1675</v>
      </c>
      <c r="H23" s="28">
        <v>0.35416666666424135</v>
      </c>
      <c r="I23" s="26">
        <v>42907.5625</v>
      </c>
      <c r="J23" s="12" t="s">
        <v>1643</v>
      </c>
      <c r="L23" s="12" t="s">
        <v>1626</v>
      </c>
      <c r="M23" s="12" t="s">
        <v>1640</v>
      </c>
      <c r="N23" s="12" t="s">
        <v>1640</v>
      </c>
      <c r="O23" s="12" t="s">
        <v>1640</v>
      </c>
      <c r="AC23" s="31" t="s">
        <v>1676</v>
      </c>
      <c r="AD23" s="12" t="s">
        <v>1677</v>
      </c>
      <c r="AE23" s="32"/>
      <c r="AF23" s="30" t="s">
        <v>8</v>
      </c>
      <c r="AG23" s="30" t="s">
        <v>8</v>
      </c>
      <c r="AH23" s="30" t="s">
        <v>8</v>
      </c>
      <c r="AI23" s="30" t="s">
        <v>8</v>
      </c>
    </row>
    <row r="24">
      <c r="A24" s="26">
        <v>42927.4307686574</v>
      </c>
      <c r="B24" s="12" t="s">
        <v>1620</v>
      </c>
      <c r="C24" s="12" t="s">
        <v>1635</v>
      </c>
      <c r="D24" s="12" t="s">
        <v>1630</v>
      </c>
      <c r="E24" s="12" t="s">
        <v>1645</v>
      </c>
      <c r="F24" s="27">
        <v>42928.0</v>
      </c>
      <c r="G24" s="12" t="s">
        <v>1665</v>
      </c>
      <c r="H24" s="28">
        <v>0.35416666666424135</v>
      </c>
      <c r="I24" s="26">
        <v>42928.54166666667</v>
      </c>
      <c r="J24" s="12" t="s">
        <v>1643</v>
      </c>
      <c r="L24" s="12" t="s">
        <v>1626</v>
      </c>
      <c r="M24" s="12" t="s">
        <v>1640</v>
      </c>
      <c r="N24" s="12" t="s">
        <v>1678</v>
      </c>
      <c r="O24" s="12" t="s">
        <v>1640</v>
      </c>
      <c r="AC24" s="31" t="s">
        <v>1679</v>
      </c>
      <c r="AD24" s="12" t="s">
        <v>1680</v>
      </c>
      <c r="AE24" s="32"/>
      <c r="AF24" s="30" t="s">
        <v>8</v>
      </c>
      <c r="AG24" s="30" t="s">
        <v>8</v>
      </c>
      <c r="AH24" s="30" t="s">
        <v>8</v>
      </c>
      <c r="AI24" s="30" t="s">
        <v>8</v>
      </c>
    </row>
    <row r="25">
      <c r="A25" s="26">
        <v>42928.63136636574</v>
      </c>
      <c r="B25" s="12" t="s">
        <v>1681</v>
      </c>
      <c r="C25" s="12" t="s">
        <v>1682</v>
      </c>
      <c r="D25" s="12" t="s">
        <v>1630</v>
      </c>
      <c r="E25" s="12" t="s">
        <v>1683</v>
      </c>
      <c r="F25" s="27">
        <v>42929.0</v>
      </c>
      <c r="G25" s="12" t="s">
        <v>1684</v>
      </c>
      <c r="H25" s="28">
        <v>0.375</v>
      </c>
      <c r="I25" s="26">
        <v>42929.54166666667</v>
      </c>
      <c r="J25" s="12" t="s">
        <v>1685</v>
      </c>
      <c r="K25" s="12">
        <v>7.0</v>
      </c>
      <c r="L25" s="12" t="s">
        <v>1626</v>
      </c>
      <c r="M25" s="12" t="s">
        <v>1681</v>
      </c>
      <c r="N25" s="12" t="s">
        <v>1686</v>
      </c>
      <c r="O25" s="12" t="s">
        <v>1681</v>
      </c>
      <c r="AC25" s="12" t="s">
        <v>1687</v>
      </c>
      <c r="AD25" s="12"/>
      <c r="AE25" s="32"/>
      <c r="AF25" s="30" t="s">
        <v>8</v>
      </c>
      <c r="AG25" s="30" t="s">
        <v>8</v>
      </c>
      <c r="AH25" s="30" t="s">
        <v>8</v>
      </c>
      <c r="AI25" s="30" t="s">
        <v>8</v>
      </c>
    </row>
    <row r="26">
      <c r="A26" s="26">
        <v>42935.51061541667</v>
      </c>
      <c r="B26" s="12" t="s">
        <v>1620</v>
      </c>
      <c r="C26" s="12" t="s">
        <v>1635</v>
      </c>
      <c r="D26" s="12" t="s">
        <v>1630</v>
      </c>
      <c r="E26" s="12" t="s">
        <v>1645</v>
      </c>
      <c r="F26" s="27">
        <v>42936.0</v>
      </c>
      <c r="G26" s="12" t="s">
        <v>1665</v>
      </c>
      <c r="H26" s="28">
        <v>0.33333333333575865</v>
      </c>
      <c r="I26" s="26">
        <v>42936.54166666667</v>
      </c>
      <c r="J26" s="12" t="s">
        <v>1643</v>
      </c>
      <c r="L26" s="12" t="s">
        <v>1626</v>
      </c>
      <c r="M26" s="12" t="s">
        <v>1640</v>
      </c>
      <c r="N26" s="12" t="s">
        <v>1688</v>
      </c>
      <c r="O26" s="12" t="s">
        <v>1640</v>
      </c>
      <c r="AC26" s="31" t="s">
        <v>1689</v>
      </c>
      <c r="AD26" s="12" t="s">
        <v>1690</v>
      </c>
      <c r="AE26" s="32"/>
      <c r="AF26" s="30" t="s">
        <v>8</v>
      </c>
      <c r="AG26" s="30" t="s">
        <v>8</v>
      </c>
      <c r="AH26" s="30" t="s">
        <v>8</v>
      </c>
      <c r="AI26" s="30" t="s">
        <v>8</v>
      </c>
    </row>
    <row r="27">
      <c r="A27" s="26">
        <v>43166.4240187963</v>
      </c>
      <c r="B27" s="12" t="s">
        <v>1691</v>
      </c>
      <c r="C27" s="12" t="s">
        <v>9</v>
      </c>
      <c r="D27" s="12" t="s">
        <v>1630</v>
      </c>
      <c r="E27" s="12" t="s">
        <v>1645</v>
      </c>
      <c r="F27" s="26">
        <v>43166.5</v>
      </c>
      <c r="G27" s="12" t="s">
        <v>1692</v>
      </c>
      <c r="H27" s="29">
        <v>0.125</v>
      </c>
      <c r="I27" s="26">
        <v>43166.70833333333</v>
      </c>
      <c r="J27" s="12" t="s">
        <v>1693</v>
      </c>
      <c r="L27" s="12" t="s">
        <v>1694</v>
      </c>
      <c r="M27" s="12" t="s">
        <v>1640</v>
      </c>
      <c r="N27" s="12" t="s">
        <v>1695</v>
      </c>
      <c r="O27" s="12" t="s">
        <v>1620</v>
      </c>
      <c r="P27" s="12" t="s">
        <v>1696</v>
      </c>
      <c r="Q27" s="12" t="s">
        <v>1696</v>
      </c>
      <c r="R27" s="12" t="s">
        <v>1696</v>
      </c>
      <c r="S27" s="12" t="s">
        <v>1696</v>
      </c>
      <c r="T27" s="12" t="s">
        <v>1696</v>
      </c>
      <c r="U27" s="12" t="s">
        <v>1696</v>
      </c>
      <c r="V27" s="12" t="s">
        <v>1696</v>
      </c>
      <c r="W27" s="12" t="s">
        <v>1696</v>
      </c>
      <c r="X27" s="12" t="s">
        <v>1696</v>
      </c>
      <c r="Y27" s="12" t="s">
        <v>1696</v>
      </c>
      <c r="Z27" s="12" t="s">
        <v>1696</v>
      </c>
      <c r="AA27" s="12" t="s">
        <v>1696</v>
      </c>
      <c r="AB27" s="12" t="s">
        <v>1696</v>
      </c>
      <c r="AC27" s="12" t="s">
        <v>1697</v>
      </c>
      <c r="AD27" s="12" t="s">
        <v>1698</v>
      </c>
      <c r="AE27" s="32"/>
      <c r="AF27" s="30" t="s">
        <v>10</v>
      </c>
      <c r="AG27" s="33" t="s">
        <v>11</v>
      </c>
      <c r="AH27" s="33" t="str">
        <f>HYPERLINK("https://drive.google.com/a/gtmnerr.org/file/d/1-xBJcM5t4rp1kF8CtiHFHCGIYOyemNCh/view?usp=drivesdk","Trey Tester - 3/7/2018")</f>
        <v>Trey Tester - 3/7/2018</v>
      </c>
      <c r="AI27" s="30" t="s">
        <v>12</v>
      </c>
    </row>
    <row r="28">
      <c r="A28" s="26">
        <v>43175.39909888888</v>
      </c>
      <c r="B28" s="12" t="s">
        <v>1699</v>
      </c>
      <c r="C28" s="12" t="s">
        <v>1700</v>
      </c>
      <c r="D28" s="12" t="s">
        <v>1701</v>
      </c>
      <c r="E28" s="12" t="s">
        <v>1702</v>
      </c>
      <c r="F28" s="26">
        <v>43175.45833333333</v>
      </c>
      <c r="G28" s="12" t="s">
        <v>1703</v>
      </c>
      <c r="H28" s="29">
        <v>0.6458333333357587</v>
      </c>
      <c r="I28" s="26">
        <v>43175.6875</v>
      </c>
      <c r="J28" s="12" t="s">
        <v>1704</v>
      </c>
      <c r="L28" s="12" t="s">
        <v>1705</v>
      </c>
      <c r="M28" s="12" t="s">
        <v>1706</v>
      </c>
      <c r="N28" s="12" t="s">
        <v>1707</v>
      </c>
      <c r="O28" s="12" t="s">
        <v>1708</v>
      </c>
      <c r="P28" s="12" t="s">
        <v>1696</v>
      </c>
      <c r="Q28" s="12" t="s">
        <v>1696</v>
      </c>
      <c r="R28" s="12" t="s">
        <v>1696</v>
      </c>
      <c r="S28" s="12" t="s">
        <v>1696</v>
      </c>
      <c r="T28" s="12" t="s">
        <v>1696</v>
      </c>
      <c r="U28" s="12" t="s">
        <v>1696</v>
      </c>
      <c r="V28" s="12" t="s">
        <v>1696</v>
      </c>
      <c r="W28" s="12" t="s">
        <v>1696</v>
      </c>
      <c r="X28" s="12" t="s">
        <v>1696</v>
      </c>
      <c r="Y28" s="12" t="s">
        <v>1696</v>
      </c>
      <c r="Z28" s="12" t="s">
        <v>1696</v>
      </c>
      <c r="AA28" s="12" t="s">
        <v>1696</v>
      </c>
      <c r="AB28" s="12" t="s">
        <v>1696</v>
      </c>
      <c r="AC28" s="12" t="s">
        <v>1709</v>
      </c>
      <c r="AF28" s="30" t="s">
        <v>15</v>
      </c>
      <c r="AG28" s="33" t="s">
        <v>16</v>
      </c>
      <c r="AH28" s="33" t="str">
        <f>HYPERLINK("https://drive.google.com/a/gtmnerr.org/file/d/1PoGr328HmybT9p6Khc3j48PbR5wcYaea/view?usp=drivesdk","Pamela Marcum - 3/16/2018")</f>
        <v>Pamela Marcum - 3/16/2018</v>
      </c>
      <c r="AI28" s="30" t="s">
        <v>17</v>
      </c>
    </row>
    <row r="29">
      <c r="A29" s="26">
        <v>43182.36099422454</v>
      </c>
      <c r="B29" s="12" t="s">
        <v>1699</v>
      </c>
      <c r="C29" s="12" t="s">
        <v>1710</v>
      </c>
      <c r="D29" s="12" t="s">
        <v>1701</v>
      </c>
      <c r="F29" s="26">
        <v>43181.45833333333</v>
      </c>
      <c r="G29" s="12" t="s">
        <v>1711</v>
      </c>
      <c r="H29" s="29">
        <v>0.625</v>
      </c>
      <c r="I29" s="26">
        <v>43181.6875</v>
      </c>
      <c r="J29" s="12" t="s">
        <v>1704</v>
      </c>
      <c r="L29" s="12" t="s">
        <v>1705</v>
      </c>
      <c r="M29" s="12" t="s">
        <v>1712</v>
      </c>
      <c r="N29" s="12" t="s">
        <v>1713</v>
      </c>
      <c r="O29" s="12" t="s">
        <v>1699</v>
      </c>
      <c r="P29" s="12" t="s">
        <v>1696</v>
      </c>
      <c r="Q29" s="12" t="s">
        <v>1696</v>
      </c>
      <c r="R29" s="12" t="s">
        <v>1696</v>
      </c>
      <c r="S29" s="12" t="s">
        <v>1696</v>
      </c>
      <c r="T29" s="12" t="s">
        <v>1696</v>
      </c>
      <c r="U29" s="12" t="s">
        <v>1696</v>
      </c>
      <c r="V29" s="12" t="s">
        <v>1696</v>
      </c>
      <c r="W29" s="12" t="s">
        <v>1696</v>
      </c>
      <c r="X29" s="12" t="s">
        <v>1696</v>
      </c>
      <c r="Y29" s="12" t="s">
        <v>1696</v>
      </c>
      <c r="Z29" s="12" t="s">
        <v>1696</v>
      </c>
      <c r="AA29" s="12" t="s">
        <v>1696</v>
      </c>
      <c r="AB29" s="12" t="s">
        <v>1696</v>
      </c>
      <c r="AF29" s="30" t="s">
        <v>19</v>
      </c>
      <c r="AG29" s="33" t="s">
        <v>20</v>
      </c>
      <c r="AH29" s="33" t="str">
        <f>HYPERLINK("https://drive.google.com/a/gtmnerr.org/file/d/1lZDSHrj3qsq_O52lhKl_J8Ol3Ppm2wpf/view?usp=drivesdk","Pamela Marcum - 3/22/2018")</f>
        <v>Pamela Marcum - 3/22/2018</v>
      </c>
      <c r="AI29" s="30" t="s">
        <v>21</v>
      </c>
    </row>
    <row r="30">
      <c r="A30" s="26">
        <v>43183.37221592593</v>
      </c>
      <c r="B30" s="12" t="s">
        <v>1699</v>
      </c>
      <c r="C30" s="12" t="s">
        <v>1700</v>
      </c>
      <c r="D30" s="12" t="s">
        <v>1701</v>
      </c>
      <c r="E30" s="12" t="s">
        <v>1714</v>
      </c>
      <c r="F30" s="26">
        <v>43183.45833333333</v>
      </c>
      <c r="G30" s="12" t="s">
        <v>1715</v>
      </c>
      <c r="H30" s="29">
        <v>0.625</v>
      </c>
      <c r="I30" s="26">
        <v>43183.6875</v>
      </c>
      <c r="J30" s="12" t="s">
        <v>1704</v>
      </c>
      <c r="L30" s="12" t="s">
        <v>1705</v>
      </c>
      <c r="M30" s="12" t="s">
        <v>1706</v>
      </c>
      <c r="N30" s="12" t="s">
        <v>1716</v>
      </c>
      <c r="O30" s="12" t="s">
        <v>1699</v>
      </c>
      <c r="P30" s="12" t="s">
        <v>1696</v>
      </c>
      <c r="Q30" s="12" t="s">
        <v>1696</v>
      </c>
      <c r="R30" s="12" t="s">
        <v>1696</v>
      </c>
      <c r="S30" s="12" t="s">
        <v>1696</v>
      </c>
      <c r="T30" s="12" t="s">
        <v>1696</v>
      </c>
      <c r="U30" s="12" t="s">
        <v>1696</v>
      </c>
      <c r="V30" s="12" t="s">
        <v>1696</v>
      </c>
      <c r="W30" s="12" t="s">
        <v>1696</v>
      </c>
      <c r="X30" s="12" t="s">
        <v>1696</v>
      </c>
      <c r="Y30" s="12" t="s">
        <v>1696</v>
      </c>
      <c r="Z30" s="12" t="s">
        <v>1696</v>
      </c>
      <c r="AA30" s="12" t="s">
        <v>1696</v>
      </c>
      <c r="AB30" s="12" t="s">
        <v>1696</v>
      </c>
      <c r="AF30" s="30" t="s">
        <v>23</v>
      </c>
      <c r="AG30" s="33" t="s">
        <v>24</v>
      </c>
      <c r="AH30" s="33" t="str">
        <f>HYPERLINK("https://drive.google.com/a/gtmnerr.org/file/d/1QvAZ7R1p5_SFBt5mF93Am43VNlxMzFTn/view?usp=drivesdk","Pamela Marcum - 3/24/2018")</f>
        <v>Pamela Marcum - 3/24/2018</v>
      </c>
      <c r="AI30" s="30" t="s">
        <v>25</v>
      </c>
    </row>
    <row r="31">
      <c r="A31" s="26">
        <v>43185.58520390047</v>
      </c>
      <c r="B31" s="12" t="s">
        <v>1717</v>
      </c>
      <c r="C31" s="12" t="s">
        <v>1718</v>
      </c>
      <c r="D31" s="12" t="s">
        <v>1701</v>
      </c>
      <c r="E31" s="12" t="s">
        <v>1645</v>
      </c>
      <c r="F31" s="26">
        <v>43186.805555555555</v>
      </c>
      <c r="G31" s="12" t="s">
        <v>1719</v>
      </c>
      <c r="H31" s="29">
        <v>0.9791666666642413</v>
      </c>
      <c r="I31" s="26">
        <v>43186.98958333333</v>
      </c>
      <c r="J31" s="12" t="s">
        <v>1704</v>
      </c>
      <c r="L31" s="12" t="s">
        <v>1720</v>
      </c>
      <c r="M31" s="12" t="s">
        <v>1721</v>
      </c>
      <c r="N31" s="12" t="s">
        <v>1722</v>
      </c>
      <c r="O31" s="12" t="s">
        <v>1717</v>
      </c>
      <c r="P31" s="12" t="s">
        <v>1696</v>
      </c>
      <c r="Q31" s="12" t="s">
        <v>1696</v>
      </c>
      <c r="R31" s="12" t="s">
        <v>1696</v>
      </c>
      <c r="S31" s="12" t="s">
        <v>1696</v>
      </c>
      <c r="T31" s="12" t="s">
        <v>1696</v>
      </c>
      <c r="U31" s="12" t="s">
        <v>1696</v>
      </c>
      <c r="V31" s="12" t="s">
        <v>1696</v>
      </c>
      <c r="W31" s="12" t="s">
        <v>1696</v>
      </c>
      <c r="X31" s="12" t="s">
        <v>1696</v>
      </c>
      <c r="Y31" s="12" t="s">
        <v>1696</v>
      </c>
      <c r="Z31" s="12" t="s">
        <v>1696</v>
      </c>
      <c r="AA31" s="12" t="s">
        <v>1696</v>
      </c>
      <c r="AB31" s="12" t="s">
        <v>1696</v>
      </c>
      <c r="AF31" s="30" t="s">
        <v>26</v>
      </c>
      <c r="AG31" s="33" t="s">
        <v>27</v>
      </c>
      <c r="AH31" s="33" t="str">
        <f>HYPERLINK("https://drive.google.com/a/gtmnerr.org/file/d/1YinwlBsrG6skh50eUb96HFs4ROS8w5Vd/view?usp=drivesdk","Silas Tanner - 3/27/2018")</f>
        <v>Silas Tanner - 3/27/2018</v>
      </c>
      <c r="AI31" s="30" t="s">
        <v>28</v>
      </c>
    </row>
    <row r="32">
      <c r="A32" s="26">
        <v>43185.5877775463</v>
      </c>
      <c r="B32" s="12" t="s">
        <v>1717</v>
      </c>
      <c r="C32" s="12" t="s">
        <v>1718</v>
      </c>
      <c r="D32" s="12" t="s">
        <v>1701</v>
      </c>
      <c r="E32" s="12" t="s">
        <v>1723</v>
      </c>
      <c r="F32" s="26">
        <v>43186.29166666667</v>
      </c>
      <c r="G32" s="12" t="s">
        <v>1724</v>
      </c>
      <c r="H32" s="29">
        <v>0.5625</v>
      </c>
      <c r="I32" s="26">
        <v>43186.57291666667</v>
      </c>
      <c r="J32" s="12" t="s">
        <v>1704</v>
      </c>
      <c r="L32" s="12" t="s">
        <v>1720</v>
      </c>
      <c r="M32" s="12" t="s">
        <v>1721</v>
      </c>
      <c r="N32" s="12" t="s">
        <v>1725</v>
      </c>
      <c r="O32" s="12" t="s">
        <v>1717</v>
      </c>
      <c r="P32" s="12" t="s">
        <v>1696</v>
      </c>
      <c r="Q32" s="12" t="s">
        <v>1696</v>
      </c>
      <c r="R32" s="12" t="s">
        <v>1696</v>
      </c>
      <c r="S32" s="12" t="s">
        <v>1696</v>
      </c>
      <c r="T32" s="12" t="s">
        <v>1696</v>
      </c>
      <c r="U32" s="12" t="s">
        <v>1696</v>
      </c>
      <c r="V32" s="12" t="s">
        <v>1696</v>
      </c>
      <c r="W32" s="12" t="s">
        <v>1696</v>
      </c>
      <c r="X32" s="12" t="s">
        <v>1696</v>
      </c>
      <c r="Y32" s="12" t="s">
        <v>1696</v>
      </c>
      <c r="Z32" s="12" t="s">
        <v>1696</v>
      </c>
      <c r="AA32" s="12" t="s">
        <v>1696</v>
      </c>
      <c r="AB32" s="12" t="s">
        <v>1696</v>
      </c>
      <c r="AF32" s="30" t="s">
        <v>29</v>
      </c>
      <c r="AG32" s="33" t="s">
        <v>30</v>
      </c>
      <c r="AH32" s="33" t="str">
        <f>HYPERLINK("https://drive.google.com/a/gtmnerr.org/file/d/1UDcTZ57HVMirRLXojC9fGFCmlWToZDMk/view?usp=drivesdk","Silas Tanner - 3/27/2018")</f>
        <v>Silas Tanner - 3/27/2018</v>
      </c>
      <c r="AI32" s="30" t="s">
        <v>31</v>
      </c>
    </row>
    <row r="33">
      <c r="A33" s="26">
        <v>43187.31730523148</v>
      </c>
      <c r="B33" s="12" t="s">
        <v>1726</v>
      </c>
      <c r="C33" s="12" t="s">
        <v>1727</v>
      </c>
      <c r="D33" s="12" t="s">
        <v>1728</v>
      </c>
      <c r="E33" s="12" t="s">
        <v>1683</v>
      </c>
      <c r="F33" s="26">
        <v>43187.32291666667</v>
      </c>
      <c r="G33" s="12" t="s">
        <v>1729</v>
      </c>
      <c r="H33" s="29">
        <v>0.5</v>
      </c>
      <c r="I33" s="26">
        <v>43187.01041666667</v>
      </c>
      <c r="J33" s="12" t="s">
        <v>1730</v>
      </c>
      <c r="L33" s="12" t="s">
        <v>1705</v>
      </c>
      <c r="M33" s="12" t="s">
        <v>1721</v>
      </c>
      <c r="O33" s="12" t="s">
        <v>1726</v>
      </c>
      <c r="P33" s="12" t="s">
        <v>1696</v>
      </c>
      <c r="Q33" s="12" t="s">
        <v>1696</v>
      </c>
      <c r="R33" s="12" t="s">
        <v>1696</v>
      </c>
      <c r="S33" s="12" t="s">
        <v>1696</v>
      </c>
      <c r="T33" s="12" t="s">
        <v>1696</v>
      </c>
      <c r="U33" s="12" t="s">
        <v>1696</v>
      </c>
      <c r="V33" s="12" t="s">
        <v>1696</v>
      </c>
      <c r="W33" s="12" t="s">
        <v>1696</v>
      </c>
      <c r="X33" s="12" t="s">
        <v>1696</v>
      </c>
      <c r="Y33" s="12" t="s">
        <v>1696</v>
      </c>
      <c r="Z33" s="12" t="s">
        <v>1696</v>
      </c>
      <c r="AA33" s="12" t="s">
        <v>1696</v>
      </c>
      <c r="AB33" s="12" t="s">
        <v>1696</v>
      </c>
      <c r="AF33" s="30" t="s">
        <v>33</v>
      </c>
      <c r="AG33" s="33" t="s">
        <v>34</v>
      </c>
      <c r="AH33" s="33" t="str">
        <f>HYPERLINK("https://drive.google.com/a/gtmnerr.org/file/d/1jgjcWdO9z2WyqZPvktwTx42rtdLSC_0a/view?usp=drivesdk","James Tomazinis - 3/28/2018")</f>
        <v>James Tomazinis - 3/28/2018</v>
      </c>
      <c r="AI33" s="30" t="s">
        <v>35</v>
      </c>
    </row>
    <row r="34">
      <c r="A34" s="26">
        <v>43188.360827847224</v>
      </c>
      <c r="B34" s="12" t="s">
        <v>1726</v>
      </c>
      <c r="C34" s="12" t="s">
        <v>1727</v>
      </c>
      <c r="D34" s="12" t="s">
        <v>1728</v>
      </c>
      <c r="E34" s="12" t="s">
        <v>1731</v>
      </c>
      <c r="F34" s="26">
        <v>43188.38541666667</v>
      </c>
      <c r="G34" s="12" t="s">
        <v>1732</v>
      </c>
      <c r="H34" s="29">
        <v>0.7083333333357587</v>
      </c>
      <c r="I34" s="26">
        <v>43188.71875</v>
      </c>
      <c r="J34" s="12" t="s">
        <v>1704</v>
      </c>
      <c r="L34" s="12" t="s">
        <v>1720</v>
      </c>
      <c r="M34" s="12" t="s">
        <v>1733</v>
      </c>
      <c r="N34" s="12" t="s">
        <v>1734</v>
      </c>
      <c r="O34" s="12" t="s">
        <v>1735</v>
      </c>
      <c r="P34" s="12" t="s">
        <v>1696</v>
      </c>
      <c r="Q34" s="12" t="s">
        <v>1696</v>
      </c>
      <c r="R34" s="12" t="s">
        <v>1696</v>
      </c>
      <c r="S34" s="12" t="s">
        <v>1696</v>
      </c>
      <c r="T34" s="12" t="s">
        <v>1696</v>
      </c>
      <c r="U34" s="12" t="s">
        <v>1696</v>
      </c>
      <c r="V34" s="12" t="s">
        <v>1696</v>
      </c>
      <c r="W34" s="12" t="s">
        <v>1696</v>
      </c>
      <c r="X34" s="12" t="s">
        <v>1696</v>
      </c>
      <c r="Y34" s="12" t="s">
        <v>1696</v>
      </c>
      <c r="Z34" s="12" t="s">
        <v>1696</v>
      </c>
      <c r="AA34" s="12" t="s">
        <v>1696</v>
      </c>
      <c r="AB34" s="12" t="s">
        <v>1696</v>
      </c>
      <c r="AF34" s="30" t="s">
        <v>36</v>
      </c>
      <c r="AG34" s="33" t="s">
        <v>37</v>
      </c>
      <c r="AH34" s="33" t="str">
        <f>HYPERLINK("https://drive.google.com/a/gtmnerr.org/file/d/1xdZPUxBQL3Q04nu9hZKEqU5OAwvcXjY4/view?usp=drivesdk","James Tomazinis - 3/29/2018")</f>
        <v>James Tomazinis - 3/29/2018</v>
      </c>
      <c r="AI34" s="30" t="s">
        <v>38</v>
      </c>
    </row>
    <row r="35">
      <c r="A35" s="26">
        <v>43189.494782939815</v>
      </c>
      <c r="B35" s="12" t="s">
        <v>1620</v>
      </c>
      <c r="C35" s="12" t="s">
        <v>1635</v>
      </c>
      <c r="D35" s="12" t="s">
        <v>1630</v>
      </c>
      <c r="E35" s="12" t="s">
        <v>1736</v>
      </c>
      <c r="F35" s="26">
        <v>43190.375</v>
      </c>
      <c r="G35" s="12" t="s">
        <v>1737</v>
      </c>
      <c r="H35" s="29">
        <v>0.5416666666642413</v>
      </c>
      <c r="I35" s="26">
        <v>43190.70833333333</v>
      </c>
      <c r="J35" s="12" t="s">
        <v>1704</v>
      </c>
      <c r="L35" s="12" t="s">
        <v>1720</v>
      </c>
      <c r="M35" s="12" t="s">
        <v>1640</v>
      </c>
      <c r="N35" s="12" t="s">
        <v>1738</v>
      </c>
      <c r="O35" s="12" t="s">
        <v>1620</v>
      </c>
      <c r="P35" s="12" t="s">
        <v>1696</v>
      </c>
      <c r="Q35" s="12" t="s">
        <v>1696</v>
      </c>
      <c r="R35" s="12" t="s">
        <v>1696</v>
      </c>
      <c r="S35" s="12" t="s">
        <v>1696</v>
      </c>
      <c r="T35" s="12" t="s">
        <v>1696</v>
      </c>
      <c r="U35" s="12" t="s">
        <v>1696</v>
      </c>
      <c r="V35" s="12" t="s">
        <v>1696</v>
      </c>
      <c r="W35" s="12" t="s">
        <v>1696</v>
      </c>
      <c r="X35" s="12" t="s">
        <v>1696</v>
      </c>
      <c r="Y35" s="12" t="s">
        <v>1696</v>
      </c>
      <c r="Z35" s="12" t="s">
        <v>1696</v>
      </c>
      <c r="AA35" s="12" t="s">
        <v>1696</v>
      </c>
      <c r="AB35" s="12" t="s">
        <v>1696</v>
      </c>
      <c r="AC35" s="12" t="s">
        <v>1739</v>
      </c>
      <c r="AD35" s="12" t="s">
        <v>1740</v>
      </c>
      <c r="AE35" s="32"/>
      <c r="AF35" s="30" t="s">
        <v>40</v>
      </c>
      <c r="AG35" s="33" t="s">
        <v>41</v>
      </c>
      <c r="AH35" s="33" t="str">
        <f>HYPERLINK("https://drive.google.com/a/gtmnerr.org/file/d/1CqRffsFMJFT8y9LOWdRzM3m5rD9ZeP2D/view?usp=drivesdk","Kenneth Rainer - 3/31/2018")</f>
        <v>Kenneth Rainer - 3/31/2018</v>
      </c>
      <c r="AI35" s="30" t="s">
        <v>42</v>
      </c>
    </row>
    <row r="36">
      <c r="A36" s="26">
        <v>43193.314899652774</v>
      </c>
      <c r="B36" s="12" t="s">
        <v>1699</v>
      </c>
      <c r="C36" s="12" t="s">
        <v>1710</v>
      </c>
      <c r="D36" s="12" t="s">
        <v>1701</v>
      </c>
      <c r="E36" s="12" t="s">
        <v>1741</v>
      </c>
      <c r="F36" s="26">
        <v>43193.35416666667</v>
      </c>
      <c r="G36" s="12" t="s">
        <v>1742</v>
      </c>
      <c r="H36" s="29">
        <v>0.6458333333357587</v>
      </c>
      <c r="I36" s="26">
        <v>43193.66666666667</v>
      </c>
      <c r="J36" s="12" t="s">
        <v>1704</v>
      </c>
      <c r="L36" s="12" t="s">
        <v>1705</v>
      </c>
      <c r="M36" s="12" t="s">
        <v>1706</v>
      </c>
      <c r="N36" s="12" t="s">
        <v>1713</v>
      </c>
      <c r="O36" s="12" t="s">
        <v>1743</v>
      </c>
      <c r="P36" s="12" t="s">
        <v>1696</v>
      </c>
      <c r="Q36" s="12" t="s">
        <v>1696</v>
      </c>
      <c r="R36" s="12" t="s">
        <v>1696</v>
      </c>
      <c r="S36" s="12" t="s">
        <v>1696</v>
      </c>
      <c r="T36" s="12" t="s">
        <v>1696</v>
      </c>
      <c r="U36" s="12" t="s">
        <v>1696</v>
      </c>
      <c r="V36" s="12" t="s">
        <v>1696</v>
      </c>
      <c r="W36" s="12" t="s">
        <v>1696</v>
      </c>
      <c r="X36" s="12" t="s">
        <v>1696</v>
      </c>
      <c r="Y36" s="12" t="s">
        <v>1696</v>
      </c>
      <c r="Z36" s="12" t="s">
        <v>1696</v>
      </c>
      <c r="AA36" s="12" t="s">
        <v>1696</v>
      </c>
      <c r="AB36" s="12" t="s">
        <v>1696</v>
      </c>
      <c r="AF36" s="30" t="s">
        <v>44</v>
      </c>
      <c r="AG36" s="33" t="s">
        <v>45</v>
      </c>
      <c r="AH36" s="33" t="str">
        <f>HYPERLINK("https://drive.google.com/a/gtmnerr.org/file/d/1VQkdorZRbfabc3AEa7o8ja86ZuyLfsIJ/view?usp=drivesdk","Pamela Marcum - 4/3/2018")</f>
        <v>Pamela Marcum - 4/3/2018</v>
      </c>
      <c r="AI36" s="30" t="s">
        <v>46</v>
      </c>
    </row>
    <row r="37">
      <c r="A37" s="26">
        <v>43195.32530829861</v>
      </c>
      <c r="B37" s="12" t="s">
        <v>1744</v>
      </c>
      <c r="C37" s="12" t="s">
        <v>1710</v>
      </c>
      <c r="D37" s="12" t="s">
        <v>1701</v>
      </c>
      <c r="E37" s="12" t="s">
        <v>1745</v>
      </c>
      <c r="F37" s="26">
        <v>43195.35416666667</v>
      </c>
      <c r="G37" s="12" t="s">
        <v>1746</v>
      </c>
      <c r="H37" s="29">
        <v>0.4375</v>
      </c>
      <c r="I37" s="26">
        <v>43195.45833333333</v>
      </c>
      <c r="J37" s="12" t="s">
        <v>1704</v>
      </c>
      <c r="L37" s="12" t="s">
        <v>1705</v>
      </c>
      <c r="M37" s="12" t="s">
        <v>1706</v>
      </c>
      <c r="N37" s="12" t="s">
        <v>1747</v>
      </c>
      <c r="O37" s="12" t="s">
        <v>1744</v>
      </c>
      <c r="P37" s="12" t="s">
        <v>1696</v>
      </c>
      <c r="Q37" s="12" t="s">
        <v>1696</v>
      </c>
      <c r="R37" s="12" t="s">
        <v>1696</v>
      </c>
      <c r="S37" s="12" t="s">
        <v>1696</v>
      </c>
      <c r="T37" s="12" t="s">
        <v>1696</v>
      </c>
      <c r="U37" s="12" t="s">
        <v>1696</v>
      </c>
      <c r="V37" s="12" t="s">
        <v>1696</v>
      </c>
      <c r="W37" s="12" t="s">
        <v>1696</v>
      </c>
      <c r="X37" s="12" t="s">
        <v>1696</v>
      </c>
      <c r="Y37" s="12" t="s">
        <v>1696</v>
      </c>
      <c r="Z37" s="12" t="s">
        <v>1696</v>
      </c>
      <c r="AA37" s="12" t="s">
        <v>1696</v>
      </c>
      <c r="AB37" s="12" t="s">
        <v>1696</v>
      </c>
      <c r="AF37" s="30" t="s">
        <v>47</v>
      </c>
      <c r="AG37" s="33" t="s">
        <v>48</v>
      </c>
      <c r="AH37" s="33" t="str">
        <f>HYPERLINK("https://drive.google.com/a/gtmnerr.org/file/d/1wwbmFLgI3rXytEVbNoq8P0VpSeSlZpZt/view?usp=drivesdk","Pam Marcum - 4/5/2018")</f>
        <v>Pam Marcum - 4/5/2018</v>
      </c>
      <c r="AI37" s="30" t="s">
        <v>49</v>
      </c>
    </row>
    <row r="38">
      <c r="A38" s="26">
        <v>43197.37090658565</v>
      </c>
      <c r="B38" s="12" t="s">
        <v>1748</v>
      </c>
      <c r="C38" s="12" t="s">
        <v>1749</v>
      </c>
      <c r="D38" s="12" t="s">
        <v>1701</v>
      </c>
      <c r="E38" s="12" t="s">
        <v>1745</v>
      </c>
      <c r="F38" s="26">
        <v>43197.38888888889</v>
      </c>
      <c r="G38" s="12" t="s">
        <v>1750</v>
      </c>
      <c r="H38" s="29">
        <v>0.4930555555547471</v>
      </c>
      <c r="I38" s="26">
        <v>43197.52083333333</v>
      </c>
      <c r="J38" s="12" t="s">
        <v>1704</v>
      </c>
      <c r="L38" s="12" t="s">
        <v>1720</v>
      </c>
      <c r="M38" s="12" t="s">
        <v>1733</v>
      </c>
      <c r="N38" s="12" t="s">
        <v>1713</v>
      </c>
      <c r="O38" s="12" t="s">
        <v>1735</v>
      </c>
      <c r="P38" s="12" t="s">
        <v>1696</v>
      </c>
      <c r="Q38" s="12" t="s">
        <v>1696</v>
      </c>
      <c r="R38" s="12" t="s">
        <v>1696</v>
      </c>
      <c r="S38" s="12" t="s">
        <v>1696</v>
      </c>
      <c r="T38" s="12" t="s">
        <v>1696</v>
      </c>
      <c r="U38" s="12" t="s">
        <v>1696</v>
      </c>
      <c r="V38" s="12" t="s">
        <v>1696</v>
      </c>
      <c r="W38" s="12" t="s">
        <v>1696</v>
      </c>
      <c r="X38" s="12" t="s">
        <v>1696</v>
      </c>
      <c r="Y38" s="12" t="s">
        <v>1696</v>
      </c>
      <c r="Z38" s="12" t="s">
        <v>1696</v>
      </c>
      <c r="AA38" s="12" t="s">
        <v>1696</v>
      </c>
      <c r="AB38" s="12" t="s">
        <v>1696</v>
      </c>
      <c r="AF38" s="30" t="s">
        <v>50</v>
      </c>
      <c r="AG38" s="33" t="s">
        <v>51</v>
      </c>
      <c r="AH38" s="33" t="str">
        <f>HYPERLINK("https://drive.google.com/a/gtmnerr.org/file/d/1PS5YPza6b0J9agPHBVTnWxTfvhLIFch7/view?usp=drivesdk","Benjamin E Mowbray - 4/7/2018")</f>
        <v>Benjamin E Mowbray - 4/7/2018</v>
      </c>
      <c r="AI38" s="30" t="s">
        <v>52</v>
      </c>
    </row>
    <row r="39">
      <c r="A39" s="26">
        <v>43197.372173587966</v>
      </c>
      <c r="B39" s="12" t="s">
        <v>1713</v>
      </c>
      <c r="C39" s="12" t="s">
        <v>1749</v>
      </c>
      <c r="D39" s="12" t="s">
        <v>1701</v>
      </c>
      <c r="E39" s="12" t="s">
        <v>1745</v>
      </c>
      <c r="F39" s="26">
        <v>43197.38888888889</v>
      </c>
      <c r="G39" s="12" t="s">
        <v>1750</v>
      </c>
      <c r="H39" s="29">
        <v>0.4930555555547471</v>
      </c>
      <c r="I39" s="26">
        <v>43197.52083333333</v>
      </c>
      <c r="J39" s="12" t="s">
        <v>1658</v>
      </c>
      <c r="L39" s="12" t="s">
        <v>1705</v>
      </c>
      <c r="M39" s="12" t="s">
        <v>1751</v>
      </c>
      <c r="O39" s="12" t="s">
        <v>1708</v>
      </c>
      <c r="P39" s="12" t="s">
        <v>1696</v>
      </c>
      <c r="Q39" s="12" t="s">
        <v>1696</v>
      </c>
      <c r="R39" s="12" t="s">
        <v>1696</v>
      </c>
      <c r="S39" s="12" t="s">
        <v>1696</v>
      </c>
      <c r="T39" s="12" t="s">
        <v>1696</v>
      </c>
      <c r="U39" s="12" t="s">
        <v>1696</v>
      </c>
      <c r="V39" s="12" t="s">
        <v>1696</v>
      </c>
      <c r="W39" s="12" t="s">
        <v>1696</v>
      </c>
      <c r="X39" s="12" t="s">
        <v>1696</v>
      </c>
      <c r="Y39" s="12" t="s">
        <v>1696</v>
      </c>
      <c r="Z39" s="12" t="s">
        <v>1696</v>
      </c>
      <c r="AA39" s="12" t="s">
        <v>1696</v>
      </c>
      <c r="AB39" s="12" t="s">
        <v>1696</v>
      </c>
      <c r="AF39" s="30" t="s">
        <v>53</v>
      </c>
      <c r="AG39" s="33" t="s">
        <v>54</v>
      </c>
      <c r="AH39" s="33" t="str">
        <f>HYPERLINK("https://drive.google.com/a/gtmnerr.org/file/d/1xtziDCcDw8NcS5SRk_17AU3Q8TKpQ1Z4/view?usp=drivesdk","Ben Mowbray - 4/7/2018")</f>
        <v>Ben Mowbray - 4/7/2018</v>
      </c>
      <c r="AI39" s="30" t="s">
        <v>55</v>
      </c>
    </row>
    <row r="40">
      <c r="A40" s="26">
        <v>43199.5246040625</v>
      </c>
      <c r="B40" s="12" t="s">
        <v>1717</v>
      </c>
      <c r="C40" s="12" t="s">
        <v>1718</v>
      </c>
      <c r="D40" s="12" t="s">
        <v>1701</v>
      </c>
      <c r="E40" s="12" t="s">
        <v>1723</v>
      </c>
      <c r="F40" s="26">
        <v>43201.29166666667</v>
      </c>
      <c r="G40" s="12" t="s">
        <v>1724</v>
      </c>
      <c r="H40" s="29">
        <v>0.5625</v>
      </c>
      <c r="I40" s="26">
        <v>43201.57291666667</v>
      </c>
      <c r="J40" s="12" t="s">
        <v>1704</v>
      </c>
      <c r="L40" s="12" t="s">
        <v>1720</v>
      </c>
      <c r="M40" s="12" t="s">
        <v>1721</v>
      </c>
      <c r="N40" s="12" t="s">
        <v>1752</v>
      </c>
      <c r="O40" s="12" t="s">
        <v>1717</v>
      </c>
      <c r="P40" s="12" t="s">
        <v>1696</v>
      </c>
      <c r="Q40" s="12" t="s">
        <v>1696</v>
      </c>
      <c r="R40" s="12" t="s">
        <v>1696</v>
      </c>
      <c r="S40" s="12" t="s">
        <v>1696</v>
      </c>
      <c r="T40" s="12" t="s">
        <v>1696</v>
      </c>
      <c r="U40" s="12" t="s">
        <v>1696</v>
      </c>
      <c r="V40" s="12" t="s">
        <v>1696</v>
      </c>
      <c r="W40" s="12" t="s">
        <v>1696</v>
      </c>
      <c r="X40" s="12" t="s">
        <v>1696</v>
      </c>
      <c r="Y40" s="12" t="s">
        <v>1696</v>
      </c>
      <c r="Z40" s="12" t="s">
        <v>1696</v>
      </c>
      <c r="AA40" s="12" t="s">
        <v>1696</v>
      </c>
      <c r="AB40" s="12" t="s">
        <v>1696</v>
      </c>
      <c r="AC40" s="12" t="s">
        <v>1753</v>
      </c>
      <c r="AD40" s="12" t="s">
        <v>1754</v>
      </c>
      <c r="AE40" s="32"/>
      <c r="AF40" s="30" t="s">
        <v>8</v>
      </c>
      <c r="AG40" s="30" t="s">
        <v>8</v>
      </c>
      <c r="AH40" s="30" t="s">
        <v>8</v>
      </c>
      <c r="AI40" s="30" t="s">
        <v>8</v>
      </c>
    </row>
    <row r="41">
      <c r="A41" s="26">
        <v>43200.445317233796</v>
      </c>
      <c r="B41" s="12" t="s">
        <v>1717</v>
      </c>
      <c r="C41" s="12" t="s">
        <v>1718</v>
      </c>
      <c r="D41" s="12" t="s">
        <v>1701</v>
      </c>
      <c r="E41" s="12" t="s">
        <v>1723</v>
      </c>
      <c r="F41" s="26">
        <v>43202.3125</v>
      </c>
      <c r="G41" s="12" t="s">
        <v>1724</v>
      </c>
      <c r="H41" s="29">
        <v>0.5625</v>
      </c>
      <c r="I41" s="26">
        <v>43202.57291666667</v>
      </c>
      <c r="J41" s="12" t="s">
        <v>1658</v>
      </c>
      <c r="L41" s="12" t="s">
        <v>1705</v>
      </c>
      <c r="M41" s="12" t="s">
        <v>1755</v>
      </c>
      <c r="O41" s="12" t="s">
        <v>1756</v>
      </c>
      <c r="P41" s="12" t="s">
        <v>1696</v>
      </c>
      <c r="Q41" s="12" t="s">
        <v>1696</v>
      </c>
      <c r="R41" s="12" t="s">
        <v>1696</v>
      </c>
      <c r="S41" s="12" t="s">
        <v>1696</v>
      </c>
      <c r="T41" s="12" t="s">
        <v>1696</v>
      </c>
      <c r="U41" s="12" t="s">
        <v>1696</v>
      </c>
      <c r="V41" s="12" t="s">
        <v>1696</v>
      </c>
      <c r="W41" s="12" t="s">
        <v>1696</v>
      </c>
      <c r="X41" s="12" t="s">
        <v>1696</v>
      </c>
      <c r="Y41" s="12" t="s">
        <v>1696</v>
      </c>
      <c r="Z41" s="12" t="s">
        <v>1696</v>
      </c>
      <c r="AA41" s="12" t="s">
        <v>1696</v>
      </c>
      <c r="AB41" s="12" t="s">
        <v>1696</v>
      </c>
      <c r="AF41" s="30" t="s">
        <v>57</v>
      </c>
      <c r="AG41" s="33" t="s">
        <v>58</v>
      </c>
      <c r="AH41" s="33" t="str">
        <f>HYPERLINK("https://drive.google.com/a/gtmnerr.org/file/d/1dZ2zFneiLNJ-LVQ0meYVs4oB71EuzBH6/view?usp=drivesdk","Silas Tanner - 4/12/2018")</f>
        <v>Silas Tanner - 4/12/2018</v>
      </c>
      <c r="AI41" s="30" t="s">
        <v>59</v>
      </c>
    </row>
    <row r="42">
      <c r="A42" s="26">
        <v>43201.392433506946</v>
      </c>
      <c r="B42" s="12" t="s">
        <v>1717</v>
      </c>
      <c r="C42" s="12" t="s">
        <v>1718</v>
      </c>
      <c r="D42" s="12" t="s">
        <v>1701</v>
      </c>
      <c r="E42" s="12" t="s">
        <v>1757</v>
      </c>
      <c r="F42" s="26">
        <v>43203.41666666667</v>
      </c>
      <c r="G42" s="12" t="s">
        <v>1758</v>
      </c>
      <c r="H42" s="29">
        <v>0.5416666666642413</v>
      </c>
      <c r="I42" s="26">
        <v>43203.58333333333</v>
      </c>
      <c r="J42" s="12" t="s">
        <v>1704</v>
      </c>
      <c r="L42" s="12" t="s">
        <v>1720</v>
      </c>
      <c r="M42" s="12" t="s">
        <v>1717</v>
      </c>
      <c r="N42" s="12" t="s">
        <v>1759</v>
      </c>
      <c r="O42" s="12" t="s">
        <v>1717</v>
      </c>
      <c r="P42" s="12" t="s">
        <v>1696</v>
      </c>
      <c r="Q42" s="12" t="s">
        <v>1696</v>
      </c>
      <c r="R42" s="12" t="s">
        <v>1696</v>
      </c>
      <c r="S42" s="12" t="s">
        <v>1696</v>
      </c>
      <c r="T42" s="12" t="s">
        <v>1696</v>
      </c>
      <c r="U42" s="12" t="s">
        <v>1696</v>
      </c>
      <c r="V42" s="12" t="s">
        <v>1696</v>
      </c>
      <c r="W42" s="12" t="s">
        <v>1696</v>
      </c>
      <c r="X42" s="12" t="s">
        <v>1696</v>
      </c>
      <c r="Y42" s="12" t="s">
        <v>1696</v>
      </c>
      <c r="Z42" s="12" t="s">
        <v>1696</v>
      </c>
      <c r="AA42" s="12" t="s">
        <v>1696</v>
      </c>
      <c r="AB42" s="12" t="s">
        <v>1696</v>
      </c>
      <c r="AC42" s="12" t="s">
        <v>1760</v>
      </c>
      <c r="AD42" s="12" t="s">
        <v>1761</v>
      </c>
      <c r="AE42" s="32"/>
      <c r="AF42" s="30" t="s">
        <v>61</v>
      </c>
      <c r="AG42" s="33" t="s">
        <v>62</v>
      </c>
      <c r="AH42" s="33" t="str">
        <f>HYPERLINK("https://drive.google.com/a/gtmnerr.org/file/d/1iSoKHDcZ4JzQNG4JwzRoVeKu0BXy7IBM/view?usp=drivesdk","Silas Tanner - 4/13/2018")</f>
        <v>Silas Tanner - 4/13/2018</v>
      </c>
      <c r="AI42" s="30" t="s">
        <v>63</v>
      </c>
    </row>
    <row r="43">
      <c r="A43" s="26">
        <v>43202.3330612963</v>
      </c>
      <c r="B43" s="12" t="s">
        <v>1699</v>
      </c>
      <c r="C43" s="12" t="s">
        <v>262</v>
      </c>
      <c r="D43" s="12" t="s">
        <v>1701</v>
      </c>
      <c r="E43" s="12" t="s">
        <v>1762</v>
      </c>
      <c r="F43" s="26">
        <v>43202.35416666667</v>
      </c>
      <c r="G43" s="12" t="s">
        <v>1763</v>
      </c>
      <c r="H43" s="29">
        <v>0.5416666666642413</v>
      </c>
      <c r="I43" s="26">
        <v>43202.5625</v>
      </c>
      <c r="J43" s="12" t="s">
        <v>1704</v>
      </c>
      <c r="L43" s="12" t="s">
        <v>1720</v>
      </c>
      <c r="M43" s="12" t="s">
        <v>1706</v>
      </c>
      <c r="N43" s="12" t="s">
        <v>1764</v>
      </c>
      <c r="O43" s="12" t="s">
        <v>1708</v>
      </c>
      <c r="P43" s="12" t="s">
        <v>1696</v>
      </c>
      <c r="Q43" s="12" t="s">
        <v>1696</v>
      </c>
      <c r="R43" s="12" t="s">
        <v>1696</v>
      </c>
      <c r="S43" s="12" t="s">
        <v>1696</v>
      </c>
      <c r="T43" s="12" t="s">
        <v>1696</v>
      </c>
      <c r="U43" s="12" t="s">
        <v>1696</v>
      </c>
      <c r="V43" s="12" t="s">
        <v>1696</v>
      </c>
      <c r="W43" s="12" t="s">
        <v>1696</v>
      </c>
      <c r="X43" s="12" t="s">
        <v>1696</v>
      </c>
      <c r="Y43" s="12" t="s">
        <v>1696</v>
      </c>
      <c r="Z43" s="12" t="s">
        <v>1696</v>
      </c>
      <c r="AA43" s="12" t="s">
        <v>1696</v>
      </c>
      <c r="AB43" s="12" t="s">
        <v>1696</v>
      </c>
      <c r="AF43" s="30" t="s">
        <v>64</v>
      </c>
      <c r="AG43" s="33" t="s">
        <v>65</v>
      </c>
      <c r="AH43" s="33" t="str">
        <f>HYPERLINK("https://drive.google.com/a/gtmnerr.org/file/d/1X-tbMcKrUC7VZG_2B5PruW_7lMpu_1vI/view?usp=drivesdk","Pamela Marcum - 4/12/2018")</f>
        <v>Pamela Marcum - 4/12/2018</v>
      </c>
      <c r="AI43" s="30" t="s">
        <v>66</v>
      </c>
    </row>
    <row r="44">
      <c r="A44" s="26">
        <v>43206.54286314815</v>
      </c>
      <c r="B44" s="12" t="s">
        <v>1713</v>
      </c>
      <c r="C44" s="12" t="s">
        <v>1765</v>
      </c>
      <c r="D44" s="12" t="s">
        <v>1701</v>
      </c>
      <c r="E44" s="12" t="s">
        <v>1714</v>
      </c>
      <c r="F44" s="26">
        <v>43207.33333333333</v>
      </c>
      <c r="G44" s="12" t="s">
        <v>1766</v>
      </c>
      <c r="H44" s="29">
        <v>0.5208333333357587</v>
      </c>
      <c r="I44" s="26">
        <v>43207.05208333333</v>
      </c>
      <c r="J44" s="12" t="s">
        <v>1658</v>
      </c>
      <c r="L44" s="12" t="s">
        <v>1720</v>
      </c>
      <c r="M44" s="12" t="s">
        <v>1767</v>
      </c>
      <c r="N44" s="12" t="s">
        <v>1768</v>
      </c>
      <c r="O44" s="12" t="s">
        <v>1708</v>
      </c>
      <c r="P44" s="12" t="s">
        <v>1696</v>
      </c>
      <c r="Q44" s="12" t="s">
        <v>1696</v>
      </c>
      <c r="R44" s="12" t="s">
        <v>1696</v>
      </c>
      <c r="S44" s="12" t="s">
        <v>1696</v>
      </c>
      <c r="T44" s="12" t="s">
        <v>1696</v>
      </c>
      <c r="U44" s="12" t="s">
        <v>1696</v>
      </c>
      <c r="V44" s="12" t="s">
        <v>1696</v>
      </c>
      <c r="W44" s="12" t="s">
        <v>1696</v>
      </c>
      <c r="X44" s="12" t="s">
        <v>1696</v>
      </c>
      <c r="Y44" s="12" t="s">
        <v>1696</v>
      </c>
      <c r="Z44" s="12" t="s">
        <v>1696</v>
      </c>
      <c r="AA44" s="12" t="s">
        <v>1696</v>
      </c>
      <c r="AB44" s="12" t="s">
        <v>1696</v>
      </c>
      <c r="AF44" s="30" t="s">
        <v>67</v>
      </c>
      <c r="AG44" s="33" t="s">
        <v>68</v>
      </c>
      <c r="AH44" s="33" t="str">
        <f>HYPERLINK("https://docs.google.com/document/d/1lvnFSpiVYr6imjfOlWlxPW2ouTpS9jO0pAxu4_Njk7M/edit?usp=drivesdk","Ben Mowbray - Tuesday, April 17, 2018 at 12:00:00 AM")</f>
        <v>Ben Mowbray - Tuesday, April 17, 2018 at 12:00:00 AM</v>
      </c>
      <c r="AI44" s="30" t="s">
        <v>69</v>
      </c>
    </row>
    <row r="45">
      <c r="A45" s="26">
        <v>43206.73571945602</v>
      </c>
      <c r="B45" s="12" t="s">
        <v>1699</v>
      </c>
      <c r="C45" s="12" t="s">
        <v>1710</v>
      </c>
      <c r="D45" s="12" t="s">
        <v>1701</v>
      </c>
      <c r="F45" s="27">
        <v>43208.0</v>
      </c>
      <c r="G45" s="12" t="s">
        <v>1769</v>
      </c>
      <c r="H45" s="29">
        <v>0.5416666666642413</v>
      </c>
      <c r="I45" s="26">
        <v>43208.60416666667</v>
      </c>
      <c r="J45" s="12" t="s">
        <v>1658</v>
      </c>
      <c r="L45" s="12" t="s">
        <v>1720</v>
      </c>
      <c r="M45" s="12" t="s">
        <v>1770</v>
      </c>
      <c r="N45" s="12" t="s">
        <v>1771</v>
      </c>
      <c r="O45" s="12" t="s">
        <v>1717</v>
      </c>
      <c r="P45" s="12" t="s">
        <v>1696</v>
      </c>
      <c r="Q45" s="12" t="s">
        <v>1696</v>
      </c>
      <c r="R45" s="12" t="s">
        <v>1696</v>
      </c>
      <c r="S45" s="12" t="s">
        <v>1696</v>
      </c>
      <c r="T45" s="12" t="s">
        <v>1696</v>
      </c>
      <c r="U45" s="12" t="s">
        <v>1696</v>
      </c>
      <c r="V45" s="12" t="s">
        <v>1696</v>
      </c>
      <c r="W45" s="12" t="s">
        <v>1696</v>
      </c>
      <c r="X45" s="12" t="s">
        <v>1696</v>
      </c>
      <c r="Y45" s="12" t="s">
        <v>1696</v>
      </c>
      <c r="Z45" s="12" t="s">
        <v>1696</v>
      </c>
      <c r="AA45" s="12" t="s">
        <v>1696</v>
      </c>
      <c r="AB45" s="12" t="s">
        <v>1696</v>
      </c>
      <c r="AE45" s="29">
        <v>0.33333333333575865</v>
      </c>
      <c r="AF45" s="30" t="s">
        <v>70</v>
      </c>
      <c r="AG45" s="33" t="s">
        <v>71</v>
      </c>
      <c r="AH45" s="33" t="str">
        <f>HYPERLINK("https://docs.google.com/document/d/1yuciw9UAQC0hXjE6C7ODRboAy7GXEhKwmAu3V1IstVw/edit?usp=drivesdk","Pamela Marcum - 4/18/2018 8:00 AM")</f>
        <v>Pamela Marcum - 4/18/2018 8:00 AM</v>
      </c>
      <c r="AI45" s="30" t="s">
        <v>72</v>
      </c>
    </row>
    <row r="46">
      <c r="A46" s="26">
        <v>43209.30134027777</v>
      </c>
      <c r="B46" s="12" t="s">
        <v>1699</v>
      </c>
      <c r="C46" s="12" t="s">
        <v>1700</v>
      </c>
      <c r="D46" s="12" t="s">
        <v>1701</v>
      </c>
      <c r="E46" s="12" t="s">
        <v>1772</v>
      </c>
      <c r="F46" s="27">
        <v>43209.0</v>
      </c>
      <c r="G46" s="12" t="s">
        <v>1773</v>
      </c>
      <c r="H46" s="29">
        <v>0.625</v>
      </c>
      <c r="I46" s="26">
        <v>43209.64583333333</v>
      </c>
      <c r="J46" s="12" t="s">
        <v>1658</v>
      </c>
      <c r="L46" s="12" t="s">
        <v>1720</v>
      </c>
      <c r="M46" s="12" t="s">
        <v>1770</v>
      </c>
      <c r="N46" s="12" t="s">
        <v>1774</v>
      </c>
      <c r="O46" s="12" t="s">
        <v>1708</v>
      </c>
      <c r="P46" s="12" t="s">
        <v>1696</v>
      </c>
      <c r="Q46" s="12" t="s">
        <v>1696</v>
      </c>
      <c r="R46" s="12" t="s">
        <v>1696</v>
      </c>
      <c r="S46" s="12" t="s">
        <v>1696</v>
      </c>
      <c r="T46" s="12" t="s">
        <v>1696</v>
      </c>
      <c r="U46" s="12" t="s">
        <v>1696</v>
      </c>
      <c r="V46" s="12" t="s">
        <v>1696</v>
      </c>
      <c r="W46" s="12" t="s">
        <v>1696</v>
      </c>
      <c r="X46" s="12" t="s">
        <v>1696</v>
      </c>
      <c r="Y46" s="12" t="s">
        <v>1696</v>
      </c>
      <c r="Z46" s="12" t="s">
        <v>1696</v>
      </c>
      <c r="AA46" s="12" t="s">
        <v>1696</v>
      </c>
      <c r="AB46" s="12" t="s">
        <v>1696</v>
      </c>
      <c r="AE46" s="29">
        <v>0.32291666666424135</v>
      </c>
      <c r="AF46" s="30" t="s">
        <v>73</v>
      </c>
      <c r="AG46" s="33" t="s">
        <v>74</v>
      </c>
      <c r="AH46" s="33" t="str">
        <f>HYPERLINK("https://docs.google.com/document/d/1xUIhT2sRTDOWmpUEFwaZu47fXh5-6Kw9MpWVOIypX_Y/edit?usp=drivesdk","Pamela Marcum - 4/19/2018 7:45 AM")</f>
        <v>Pamela Marcum - 4/19/2018 7:45 AM</v>
      </c>
      <c r="AI46" s="30" t="s">
        <v>75</v>
      </c>
    </row>
    <row r="47">
      <c r="A47" s="26">
        <v>43210.34575503472</v>
      </c>
      <c r="B47" s="12" t="s">
        <v>1717</v>
      </c>
      <c r="C47" s="12" t="s">
        <v>1775</v>
      </c>
      <c r="D47" s="12" t="s">
        <v>1701</v>
      </c>
      <c r="E47" s="12" t="s">
        <v>1776</v>
      </c>
      <c r="F47" s="27">
        <v>43210.0</v>
      </c>
      <c r="G47" s="12" t="s">
        <v>1777</v>
      </c>
      <c r="H47" s="29">
        <v>0.6458333333357587</v>
      </c>
      <c r="I47" s="26">
        <v>43210.66666666667</v>
      </c>
      <c r="J47" s="12" t="s">
        <v>1658</v>
      </c>
      <c r="L47" s="12" t="s">
        <v>1720</v>
      </c>
      <c r="M47" s="12" t="s">
        <v>1778</v>
      </c>
      <c r="N47" s="12" t="s">
        <v>1779</v>
      </c>
      <c r="O47" s="12" t="s">
        <v>1717</v>
      </c>
      <c r="P47" s="12" t="s">
        <v>1696</v>
      </c>
      <c r="Q47" s="12" t="s">
        <v>1696</v>
      </c>
      <c r="R47" s="12" t="s">
        <v>1696</v>
      </c>
      <c r="S47" s="12" t="s">
        <v>1696</v>
      </c>
      <c r="T47" s="12" t="s">
        <v>1696</v>
      </c>
      <c r="U47" s="12" t="s">
        <v>1696</v>
      </c>
      <c r="V47" s="12" t="s">
        <v>1696</v>
      </c>
      <c r="W47" s="12" t="s">
        <v>1696</v>
      </c>
      <c r="X47" s="12" t="s">
        <v>1696</v>
      </c>
      <c r="Y47" s="12" t="s">
        <v>1696</v>
      </c>
      <c r="Z47" s="12" t="s">
        <v>1696</v>
      </c>
      <c r="AA47" s="12" t="s">
        <v>1696</v>
      </c>
      <c r="AB47" s="12" t="s">
        <v>1696</v>
      </c>
      <c r="AE47" s="29">
        <v>0.375</v>
      </c>
      <c r="AF47" s="30" t="s">
        <v>76</v>
      </c>
      <c r="AG47" s="33" t="s">
        <v>77</v>
      </c>
      <c r="AH47" s="33" t="str">
        <f>HYPERLINK("https://docs.google.com/document/d/1JEa1CEgHyehbkiQb0UeiGakohFPxlUdscuddwbzrIxE/edit?usp=drivesdk","Silas Tanner - 4/20/2018 9:00 AM")</f>
        <v>Silas Tanner - 4/20/2018 9:00 AM</v>
      </c>
      <c r="AI47" s="30" t="s">
        <v>78</v>
      </c>
    </row>
    <row r="48">
      <c r="A48" s="26">
        <v>43213.402466388885</v>
      </c>
      <c r="B48" s="12" t="s">
        <v>1717</v>
      </c>
      <c r="C48" s="12" t="s">
        <v>1718</v>
      </c>
      <c r="D48" s="12" t="s">
        <v>1701</v>
      </c>
      <c r="E48" s="12" t="s">
        <v>1780</v>
      </c>
      <c r="F48" s="27">
        <v>43214.0</v>
      </c>
      <c r="G48" s="12" t="s">
        <v>1637</v>
      </c>
      <c r="H48" s="29">
        <v>0.65625</v>
      </c>
      <c r="I48" s="26">
        <v>43214.6875</v>
      </c>
      <c r="J48" s="12" t="s">
        <v>1658</v>
      </c>
      <c r="L48" s="12" t="s">
        <v>1720</v>
      </c>
      <c r="M48" s="12" t="s">
        <v>1781</v>
      </c>
      <c r="N48" s="12" t="s">
        <v>1782</v>
      </c>
      <c r="O48" s="12" t="s">
        <v>1717</v>
      </c>
      <c r="P48" s="12" t="s">
        <v>1696</v>
      </c>
      <c r="Q48" s="12" t="s">
        <v>1696</v>
      </c>
      <c r="R48" s="12" t="s">
        <v>1696</v>
      </c>
      <c r="S48" s="12" t="s">
        <v>1696</v>
      </c>
      <c r="T48" s="12" t="s">
        <v>1696</v>
      </c>
      <c r="U48" s="12" t="s">
        <v>1696</v>
      </c>
      <c r="V48" s="12" t="s">
        <v>1696</v>
      </c>
      <c r="W48" s="12" t="s">
        <v>1696</v>
      </c>
      <c r="X48" s="12" t="s">
        <v>1696</v>
      </c>
      <c r="Y48" s="12" t="s">
        <v>1696</v>
      </c>
      <c r="Z48" s="12" t="s">
        <v>1696</v>
      </c>
      <c r="AA48" s="12" t="s">
        <v>1696</v>
      </c>
      <c r="AB48" s="12" t="s">
        <v>1696</v>
      </c>
      <c r="AE48" s="29">
        <v>0.40625</v>
      </c>
      <c r="AF48" s="30" t="s">
        <v>79</v>
      </c>
      <c r="AG48" s="33" t="s">
        <v>80</v>
      </c>
      <c r="AH48" s="33" t="str">
        <f>HYPERLINK("https://docs.google.com/document/d/1JFryXOw2InmmGmXxxzshvZNk4sdpEONK7hn7Y_AqJRE/edit?usp=drivesdk","Silas Tanner - 4/23/2018 9:45 AM")</f>
        <v>Silas Tanner - 4/23/2018 9:45 AM</v>
      </c>
      <c r="AI48" s="30" t="s">
        <v>81</v>
      </c>
    </row>
    <row r="49">
      <c r="A49" s="26">
        <v>43213.71415488426</v>
      </c>
      <c r="B49" s="12" t="s">
        <v>1726</v>
      </c>
      <c r="C49" s="12" t="s">
        <v>1783</v>
      </c>
      <c r="D49" s="12" t="s">
        <v>1728</v>
      </c>
      <c r="E49" s="12" t="s">
        <v>1683</v>
      </c>
      <c r="F49" s="27">
        <v>43214.0</v>
      </c>
      <c r="G49" s="12" t="s">
        <v>1784</v>
      </c>
      <c r="H49" s="29">
        <v>0.45833333333575865</v>
      </c>
      <c r="J49" s="12" t="s">
        <v>1730</v>
      </c>
      <c r="L49" s="12" t="s">
        <v>1626</v>
      </c>
      <c r="M49" s="12" t="s">
        <v>1785</v>
      </c>
      <c r="N49" s="12" t="s">
        <v>1786</v>
      </c>
      <c r="O49" s="12" t="s">
        <v>1735</v>
      </c>
      <c r="P49" s="12" t="s">
        <v>1696</v>
      </c>
      <c r="Q49" s="12" t="s">
        <v>1696</v>
      </c>
      <c r="R49" s="12" t="s">
        <v>1696</v>
      </c>
      <c r="S49" s="12" t="s">
        <v>1696</v>
      </c>
      <c r="T49" s="12" t="s">
        <v>1696</v>
      </c>
      <c r="U49" s="12" t="s">
        <v>1696</v>
      </c>
      <c r="V49" s="12" t="s">
        <v>1696</v>
      </c>
      <c r="W49" s="12" t="s">
        <v>1696</v>
      </c>
      <c r="X49" s="12" t="s">
        <v>1696</v>
      </c>
      <c r="Y49" s="12" t="s">
        <v>1696</v>
      </c>
      <c r="Z49" s="12" t="s">
        <v>1696</v>
      </c>
      <c r="AA49" s="12" t="s">
        <v>1696</v>
      </c>
      <c r="AB49" s="12" t="s">
        <v>1696</v>
      </c>
      <c r="AE49" s="29">
        <v>0.28125</v>
      </c>
      <c r="AF49" s="30" t="s">
        <v>82</v>
      </c>
      <c r="AG49" s="33" t="s">
        <v>83</v>
      </c>
      <c r="AH49" s="33" t="str">
        <f>HYPERLINK("https://docs.google.com/document/d/1cZgdQ9Bkry7GfAi9UtVtg27Em-ne__SFXnsOQWLIXOg/edit?usp=drivesdk","James Tomazinis - 4/24/2018 6:45 AM")</f>
        <v>James Tomazinis - 4/24/2018 6:45 AM</v>
      </c>
      <c r="AI49" s="30" t="s">
        <v>84</v>
      </c>
    </row>
    <row r="50">
      <c r="A50" s="26">
        <v>43214.35881612268</v>
      </c>
      <c r="B50" s="12" t="s">
        <v>1699</v>
      </c>
      <c r="C50" s="12" t="s">
        <v>1710</v>
      </c>
      <c r="D50" s="12" t="s">
        <v>1701</v>
      </c>
      <c r="E50" s="12" t="s">
        <v>1623</v>
      </c>
      <c r="F50" s="27">
        <v>43214.0</v>
      </c>
      <c r="G50" s="12" t="s">
        <v>1787</v>
      </c>
      <c r="H50" s="29">
        <v>0.5833333333357587</v>
      </c>
      <c r="I50" s="26">
        <v>43214.60416666667</v>
      </c>
      <c r="J50" s="12" t="s">
        <v>1704</v>
      </c>
      <c r="L50" s="12" t="s">
        <v>1788</v>
      </c>
      <c r="M50" s="12" t="s">
        <v>1627</v>
      </c>
      <c r="N50" s="12" t="s">
        <v>1789</v>
      </c>
      <c r="O50" s="12" t="s">
        <v>1708</v>
      </c>
      <c r="P50" s="12" t="s">
        <v>1696</v>
      </c>
      <c r="Q50" s="12" t="s">
        <v>1696</v>
      </c>
      <c r="R50" s="12" t="s">
        <v>1696</v>
      </c>
      <c r="S50" s="12" t="s">
        <v>1696</v>
      </c>
      <c r="T50" s="12" t="s">
        <v>1696</v>
      </c>
      <c r="U50" s="12" t="s">
        <v>1696</v>
      </c>
      <c r="V50" s="12" t="s">
        <v>1696</v>
      </c>
      <c r="W50" s="12" t="s">
        <v>1696</v>
      </c>
      <c r="X50" s="12" t="s">
        <v>1696</v>
      </c>
      <c r="Y50" s="12" t="s">
        <v>1696</v>
      </c>
      <c r="Z50" s="12" t="s">
        <v>1696</v>
      </c>
      <c r="AA50" s="12" t="s">
        <v>1696</v>
      </c>
      <c r="AB50" s="12" t="s">
        <v>1696</v>
      </c>
      <c r="AE50" s="29">
        <v>0.36458333333575865</v>
      </c>
      <c r="AF50" s="30" t="s">
        <v>85</v>
      </c>
      <c r="AG50" s="33" t="s">
        <v>86</v>
      </c>
      <c r="AH50" s="33" t="str">
        <f>HYPERLINK("https://docs.google.com/document/d/141YwKW4KI8Q1dzT2ZpYz1hJTIpHl_K-P_b2fL-FVL80/edit?usp=drivesdk","Pamela Marcum - 4/24/2018 8:45 AM")</f>
        <v>Pamela Marcum - 4/24/2018 8:45 AM</v>
      </c>
      <c r="AI50" s="30" t="s">
        <v>87</v>
      </c>
    </row>
    <row r="51">
      <c r="A51" s="26">
        <v>43215.26377679398</v>
      </c>
      <c r="B51" s="12" t="s">
        <v>1717</v>
      </c>
      <c r="C51" s="12" t="s">
        <v>1790</v>
      </c>
      <c r="D51" s="12" t="s">
        <v>1701</v>
      </c>
      <c r="E51" s="12" t="s">
        <v>1791</v>
      </c>
      <c r="F51" s="27">
        <v>43215.0</v>
      </c>
      <c r="G51" s="12" t="s">
        <v>1792</v>
      </c>
      <c r="H51" s="29">
        <v>0.5625</v>
      </c>
      <c r="I51" s="26">
        <v>43215.58333333333</v>
      </c>
      <c r="J51" s="12" t="s">
        <v>1704</v>
      </c>
      <c r="L51" s="12" t="s">
        <v>1788</v>
      </c>
      <c r="M51" s="12" t="s">
        <v>1793</v>
      </c>
      <c r="N51" s="12" t="s">
        <v>1779</v>
      </c>
      <c r="O51" s="12" t="s">
        <v>1717</v>
      </c>
      <c r="P51" s="12" t="s">
        <v>1696</v>
      </c>
      <c r="Q51" s="12" t="s">
        <v>1696</v>
      </c>
      <c r="R51" s="12" t="s">
        <v>1696</v>
      </c>
      <c r="S51" s="12" t="s">
        <v>1696</v>
      </c>
      <c r="T51" s="12" t="s">
        <v>1696</v>
      </c>
      <c r="U51" s="12" t="s">
        <v>1696</v>
      </c>
      <c r="V51" s="12" t="s">
        <v>1696</v>
      </c>
      <c r="W51" s="12" t="s">
        <v>1696</v>
      </c>
      <c r="X51" s="12" t="s">
        <v>1696</v>
      </c>
      <c r="Y51" s="12" t="s">
        <v>1696</v>
      </c>
      <c r="Z51" s="12" t="s">
        <v>1696</v>
      </c>
      <c r="AA51" s="12" t="s">
        <v>1696</v>
      </c>
      <c r="AB51" s="12" t="s">
        <v>1696</v>
      </c>
      <c r="AE51" s="29">
        <v>0.29166666666424135</v>
      </c>
      <c r="AF51" s="30" t="s">
        <v>88</v>
      </c>
      <c r="AG51" s="33" t="s">
        <v>89</v>
      </c>
      <c r="AH51" s="33" t="str">
        <f>HYPERLINK("https://docs.google.com/document/d/11JZf3cCy2oWzUnb0sX9zgzWgWoI2_8xAwaHHjF2yHkM/edit?usp=drivesdk","Silas Tanner - 4/25/2018 7:00 AM")</f>
        <v>Silas Tanner - 4/25/2018 7:00 AM</v>
      </c>
      <c r="AI51" s="30" t="s">
        <v>90</v>
      </c>
    </row>
    <row r="52">
      <c r="A52" s="26">
        <v>43216.53391576389</v>
      </c>
      <c r="B52" s="12" t="s">
        <v>1717</v>
      </c>
      <c r="C52" s="12" t="s">
        <v>1775</v>
      </c>
      <c r="D52" s="12" t="s">
        <v>1701</v>
      </c>
      <c r="E52" s="12" t="s">
        <v>1794</v>
      </c>
      <c r="F52" s="27">
        <v>43216.0</v>
      </c>
      <c r="G52" s="12" t="s">
        <v>1795</v>
      </c>
      <c r="H52" s="29">
        <v>0.7291666666642413</v>
      </c>
      <c r="I52" s="26">
        <v>43216.77083333333</v>
      </c>
      <c r="J52" s="12" t="s">
        <v>1796</v>
      </c>
      <c r="K52" s="12">
        <v>2.0</v>
      </c>
      <c r="L52" s="12" t="s">
        <v>1788</v>
      </c>
      <c r="M52" s="12" t="s">
        <v>1778</v>
      </c>
      <c r="O52" s="12" t="s">
        <v>1744</v>
      </c>
      <c r="P52" s="12" t="s">
        <v>1696</v>
      </c>
      <c r="Q52" s="12" t="s">
        <v>1696</v>
      </c>
      <c r="R52" s="12" t="s">
        <v>1696</v>
      </c>
      <c r="S52" s="12" t="s">
        <v>1696</v>
      </c>
      <c r="T52" s="12" t="s">
        <v>1696</v>
      </c>
      <c r="U52" s="12" t="s">
        <v>1696</v>
      </c>
      <c r="V52" s="12" t="s">
        <v>1696</v>
      </c>
      <c r="W52" s="12" t="s">
        <v>1696</v>
      </c>
      <c r="X52" s="12" t="s">
        <v>1696</v>
      </c>
      <c r="Y52" s="12" t="s">
        <v>1696</v>
      </c>
      <c r="Z52" s="12" t="s">
        <v>1696</v>
      </c>
      <c r="AA52" s="12" t="s">
        <v>1696</v>
      </c>
      <c r="AB52" s="12" t="s">
        <v>1696</v>
      </c>
      <c r="AE52" s="29">
        <v>0.6041666666642413</v>
      </c>
      <c r="AF52" s="30" t="s">
        <v>91</v>
      </c>
      <c r="AG52" s="33" t="s">
        <v>92</v>
      </c>
      <c r="AH52" s="33" t="str">
        <f>HYPERLINK("https://docs.google.com/document/d/1eL5Q6SNkiPmg7jIbli2gKBq4HNhYtjpYK0Xasr2D1E4/edit?usp=drivesdk","Silas Tanner - 4/26/2018 2:30 PM")</f>
        <v>Silas Tanner - 4/26/2018 2:30 PM</v>
      </c>
      <c r="AI52" s="30" t="s">
        <v>93</v>
      </c>
    </row>
    <row r="53">
      <c r="A53" s="26">
        <v>43217.37325224537</v>
      </c>
      <c r="B53" s="12" t="s">
        <v>1797</v>
      </c>
      <c r="C53" s="12" t="s">
        <v>1798</v>
      </c>
      <c r="D53" s="12" t="s">
        <v>1701</v>
      </c>
      <c r="E53" s="12" t="s">
        <v>1799</v>
      </c>
      <c r="F53" s="27">
        <v>43217.0</v>
      </c>
      <c r="G53" s="12" t="s">
        <v>1800</v>
      </c>
      <c r="H53" s="29">
        <v>0.020833333335758653</v>
      </c>
      <c r="I53" s="26">
        <v>43217.60416666667</v>
      </c>
      <c r="J53" s="12" t="s">
        <v>1658</v>
      </c>
      <c r="L53" s="12" t="s">
        <v>1788</v>
      </c>
      <c r="M53" s="12" t="s">
        <v>1801</v>
      </c>
      <c r="N53" s="12" t="s">
        <v>1759</v>
      </c>
      <c r="O53" s="12" t="s">
        <v>1802</v>
      </c>
      <c r="P53" s="12" t="s">
        <v>1696</v>
      </c>
      <c r="Q53" s="12" t="s">
        <v>1696</v>
      </c>
      <c r="R53" s="12" t="s">
        <v>1696</v>
      </c>
      <c r="S53" s="12" t="s">
        <v>1696</v>
      </c>
      <c r="T53" s="12" t="s">
        <v>1696</v>
      </c>
      <c r="U53" s="12" t="s">
        <v>1696</v>
      </c>
      <c r="V53" s="12" t="s">
        <v>1696</v>
      </c>
      <c r="W53" s="12" t="s">
        <v>1696</v>
      </c>
      <c r="X53" s="12" t="s">
        <v>1696</v>
      </c>
      <c r="Y53" s="12" t="s">
        <v>1696</v>
      </c>
      <c r="Z53" s="12" t="s">
        <v>1696</v>
      </c>
      <c r="AA53" s="12" t="s">
        <v>1696</v>
      </c>
      <c r="AB53" s="12" t="s">
        <v>1696</v>
      </c>
      <c r="AE53" s="29">
        <v>0.42708333333575865</v>
      </c>
      <c r="AF53" s="30" t="s">
        <v>94</v>
      </c>
      <c r="AG53" s="33" t="s">
        <v>95</v>
      </c>
      <c r="AH53" s="33" t="str">
        <f>HYPERLINK("https://docs.google.com/document/d/1pqxIs0u3K7GhvcOKvyC8IjsZWvGnhWY4BbRyjvR0EHs/edit?usp=drivesdk","Shannon Dunnigan - 4/27/2018 10:15 AM")</f>
        <v>Shannon Dunnigan - 4/27/2018 10:15 AM</v>
      </c>
      <c r="AI53" s="30" t="s">
        <v>96</v>
      </c>
    </row>
    <row r="54">
      <c r="A54" s="26">
        <v>43217.47707425926</v>
      </c>
      <c r="B54" s="12" t="s">
        <v>1699</v>
      </c>
      <c r="C54" s="12" t="s">
        <v>1710</v>
      </c>
      <c r="D54" s="12" t="s">
        <v>1701</v>
      </c>
      <c r="E54" s="12" t="s">
        <v>1803</v>
      </c>
      <c r="F54" s="27">
        <v>43217.0</v>
      </c>
      <c r="G54" s="12" t="s">
        <v>1804</v>
      </c>
      <c r="H54" s="29">
        <v>0.75</v>
      </c>
      <c r="I54" s="26">
        <v>43217.77083333333</v>
      </c>
      <c r="J54" s="12" t="s">
        <v>1704</v>
      </c>
      <c r="L54" s="12" t="s">
        <v>1720</v>
      </c>
      <c r="M54" s="12" t="s">
        <v>1712</v>
      </c>
      <c r="N54" s="12" t="s">
        <v>1805</v>
      </c>
      <c r="O54" s="12" t="s">
        <v>1744</v>
      </c>
      <c r="P54" s="12" t="s">
        <v>1696</v>
      </c>
      <c r="Q54" s="12" t="s">
        <v>1696</v>
      </c>
      <c r="R54" s="12" t="s">
        <v>1696</v>
      </c>
      <c r="S54" s="12" t="s">
        <v>1696</v>
      </c>
      <c r="T54" s="12" t="s">
        <v>1696</v>
      </c>
      <c r="U54" s="12" t="s">
        <v>1696</v>
      </c>
      <c r="V54" s="12" t="s">
        <v>1696</v>
      </c>
      <c r="W54" s="12" t="s">
        <v>1696</v>
      </c>
      <c r="X54" s="12" t="s">
        <v>1696</v>
      </c>
      <c r="Y54" s="12" t="s">
        <v>1696</v>
      </c>
      <c r="Z54" s="12" t="s">
        <v>1696</v>
      </c>
      <c r="AA54" s="12" t="s">
        <v>1696</v>
      </c>
      <c r="AB54" s="12" t="s">
        <v>1696</v>
      </c>
      <c r="AE54" s="29">
        <v>0.47916666666424135</v>
      </c>
      <c r="AF54" s="30" t="s">
        <v>97</v>
      </c>
      <c r="AG54" s="33" t="s">
        <v>98</v>
      </c>
      <c r="AH54" s="33" t="str">
        <f>HYPERLINK("https://docs.google.com/document/d/1o_kh_Z-U6_tGhTgiT0C3Z1YHstpG_03KK-kY2lq7ebs/edit?usp=drivesdk","Pamela Marcum - 4/27/2018 11:30 AM")</f>
        <v>Pamela Marcum - 4/27/2018 11:30 AM</v>
      </c>
      <c r="AI54" s="30" t="s">
        <v>99</v>
      </c>
    </row>
    <row r="55">
      <c r="A55" s="26">
        <v>43220.41496458334</v>
      </c>
      <c r="B55" s="12" t="s">
        <v>1717</v>
      </c>
      <c r="C55" s="12" t="s">
        <v>1718</v>
      </c>
      <c r="D55" s="12" t="s">
        <v>1701</v>
      </c>
      <c r="E55" s="12" t="s">
        <v>1723</v>
      </c>
      <c r="F55" s="27">
        <v>43221.0</v>
      </c>
      <c r="G55" s="12" t="s">
        <v>1806</v>
      </c>
      <c r="H55" s="29">
        <v>0.5625</v>
      </c>
      <c r="I55" s="26">
        <v>43221.57291666667</v>
      </c>
      <c r="J55" s="12" t="s">
        <v>1658</v>
      </c>
      <c r="L55" s="12" t="s">
        <v>1720</v>
      </c>
      <c r="M55" s="12" t="s">
        <v>1807</v>
      </c>
      <c r="O55" s="12" t="s">
        <v>1717</v>
      </c>
      <c r="P55" s="12" t="s">
        <v>1696</v>
      </c>
      <c r="Q55" s="12" t="s">
        <v>1696</v>
      </c>
      <c r="R55" s="12" t="s">
        <v>1696</v>
      </c>
      <c r="S55" s="12" t="s">
        <v>1696</v>
      </c>
      <c r="T55" s="12" t="s">
        <v>1696</v>
      </c>
      <c r="U55" s="12" t="s">
        <v>1696</v>
      </c>
      <c r="V55" s="12" t="s">
        <v>1696</v>
      </c>
      <c r="W55" s="12" t="s">
        <v>1696</v>
      </c>
      <c r="X55" s="12" t="s">
        <v>1696</v>
      </c>
      <c r="Y55" s="12" t="s">
        <v>1696</v>
      </c>
      <c r="Z55" s="12" t="s">
        <v>1696</v>
      </c>
      <c r="AA55" s="12" t="s">
        <v>1696</v>
      </c>
      <c r="AB55" s="12" t="s">
        <v>1696</v>
      </c>
      <c r="AE55" s="29">
        <v>0.38541666666424135</v>
      </c>
      <c r="AF55" s="30" t="s">
        <v>100</v>
      </c>
      <c r="AG55" s="33" t="s">
        <v>101</v>
      </c>
      <c r="AH55" s="33" t="str">
        <f>HYPERLINK("https://docs.google.com/document/d/15XlgdKXD7KIdSk2IIAY4JghUF2KIMnTCytAv-cTrJKA/edit?usp=drivesdk","Silas Tanner - 5/1/2018 9:15 AM")</f>
        <v>Silas Tanner - 5/1/2018 9:15 AM</v>
      </c>
      <c r="AI55" s="30" t="s">
        <v>102</v>
      </c>
    </row>
    <row r="56">
      <c r="A56" s="26">
        <v>43221.41032998843</v>
      </c>
      <c r="B56" s="12" t="s">
        <v>1713</v>
      </c>
      <c r="C56" s="12" t="s">
        <v>1808</v>
      </c>
      <c r="D56" s="12" t="s">
        <v>1701</v>
      </c>
      <c r="E56" s="12" t="s">
        <v>1809</v>
      </c>
      <c r="F56" s="27">
        <v>43221.0</v>
      </c>
      <c r="G56" s="12" t="s">
        <v>1810</v>
      </c>
      <c r="H56" s="29">
        <v>0.5</v>
      </c>
      <c r="I56" s="26">
        <v>43221.21736111111</v>
      </c>
      <c r="J56" s="12" t="s">
        <v>1704</v>
      </c>
      <c r="L56" s="12" t="s">
        <v>1811</v>
      </c>
      <c r="M56" s="12" t="s">
        <v>1812</v>
      </c>
      <c r="N56" s="12" t="s">
        <v>1813</v>
      </c>
      <c r="O56" s="12" t="s">
        <v>1713</v>
      </c>
      <c r="P56" s="12" t="s">
        <v>1696</v>
      </c>
      <c r="Q56" s="12" t="s">
        <v>1696</v>
      </c>
      <c r="R56" s="12" t="s">
        <v>1696</v>
      </c>
      <c r="S56" s="12" t="s">
        <v>1696</v>
      </c>
      <c r="T56" s="12" t="s">
        <v>1696</v>
      </c>
      <c r="U56" s="12" t="s">
        <v>1696</v>
      </c>
      <c r="V56" s="12" t="s">
        <v>1696</v>
      </c>
      <c r="W56" s="12" t="s">
        <v>1696</v>
      </c>
      <c r="X56" s="12" t="s">
        <v>1696</v>
      </c>
      <c r="Y56" s="12" t="s">
        <v>1696</v>
      </c>
      <c r="Z56" s="12" t="s">
        <v>1696</v>
      </c>
      <c r="AA56" s="12" t="s">
        <v>1696</v>
      </c>
      <c r="AB56" s="12" t="s">
        <v>1696</v>
      </c>
      <c r="AE56" s="29">
        <v>0.4305555555547471</v>
      </c>
      <c r="AF56" s="30" t="s">
        <v>103</v>
      </c>
      <c r="AG56" s="33" t="s">
        <v>104</v>
      </c>
      <c r="AH56" s="33" t="str">
        <f>HYPERLINK("https://docs.google.com/document/d/1v2wrRH98Mb6W56K8yPZheM1Zp9pKLMkjPI3HLleM2-E/edit?usp=drivesdk","Ben Mowbray - 5/1/2018 10:20 AM")</f>
        <v>Ben Mowbray - 5/1/2018 10:20 AM</v>
      </c>
      <c r="AI56" s="30" t="s">
        <v>105</v>
      </c>
    </row>
    <row r="57">
      <c r="A57" s="26">
        <v>43221.713923240735</v>
      </c>
      <c r="B57" s="12" t="s">
        <v>1699</v>
      </c>
      <c r="C57" s="12" t="s">
        <v>1700</v>
      </c>
      <c r="D57" s="12" t="s">
        <v>1701</v>
      </c>
      <c r="E57" s="12" t="s">
        <v>1814</v>
      </c>
      <c r="F57" s="27">
        <v>43222.0</v>
      </c>
      <c r="G57" s="12" t="s">
        <v>1815</v>
      </c>
      <c r="H57" s="29">
        <v>0.625</v>
      </c>
      <c r="I57" s="26">
        <v>43222.66666666667</v>
      </c>
      <c r="J57" s="12" t="s">
        <v>1658</v>
      </c>
      <c r="L57" s="12" t="s">
        <v>1720</v>
      </c>
      <c r="M57" s="12" t="s">
        <v>1816</v>
      </c>
      <c r="N57" s="12" t="s">
        <v>1817</v>
      </c>
      <c r="O57" s="12" t="s">
        <v>1713</v>
      </c>
      <c r="P57" s="12" t="s">
        <v>1696</v>
      </c>
      <c r="Q57" s="12" t="s">
        <v>1696</v>
      </c>
      <c r="R57" s="12" t="s">
        <v>1696</v>
      </c>
      <c r="S57" s="12" t="s">
        <v>1696</v>
      </c>
      <c r="T57" s="12" t="s">
        <v>1696</v>
      </c>
      <c r="U57" s="12" t="s">
        <v>1696</v>
      </c>
      <c r="V57" s="12" t="s">
        <v>1696</v>
      </c>
      <c r="W57" s="12" t="s">
        <v>1696</v>
      </c>
      <c r="X57" s="12" t="s">
        <v>1696</v>
      </c>
      <c r="Y57" s="12" t="s">
        <v>1696</v>
      </c>
      <c r="Z57" s="12" t="s">
        <v>1696</v>
      </c>
      <c r="AA57" s="12" t="s">
        <v>1696</v>
      </c>
      <c r="AB57" s="12" t="s">
        <v>1696</v>
      </c>
      <c r="AE57" s="29">
        <v>0.375</v>
      </c>
      <c r="AF57" s="30" t="s">
        <v>106</v>
      </c>
      <c r="AG57" s="33" t="s">
        <v>107</v>
      </c>
      <c r="AH57" s="33" t="str">
        <f>HYPERLINK("https://docs.google.com/document/d/1v_EdmdvVGzhAN3sdHRshOKc3HcBBu2-dgl8Cd4de5UM/edit?usp=drivesdk","Pamela Marcum - 5/2/2018 9:00 AM")</f>
        <v>Pamela Marcum - 5/2/2018 9:00 AM</v>
      </c>
      <c r="AI57" s="30" t="s">
        <v>108</v>
      </c>
    </row>
    <row r="58">
      <c r="A58" s="26">
        <v>43223.37308217592</v>
      </c>
      <c r="B58" s="12" t="s">
        <v>1699</v>
      </c>
      <c r="C58" s="12" t="s">
        <v>1710</v>
      </c>
      <c r="D58" s="12" t="s">
        <v>1701</v>
      </c>
      <c r="E58" s="12" t="s">
        <v>1818</v>
      </c>
      <c r="F58" s="27">
        <v>43223.0</v>
      </c>
      <c r="G58" s="12" t="s">
        <v>1819</v>
      </c>
      <c r="H58" s="29">
        <v>0.6666666666642413</v>
      </c>
      <c r="I58" s="26">
        <v>43223.70833333333</v>
      </c>
      <c r="J58" s="12" t="s">
        <v>1658</v>
      </c>
      <c r="L58" s="12" t="s">
        <v>1720</v>
      </c>
      <c r="M58" s="12" t="s">
        <v>1816</v>
      </c>
      <c r="O58" s="12" t="s">
        <v>1713</v>
      </c>
      <c r="P58" s="12" t="s">
        <v>1696</v>
      </c>
      <c r="Q58" s="12" t="s">
        <v>1696</v>
      </c>
      <c r="R58" s="12" t="s">
        <v>1696</v>
      </c>
      <c r="S58" s="12" t="s">
        <v>1696</v>
      </c>
      <c r="T58" s="12" t="s">
        <v>1696</v>
      </c>
      <c r="U58" s="12" t="s">
        <v>1696</v>
      </c>
      <c r="V58" s="12" t="s">
        <v>1696</v>
      </c>
      <c r="W58" s="12" t="s">
        <v>1696</v>
      </c>
      <c r="X58" s="12" t="s">
        <v>1696</v>
      </c>
      <c r="Y58" s="12" t="s">
        <v>1696</v>
      </c>
      <c r="Z58" s="12" t="s">
        <v>1696</v>
      </c>
      <c r="AA58" s="12" t="s">
        <v>1696</v>
      </c>
      <c r="AB58" s="12" t="s">
        <v>1696</v>
      </c>
      <c r="AE58" s="29">
        <v>0.45833333333575865</v>
      </c>
      <c r="AF58" s="30" t="s">
        <v>109</v>
      </c>
      <c r="AG58" s="33" t="s">
        <v>110</v>
      </c>
      <c r="AH58" s="33" t="str">
        <f>HYPERLINK("https://docs.google.com/document/d/1aRzzSkR4_IR2TrYGXtPq9lf_h_sywa9CZFinxHZ5IvA/edit?usp=drivesdk","Pamela Marcum - 5/3/2018 11:00 AM")</f>
        <v>Pamela Marcum - 5/3/2018 11:00 AM</v>
      </c>
      <c r="AI58" s="30" t="s">
        <v>111</v>
      </c>
    </row>
    <row r="59">
      <c r="A59" s="26">
        <v>43224.38944370371</v>
      </c>
      <c r="B59" s="12" t="s">
        <v>1699</v>
      </c>
      <c r="C59" s="12" t="s">
        <v>1710</v>
      </c>
      <c r="D59" s="12" t="s">
        <v>1701</v>
      </c>
      <c r="E59" s="12" t="s">
        <v>1820</v>
      </c>
      <c r="F59" s="27">
        <v>43224.0</v>
      </c>
      <c r="G59" s="12" t="s">
        <v>1821</v>
      </c>
      <c r="H59" s="29">
        <v>0.6666666666642413</v>
      </c>
      <c r="I59" s="26">
        <v>43224.70833333333</v>
      </c>
      <c r="L59" s="12" t="s">
        <v>1720</v>
      </c>
      <c r="M59" s="12" t="s">
        <v>1706</v>
      </c>
      <c r="N59" s="12" t="s">
        <v>1822</v>
      </c>
      <c r="O59" s="12" t="s">
        <v>1744</v>
      </c>
      <c r="P59" s="12" t="s">
        <v>1696</v>
      </c>
      <c r="Q59" s="12" t="s">
        <v>1696</v>
      </c>
      <c r="R59" s="12" t="s">
        <v>1696</v>
      </c>
      <c r="S59" s="12" t="s">
        <v>1696</v>
      </c>
      <c r="T59" s="12" t="s">
        <v>1696</v>
      </c>
      <c r="U59" s="12" t="s">
        <v>1696</v>
      </c>
      <c r="V59" s="12" t="s">
        <v>1696</v>
      </c>
      <c r="W59" s="12" t="s">
        <v>1696</v>
      </c>
      <c r="X59" s="12" t="s">
        <v>1696</v>
      </c>
      <c r="Y59" s="12" t="s">
        <v>1696</v>
      </c>
      <c r="Z59" s="12" t="s">
        <v>1696</v>
      </c>
      <c r="AA59" s="12" t="s">
        <v>1696</v>
      </c>
      <c r="AB59" s="12" t="s">
        <v>1696</v>
      </c>
      <c r="AE59" s="29">
        <v>0.41666666666424135</v>
      </c>
      <c r="AF59" s="30" t="s">
        <v>112</v>
      </c>
      <c r="AG59" s="33" t="s">
        <v>113</v>
      </c>
      <c r="AH59" s="33" t="str">
        <f>HYPERLINK("https://docs.google.com/document/d/1UxSihKYLLd3ptxsJHs_8U8O3j5OHfzHKbjnt5FECBbs/edit?usp=drivesdk","Pamela Marcum - 5/4/2018 10:00 AM")</f>
        <v>Pamela Marcum - 5/4/2018 10:00 AM</v>
      </c>
      <c r="AI59" s="30" t="s">
        <v>114</v>
      </c>
    </row>
    <row r="60">
      <c r="A60" s="26">
        <v>43228.35077400463</v>
      </c>
      <c r="B60" s="12" t="s">
        <v>1713</v>
      </c>
      <c r="C60" s="12" t="s">
        <v>1808</v>
      </c>
      <c r="D60" s="12" t="s">
        <v>1701</v>
      </c>
      <c r="E60" s="12" t="s">
        <v>1623</v>
      </c>
      <c r="F60" s="27">
        <v>43228.0</v>
      </c>
      <c r="G60" s="12" t="s">
        <v>1823</v>
      </c>
      <c r="H60" s="29">
        <v>0.6041666666642413</v>
      </c>
      <c r="I60" s="26">
        <v>43228.118055555555</v>
      </c>
      <c r="J60" s="12" t="s">
        <v>1658</v>
      </c>
      <c r="L60" s="12" t="s">
        <v>1720</v>
      </c>
      <c r="M60" s="12" t="s">
        <v>1824</v>
      </c>
      <c r="N60" s="12" t="s">
        <v>1825</v>
      </c>
      <c r="O60" s="12" t="s">
        <v>1826</v>
      </c>
      <c r="P60" s="12" t="s">
        <v>1696</v>
      </c>
      <c r="Q60" s="12" t="s">
        <v>1696</v>
      </c>
      <c r="R60" s="12" t="s">
        <v>1696</v>
      </c>
      <c r="S60" s="12" t="s">
        <v>1696</v>
      </c>
      <c r="T60" s="12" t="s">
        <v>1696</v>
      </c>
      <c r="U60" s="12" t="s">
        <v>1696</v>
      </c>
      <c r="V60" s="12" t="s">
        <v>1696</v>
      </c>
      <c r="W60" s="12" t="s">
        <v>1696</v>
      </c>
      <c r="X60" s="12" t="s">
        <v>1696</v>
      </c>
      <c r="Y60" s="12" t="s">
        <v>1696</v>
      </c>
      <c r="Z60" s="12" t="s">
        <v>1696</v>
      </c>
      <c r="AA60" s="12" t="s">
        <v>1696</v>
      </c>
      <c r="AB60" s="12" t="s">
        <v>1696</v>
      </c>
      <c r="AE60" s="29">
        <v>0.38888888889050577</v>
      </c>
      <c r="AF60" s="30" t="s">
        <v>116</v>
      </c>
      <c r="AG60" s="33" t="s">
        <v>117</v>
      </c>
      <c r="AH60" s="33" t="str">
        <f>HYPERLINK("https://docs.google.com/document/d/1YVH9hAY0Il0DCK6rFfBHIM-B2FMeHXQEEJUjpA6N7-U/edit?usp=drivesdk","Ben Mowbray - 5/8/2018 9:20 AM")</f>
        <v>Ben Mowbray - 5/8/2018 9:20 AM</v>
      </c>
      <c r="AI60" s="30" t="s">
        <v>118</v>
      </c>
    </row>
    <row r="61">
      <c r="A61" s="26">
        <v>43230.36159164352</v>
      </c>
      <c r="B61" s="12" t="s">
        <v>1713</v>
      </c>
      <c r="C61" s="12" t="s">
        <v>1808</v>
      </c>
      <c r="D61" s="12" t="s">
        <v>1701</v>
      </c>
      <c r="E61" s="12" t="s">
        <v>1827</v>
      </c>
      <c r="F61" s="27">
        <v>43230.0</v>
      </c>
      <c r="G61" s="12" t="s">
        <v>1823</v>
      </c>
      <c r="H61" s="29">
        <v>0.10416666666424135</v>
      </c>
      <c r="I61" s="26">
        <v>43230.13541666667</v>
      </c>
      <c r="J61" s="12" t="s">
        <v>1658</v>
      </c>
      <c r="L61" s="12" t="s">
        <v>1788</v>
      </c>
      <c r="M61" s="12" t="s">
        <v>1824</v>
      </c>
      <c r="N61" s="12" t="s">
        <v>1828</v>
      </c>
      <c r="O61" s="12" t="s">
        <v>1826</v>
      </c>
      <c r="P61" s="12" t="s">
        <v>1696</v>
      </c>
      <c r="Q61" s="12" t="s">
        <v>1696</v>
      </c>
      <c r="R61" s="12" t="s">
        <v>1696</v>
      </c>
      <c r="S61" s="12" t="s">
        <v>1696</v>
      </c>
      <c r="T61" s="12" t="s">
        <v>1696</v>
      </c>
      <c r="U61" s="12" t="s">
        <v>1696</v>
      </c>
      <c r="V61" s="12" t="s">
        <v>1696</v>
      </c>
      <c r="W61" s="12" t="s">
        <v>1696</v>
      </c>
      <c r="X61" s="12" t="s">
        <v>1696</v>
      </c>
      <c r="Y61" s="12" t="s">
        <v>1696</v>
      </c>
      <c r="Z61" s="12" t="s">
        <v>1696</v>
      </c>
      <c r="AA61" s="12" t="s">
        <v>1696</v>
      </c>
      <c r="AB61" s="12" t="s">
        <v>1696</v>
      </c>
      <c r="AE61" s="29">
        <v>0.41666666666424135</v>
      </c>
      <c r="AF61" s="30" t="s">
        <v>119</v>
      </c>
      <c r="AG61" s="33" t="s">
        <v>120</v>
      </c>
      <c r="AH61" s="33" t="str">
        <f>HYPERLINK("https://docs.google.com/document/d/12huri7tFQSawQjEXKj8ob1-TqT9eABr2dmxojMW4czY/edit?usp=drivesdk","Ben Mowbray - 5/10/2018 10:00 AM")</f>
        <v>Ben Mowbray - 5/10/2018 10:00 AM</v>
      </c>
      <c r="AI61" s="30" t="s">
        <v>121</v>
      </c>
    </row>
    <row r="62">
      <c r="A62" s="26">
        <v>43231.29995903935</v>
      </c>
      <c r="B62" s="12" t="s">
        <v>1713</v>
      </c>
      <c r="C62" s="12" t="s">
        <v>1808</v>
      </c>
      <c r="D62" s="12" t="s">
        <v>1701</v>
      </c>
      <c r="E62" s="12" t="s">
        <v>1757</v>
      </c>
      <c r="F62" s="27">
        <v>43231.0</v>
      </c>
      <c r="G62" s="12" t="s">
        <v>1829</v>
      </c>
      <c r="H62" s="29">
        <v>0.4375</v>
      </c>
      <c r="I62" s="26">
        <v>43231.625</v>
      </c>
      <c r="J62" s="12" t="s">
        <v>1704</v>
      </c>
      <c r="L62" s="12" t="s">
        <v>1720</v>
      </c>
      <c r="M62" s="12" t="s">
        <v>1824</v>
      </c>
      <c r="N62" s="12" t="s">
        <v>1830</v>
      </c>
      <c r="O62" s="12" t="s">
        <v>1826</v>
      </c>
      <c r="P62" s="12" t="s">
        <v>1696</v>
      </c>
      <c r="Q62" s="12" t="s">
        <v>1696</v>
      </c>
      <c r="R62" s="12" t="s">
        <v>1696</v>
      </c>
      <c r="S62" s="12" t="s">
        <v>1696</v>
      </c>
      <c r="T62" s="12" t="s">
        <v>1696</v>
      </c>
      <c r="U62" s="12" t="s">
        <v>1696</v>
      </c>
      <c r="V62" s="12" t="s">
        <v>1696</v>
      </c>
      <c r="W62" s="12" t="s">
        <v>1696</v>
      </c>
      <c r="X62" s="12" t="s">
        <v>1696</v>
      </c>
      <c r="Y62" s="12" t="s">
        <v>1696</v>
      </c>
      <c r="Z62" s="12" t="s">
        <v>1696</v>
      </c>
      <c r="AA62" s="12" t="s">
        <v>1696</v>
      </c>
      <c r="AB62" s="12" t="s">
        <v>1696</v>
      </c>
      <c r="AE62" s="29">
        <v>0.35416666666424135</v>
      </c>
      <c r="AF62" s="30" t="s">
        <v>122</v>
      </c>
      <c r="AG62" s="33" t="s">
        <v>123</v>
      </c>
      <c r="AH62" s="33" t="str">
        <f>HYPERLINK("https://docs.google.com/document/d/1NVKICve706r0YkCzp__mT8BDMJdF4QnbOgxRSabgmKc/edit?usp=drivesdk","Ben Mowbray - 5/11/2018 8:30 AM")</f>
        <v>Ben Mowbray - 5/11/2018 8:30 AM</v>
      </c>
      <c r="AI62" s="30" t="s">
        <v>124</v>
      </c>
    </row>
    <row r="63">
      <c r="A63" s="26">
        <v>43234.6390791088</v>
      </c>
      <c r="B63" s="12" t="s">
        <v>1717</v>
      </c>
      <c r="C63" s="12" t="s">
        <v>1718</v>
      </c>
      <c r="D63" s="12" t="s">
        <v>1701</v>
      </c>
      <c r="E63" s="12" t="s">
        <v>1723</v>
      </c>
      <c r="F63" s="27">
        <v>43235.0</v>
      </c>
      <c r="G63" s="12" t="s">
        <v>1831</v>
      </c>
      <c r="H63" s="29">
        <v>0.5</v>
      </c>
      <c r="I63" s="26">
        <v>43235.52083333333</v>
      </c>
      <c r="J63" s="12" t="s">
        <v>1704</v>
      </c>
      <c r="L63" s="12" t="s">
        <v>1720</v>
      </c>
      <c r="M63" s="12" t="s">
        <v>1781</v>
      </c>
      <c r="N63" s="12" t="s">
        <v>1832</v>
      </c>
      <c r="O63" s="12" t="s">
        <v>1717</v>
      </c>
      <c r="P63" s="12" t="s">
        <v>1696</v>
      </c>
      <c r="Q63" s="12" t="s">
        <v>1696</v>
      </c>
      <c r="R63" s="12" t="s">
        <v>1696</v>
      </c>
      <c r="S63" s="12" t="s">
        <v>1696</v>
      </c>
      <c r="T63" s="12" t="s">
        <v>1696</v>
      </c>
      <c r="U63" s="12" t="s">
        <v>1696</v>
      </c>
      <c r="V63" s="12" t="s">
        <v>1696</v>
      </c>
      <c r="W63" s="12" t="s">
        <v>1696</v>
      </c>
      <c r="X63" s="12" t="s">
        <v>1696</v>
      </c>
      <c r="Y63" s="12" t="s">
        <v>1696</v>
      </c>
      <c r="Z63" s="12" t="s">
        <v>1696</v>
      </c>
      <c r="AA63" s="12" t="s">
        <v>1696</v>
      </c>
      <c r="AB63" s="12" t="s">
        <v>1696</v>
      </c>
      <c r="AE63" s="29">
        <v>0.36458333333575865</v>
      </c>
      <c r="AF63" s="30" t="s">
        <v>125</v>
      </c>
      <c r="AG63" s="33" t="s">
        <v>126</v>
      </c>
      <c r="AH63" s="33" t="str">
        <f>HYPERLINK("https://docs.google.com/document/d/1As9djMbo-ypJ-TIGH9yy3dPkMxR0WI1KMjZ3T-YgY3o/edit?usp=drivesdk","Silas Tanner - 5/15/2018 8:45 AM")</f>
        <v>Silas Tanner - 5/15/2018 8:45 AM</v>
      </c>
      <c r="AI63" s="30" t="s">
        <v>127</v>
      </c>
    </row>
    <row r="64">
      <c r="A64" s="26">
        <v>43236.66317133102</v>
      </c>
      <c r="B64" s="12" t="s">
        <v>1620</v>
      </c>
      <c r="C64" s="12" t="s">
        <v>1635</v>
      </c>
      <c r="D64" s="12" t="s">
        <v>1630</v>
      </c>
      <c r="E64" s="12" t="s">
        <v>1645</v>
      </c>
      <c r="F64" s="27">
        <v>43237.0</v>
      </c>
      <c r="G64" s="12" t="s">
        <v>1833</v>
      </c>
      <c r="H64" s="29">
        <v>0.5</v>
      </c>
      <c r="I64" s="26">
        <v>43237.52083333333</v>
      </c>
      <c r="J64" s="12" t="s">
        <v>1704</v>
      </c>
      <c r="L64" s="12" t="s">
        <v>1720</v>
      </c>
      <c r="M64" s="12" t="s">
        <v>1640</v>
      </c>
      <c r="N64" s="12" t="s">
        <v>1670</v>
      </c>
      <c r="O64" s="12" t="s">
        <v>1620</v>
      </c>
      <c r="P64" s="12" t="s">
        <v>1696</v>
      </c>
      <c r="Q64" s="12" t="s">
        <v>1696</v>
      </c>
      <c r="R64" s="12" t="s">
        <v>1696</v>
      </c>
      <c r="S64" s="12" t="s">
        <v>1696</v>
      </c>
      <c r="T64" s="12" t="s">
        <v>1696</v>
      </c>
      <c r="U64" s="12" t="s">
        <v>1696</v>
      </c>
      <c r="V64" s="12" t="s">
        <v>1696</v>
      </c>
      <c r="W64" s="12" t="s">
        <v>1696</v>
      </c>
      <c r="X64" s="12" t="s">
        <v>1696</v>
      </c>
      <c r="Y64" s="12" t="s">
        <v>1696</v>
      </c>
      <c r="Z64" s="12" t="s">
        <v>1696</v>
      </c>
      <c r="AA64" s="12" t="s">
        <v>1696</v>
      </c>
      <c r="AB64" s="12" t="s">
        <v>1696</v>
      </c>
      <c r="AC64" s="12" t="s">
        <v>1834</v>
      </c>
      <c r="AD64" s="12" t="s">
        <v>1835</v>
      </c>
      <c r="AE64" s="29">
        <v>0.3125</v>
      </c>
      <c r="AF64" s="30" t="s">
        <v>129</v>
      </c>
      <c r="AG64" s="33" t="s">
        <v>130</v>
      </c>
      <c r="AH64" s="33" t="str">
        <f>HYPERLINK("https://docs.google.com/document/d/1ZYCXLV6gt2oXgWl9Ziwcxz8bjA1d5w_O5I7Ap6ZOB2M/edit?usp=drivesdk","Kenneth Rainer - 5/17/2018 7:30 AM")</f>
        <v>Kenneth Rainer - 5/17/2018 7:30 AM</v>
      </c>
      <c r="AI64" s="30" t="s">
        <v>131</v>
      </c>
    </row>
    <row r="65">
      <c r="A65" s="26">
        <v>43237.31596025463</v>
      </c>
      <c r="B65" s="12" t="s">
        <v>1713</v>
      </c>
      <c r="C65" s="12" t="s">
        <v>1808</v>
      </c>
      <c r="D65" s="12" t="s">
        <v>1701</v>
      </c>
      <c r="E65" s="12" t="s">
        <v>1836</v>
      </c>
      <c r="F65" s="27">
        <v>43237.0</v>
      </c>
      <c r="G65" s="12" t="s">
        <v>1732</v>
      </c>
      <c r="H65" s="29">
        <v>0.375</v>
      </c>
      <c r="I65" s="26">
        <v>43237.38888888889</v>
      </c>
      <c r="J65" s="12" t="s">
        <v>1658</v>
      </c>
      <c r="L65" s="12" t="s">
        <v>1788</v>
      </c>
      <c r="M65" s="12" t="s">
        <v>1824</v>
      </c>
      <c r="N65" s="12" t="s">
        <v>1837</v>
      </c>
      <c r="O65" s="12" t="s">
        <v>1826</v>
      </c>
      <c r="P65" s="12" t="s">
        <v>1696</v>
      </c>
      <c r="Q65" s="12" t="s">
        <v>1696</v>
      </c>
      <c r="R65" s="12" t="s">
        <v>1696</v>
      </c>
      <c r="S65" s="12" t="s">
        <v>1696</v>
      </c>
      <c r="T65" s="12" t="s">
        <v>1696</v>
      </c>
      <c r="U65" s="12" t="s">
        <v>1696</v>
      </c>
      <c r="V65" s="12" t="s">
        <v>1696</v>
      </c>
      <c r="W65" s="12" t="s">
        <v>1696</v>
      </c>
      <c r="X65" s="12" t="s">
        <v>1696</v>
      </c>
      <c r="Y65" s="12" t="s">
        <v>1696</v>
      </c>
      <c r="Z65" s="12" t="s">
        <v>1696</v>
      </c>
      <c r="AA65" s="12" t="s">
        <v>1696</v>
      </c>
      <c r="AB65" s="12" t="s">
        <v>1696</v>
      </c>
      <c r="AE65" s="29">
        <v>0.33333333333575865</v>
      </c>
      <c r="AF65" s="30" t="s">
        <v>132</v>
      </c>
      <c r="AG65" s="33" t="s">
        <v>133</v>
      </c>
      <c r="AH65" s="33" t="str">
        <f>HYPERLINK("https://docs.google.com/document/d/10nnniawQVtJWr1j6dGtxHYuaPvjUZS_oEzRZ6f249BE/edit?usp=drivesdk","Ben Mowbray - 5/17/2018 8:00 AM")</f>
        <v>Ben Mowbray - 5/17/2018 8:00 AM</v>
      </c>
      <c r="AI65" s="30" t="s">
        <v>134</v>
      </c>
    </row>
    <row r="66">
      <c r="A66" s="26">
        <v>43243.814437928246</v>
      </c>
      <c r="B66" s="12" t="s">
        <v>1699</v>
      </c>
      <c r="C66" s="12" t="s">
        <v>1700</v>
      </c>
      <c r="D66" s="12" t="s">
        <v>1701</v>
      </c>
      <c r="E66" s="12" t="s">
        <v>1838</v>
      </c>
      <c r="F66" s="27">
        <v>43244.0</v>
      </c>
      <c r="G66" s="12" t="s">
        <v>1839</v>
      </c>
      <c r="H66" s="29">
        <v>0.625</v>
      </c>
      <c r="I66" s="26">
        <v>43244.66666666667</v>
      </c>
      <c r="J66" s="12" t="s">
        <v>1704</v>
      </c>
      <c r="L66" s="12" t="s">
        <v>1788</v>
      </c>
      <c r="M66" s="12" t="s">
        <v>1706</v>
      </c>
      <c r="N66" s="12" t="s">
        <v>1840</v>
      </c>
      <c r="O66" s="12" t="s">
        <v>1744</v>
      </c>
      <c r="P66" s="12" t="s">
        <v>1696</v>
      </c>
      <c r="Q66" s="12" t="s">
        <v>1696</v>
      </c>
      <c r="R66" s="12" t="s">
        <v>1696</v>
      </c>
      <c r="S66" s="12" t="s">
        <v>1696</v>
      </c>
      <c r="T66" s="12" t="s">
        <v>1696</v>
      </c>
      <c r="U66" s="12" t="s">
        <v>1696</v>
      </c>
      <c r="V66" s="12" t="s">
        <v>1696</v>
      </c>
      <c r="W66" s="12" t="s">
        <v>1696</v>
      </c>
      <c r="X66" s="12" t="s">
        <v>1696</v>
      </c>
      <c r="Y66" s="12" t="s">
        <v>1696</v>
      </c>
      <c r="Z66" s="12" t="s">
        <v>1696</v>
      </c>
      <c r="AA66" s="12" t="s">
        <v>1696</v>
      </c>
      <c r="AB66" s="12" t="s">
        <v>1696</v>
      </c>
      <c r="AE66" s="29">
        <v>0.33333333333575865</v>
      </c>
      <c r="AF66" s="30" t="s">
        <v>135</v>
      </c>
      <c r="AG66" s="33" t="s">
        <v>136</v>
      </c>
      <c r="AH66" s="33" t="str">
        <f>HYPERLINK("https://docs.google.com/document/d/1_HH9Z8-j5vEDahK3SVVb5cw1dwoAO7QFzxqAWGE-CnI/edit?usp=drivesdk","Pamela Marcum - 5/24/2018 8:00 AM")</f>
        <v>Pamela Marcum - 5/24/2018 8:00 AM</v>
      </c>
      <c r="AI66" s="30" t="s">
        <v>137</v>
      </c>
    </row>
    <row r="67">
      <c r="A67" s="26">
        <v>43244.44638015046</v>
      </c>
      <c r="B67" s="12" t="s">
        <v>1717</v>
      </c>
      <c r="C67" s="12" t="s">
        <v>1718</v>
      </c>
      <c r="D67" s="12" t="s">
        <v>1701</v>
      </c>
      <c r="E67" s="12" t="s">
        <v>1702</v>
      </c>
      <c r="F67" s="27">
        <v>43245.0</v>
      </c>
      <c r="G67" s="12" t="s">
        <v>1841</v>
      </c>
      <c r="H67" s="29">
        <v>0.5</v>
      </c>
      <c r="I67" s="26">
        <v>43245.54166666667</v>
      </c>
      <c r="J67" s="12" t="s">
        <v>1704</v>
      </c>
      <c r="L67" s="12" t="s">
        <v>1788</v>
      </c>
      <c r="M67" s="12" t="s">
        <v>1781</v>
      </c>
      <c r="N67" s="12" t="s">
        <v>1842</v>
      </c>
      <c r="O67" s="12" t="s">
        <v>1717</v>
      </c>
      <c r="P67" s="12" t="s">
        <v>1696</v>
      </c>
      <c r="Q67" s="12" t="s">
        <v>1696</v>
      </c>
      <c r="R67" s="12" t="s">
        <v>1696</v>
      </c>
      <c r="S67" s="12" t="s">
        <v>1696</v>
      </c>
      <c r="T67" s="12" t="s">
        <v>1696</v>
      </c>
      <c r="U67" s="12" t="s">
        <v>1696</v>
      </c>
      <c r="V67" s="12" t="s">
        <v>1696</v>
      </c>
      <c r="W67" s="12" t="s">
        <v>1696</v>
      </c>
      <c r="X67" s="12" t="s">
        <v>1696</v>
      </c>
      <c r="Y67" s="12" t="s">
        <v>1696</v>
      </c>
      <c r="Z67" s="12" t="s">
        <v>1696</v>
      </c>
      <c r="AA67" s="12" t="s">
        <v>1696</v>
      </c>
      <c r="AB67" s="12" t="s">
        <v>1696</v>
      </c>
      <c r="AE67" s="29">
        <v>0.34375</v>
      </c>
      <c r="AF67" s="30" t="s">
        <v>138</v>
      </c>
      <c r="AG67" s="33" t="s">
        <v>139</v>
      </c>
      <c r="AH67" s="33" t="str">
        <f>HYPERLINK("https://docs.google.com/document/d/1xPjlL2XpuJuVs9bhlQHaVaBJvaUVRrAiSl6QpD-EBQQ/edit?usp=drivesdk","Silas Tanner - 5/25/2018 8:15 AM")</f>
        <v>Silas Tanner - 5/25/2018 8:15 AM</v>
      </c>
      <c r="AI67" s="30" t="s">
        <v>140</v>
      </c>
    </row>
    <row r="68">
      <c r="A68" s="26">
        <v>43248.36070387732</v>
      </c>
      <c r="B68" s="12" t="s">
        <v>1713</v>
      </c>
      <c r="C68" s="12" t="s">
        <v>1808</v>
      </c>
      <c r="D68" s="12" t="s">
        <v>1701</v>
      </c>
      <c r="E68" s="12" t="s">
        <v>1843</v>
      </c>
      <c r="F68" s="27">
        <v>43248.0</v>
      </c>
      <c r="G68" s="12" t="s">
        <v>1844</v>
      </c>
      <c r="H68" s="29">
        <v>0.6666666666642413</v>
      </c>
      <c r="I68" s="26">
        <v>43248.70833333333</v>
      </c>
      <c r="J68" s="12" t="s">
        <v>1704</v>
      </c>
      <c r="L68" s="12" t="s">
        <v>1720</v>
      </c>
      <c r="M68" s="12" t="s">
        <v>1824</v>
      </c>
      <c r="N68" s="12" t="s">
        <v>1845</v>
      </c>
      <c r="O68" s="12" t="s">
        <v>1826</v>
      </c>
      <c r="P68" s="12" t="s">
        <v>1696</v>
      </c>
      <c r="Q68" s="12" t="s">
        <v>1696</v>
      </c>
      <c r="R68" s="12" t="s">
        <v>1696</v>
      </c>
      <c r="S68" s="12" t="s">
        <v>1696</v>
      </c>
      <c r="T68" s="12" t="s">
        <v>1696</v>
      </c>
      <c r="U68" s="12" t="s">
        <v>1696</v>
      </c>
      <c r="V68" s="12" t="s">
        <v>1696</v>
      </c>
      <c r="W68" s="12" t="s">
        <v>1696</v>
      </c>
      <c r="X68" s="12" t="s">
        <v>1696</v>
      </c>
      <c r="Y68" s="12" t="s">
        <v>1696</v>
      </c>
      <c r="Z68" s="12" t="s">
        <v>1696</v>
      </c>
      <c r="AA68" s="12" t="s">
        <v>1696</v>
      </c>
      <c r="AB68" s="12" t="s">
        <v>1696</v>
      </c>
      <c r="AE68" s="29">
        <v>0.39583333333575865</v>
      </c>
      <c r="AF68" s="30" t="s">
        <v>142</v>
      </c>
      <c r="AG68" s="33" t="s">
        <v>143</v>
      </c>
      <c r="AH68" s="33" t="str">
        <f>HYPERLINK("https://docs.google.com/document/d/1Z8dAn-NJRpmpNLlG1zkbjukS7RuYIXNvx0IZ730X_Lk/edit?usp=drivesdk","Ben Mowbray - 5/28/2018 9:30 AM")</f>
        <v>Ben Mowbray - 5/28/2018 9:30 AM</v>
      </c>
      <c r="AI68" s="30" t="s">
        <v>144</v>
      </c>
    </row>
    <row r="69">
      <c r="A69" s="26">
        <v>43249.31715028935</v>
      </c>
      <c r="B69" s="12" t="s">
        <v>1717</v>
      </c>
      <c r="C69" s="12" t="s">
        <v>1718</v>
      </c>
      <c r="D69" s="12" t="s">
        <v>1701</v>
      </c>
      <c r="E69" s="12" t="s">
        <v>1846</v>
      </c>
      <c r="F69" s="27">
        <v>43249.0</v>
      </c>
      <c r="G69" s="12" t="s">
        <v>1847</v>
      </c>
      <c r="H69" s="29">
        <v>0.625</v>
      </c>
      <c r="I69" s="26">
        <v>43249.64583333333</v>
      </c>
      <c r="J69" s="12" t="s">
        <v>1658</v>
      </c>
      <c r="L69" s="12" t="s">
        <v>1788</v>
      </c>
      <c r="M69" s="12" t="s">
        <v>1793</v>
      </c>
      <c r="O69" s="12" t="s">
        <v>1717</v>
      </c>
      <c r="P69" s="12" t="s">
        <v>1696</v>
      </c>
      <c r="Q69" s="12" t="s">
        <v>1696</v>
      </c>
      <c r="R69" s="12" t="s">
        <v>1696</v>
      </c>
      <c r="S69" s="12" t="s">
        <v>1696</v>
      </c>
      <c r="T69" s="12" t="s">
        <v>1696</v>
      </c>
      <c r="U69" s="12" t="s">
        <v>1696</v>
      </c>
      <c r="V69" s="12" t="s">
        <v>1696</v>
      </c>
      <c r="W69" s="12" t="s">
        <v>1696</v>
      </c>
      <c r="X69" s="12" t="s">
        <v>1696</v>
      </c>
      <c r="Y69" s="12" t="s">
        <v>1696</v>
      </c>
      <c r="Z69" s="12" t="s">
        <v>1696</v>
      </c>
      <c r="AA69" s="12" t="s">
        <v>1696</v>
      </c>
      <c r="AB69" s="12" t="s">
        <v>1696</v>
      </c>
      <c r="AE69" s="29">
        <v>0.39583333333575865</v>
      </c>
      <c r="AF69" s="30" t="s">
        <v>145</v>
      </c>
      <c r="AG69" s="33" t="s">
        <v>146</v>
      </c>
      <c r="AH69" s="33" t="str">
        <f>HYPERLINK("https://docs.google.com/document/d/1-UbK8hMJUW_5g5Rku1FY9ewcvvUW5AHNrwKQATrchv4/edit?usp=drivesdk","Silas Tanner - 5/29/2018 9:30 AM")</f>
        <v>Silas Tanner - 5/29/2018 9:30 AM</v>
      </c>
      <c r="AI69" s="30" t="s">
        <v>147</v>
      </c>
    </row>
    <row r="70">
      <c r="A70" s="26">
        <v>43250.39838402778</v>
      </c>
      <c r="B70" s="12" t="s">
        <v>1726</v>
      </c>
      <c r="C70" s="12" t="s">
        <v>1727</v>
      </c>
      <c r="D70" s="12" t="s">
        <v>1728</v>
      </c>
      <c r="E70" s="12" t="s">
        <v>1848</v>
      </c>
      <c r="F70" s="27">
        <v>43250.0</v>
      </c>
      <c r="G70" s="12" t="s">
        <v>1849</v>
      </c>
      <c r="H70" s="29">
        <v>0.5416666666642413</v>
      </c>
      <c r="J70" s="12" t="s">
        <v>1730</v>
      </c>
      <c r="L70" s="12" t="s">
        <v>1850</v>
      </c>
      <c r="M70" s="12" t="s">
        <v>1785</v>
      </c>
      <c r="N70" s="12" t="s">
        <v>1832</v>
      </c>
      <c r="O70" s="12" t="s">
        <v>1735</v>
      </c>
      <c r="P70" s="12" t="s">
        <v>1696</v>
      </c>
      <c r="Q70" s="12" t="s">
        <v>1696</v>
      </c>
      <c r="R70" s="12" t="s">
        <v>1696</v>
      </c>
      <c r="S70" s="12" t="s">
        <v>1696</v>
      </c>
      <c r="T70" s="12" t="s">
        <v>1696</v>
      </c>
      <c r="U70" s="12" t="s">
        <v>1696</v>
      </c>
      <c r="V70" s="12" t="s">
        <v>1696</v>
      </c>
      <c r="W70" s="12" t="s">
        <v>1696</v>
      </c>
      <c r="X70" s="12" t="s">
        <v>1696</v>
      </c>
      <c r="Y70" s="12" t="s">
        <v>1696</v>
      </c>
      <c r="Z70" s="12" t="s">
        <v>1696</v>
      </c>
      <c r="AA70" s="12" t="s">
        <v>1696</v>
      </c>
      <c r="AB70" s="12" t="s">
        <v>1696</v>
      </c>
      <c r="AE70" s="29">
        <v>0.40625</v>
      </c>
      <c r="AF70" s="30" t="s">
        <v>148</v>
      </c>
      <c r="AG70" s="33" t="s">
        <v>149</v>
      </c>
      <c r="AH70" s="33" t="str">
        <f>HYPERLINK("https://docs.google.com/document/d/1WsrMwbtq1vkTBudK_ew-NbpNttOyEo3T3Yuj3AdKLcs/edit?usp=drivesdk","James Tomazinis - 5/30/2018 9:45 AM")</f>
        <v>James Tomazinis - 5/30/2018 9:45 AM</v>
      </c>
      <c r="AI70" s="30" t="s">
        <v>150</v>
      </c>
    </row>
    <row r="71">
      <c r="A71" s="26">
        <v>43250.442842881945</v>
      </c>
      <c r="B71" s="12" t="s">
        <v>1713</v>
      </c>
      <c r="C71" s="12" t="s">
        <v>1808</v>
      </c>
      <c r="D71" s="12" t="s">
        <v>1701</v>
      </c>
      <c r="E71" s="12" t="s">
        <v>1851</v>
      </c>
      <c r="F71" s="27">
        <v>43250.0</v>
      </c>
      <c r="G71" s="12" t="s">
        <v>1852</v>
      </c>
      <c r="H71" s="29">
        <v>0.8055555555547471</v>
      </c>
      <c r="I71" s="26">
        <v>43250.84722222222</v>
      </c>
      <c r="J71" s="12" t="s">
        <v>1853</v>
      </c>
      <c r="K71" s="12">
        <v>2.0</v>
      </c>
      <c r="L71" s="12" t="s">
        <v>1788</v>
      </c>
      <c r="M71" s="12" t="s">
        <v>1816</v>
      </c>
      <c r="N71" s="12" t="s">
        <v>1854</v>
      </c>
      <c r="O71" s="12" t="s">
        <v>1826</v>
      </c>
      <c r="P71" s="12" t="s">
        <v>1696</v>
      </c>
      <c r="Q71" s="12" t="s">
        <v>1696</v>
      </c>
      <c r="R71" s="12" t="s">
        <v>1696</v>
      </c>
      <c r="S71" s="12" t="s">
        <v>1696</v>
      </c>
      <c r="T71" s="12" t="s">
        <v>1696</v>
      </c>
      <c r="U71" s="12" t="s">
        <v>1696</v>
      </c>
      <c r="V71" s="12" t="s">
        <v>1696</v>
      </c>
      <c r="W71" s="12" t="s">
        <v>1696</v>
      </c>
      <c r="X71" s="12" t="s">
        <v>1696</v>
      </c>
      <c r="Y71" s="12" t="s">
        <v>1696</v>
      </c>
      <c r="Z71" s="12" t="s">
        <v>1696</v>
      </c>
      <c r="AA71" s="12" t="s">
        <v>1696</v>
      </c>
      <c r="AB71" s="12" t="s">
        <v>1696</v>
      </c>
      <c r="AE71" s="29">
        <v>0.5</v>
      </c>
      <c r="AF71" s="30" t="s">
        <v>151</v>
      </c>
      <c r="AG71" s="33" t="s">
        <v>152</v>
      </c>
      <c r="AH71" s="33" t="str">
        <f>HYPERLINK("https://docs.google.com/document/d/1QBVhj8T9wlvA9MtmpE0nIHEBCK43PFkjVDTBjO99NHM/edit?usp=drivesdk","Ben Mowbray - 5/30/2018 12:00 PM")</f>
        <v>Ben Mowbray - 5/30/2018 12:00 PM</v>
      </c>
      <c r="AI71" s="30" t="s">
        <v>153</v>
      </c>
    </row>
    <row r="72">
      <c r="A72" s="26">
        <v>43250.48884329861</v>
      </c>
      <c r="B72" s="12" t="s">
        <v>1717</v>
      </c>
      <c r="C72" s="12" t="s">
        <v>1718</v>
      </c>
      <c r="D72" s="12" t="s">
        <v>1701</v>
      </c>
      <c r="E72" s="12" t="s">
        <v>1855</v>
      </c>
      <c r="F72" s="27">
        <v>43251.0</v>
      </c>
      <c r="G72" s="12" t="s">
        <v>1856</v>
      </c>
      <c r="H72" s="29">
        <v>0.5833333333357587</v>
      </c>
      <c r="I72" s="26">
        <v>43251.60416666667</v>
      </c>
      <c r="J72" s="12" t="s">
        <v>1658</v>
      </c>
      <c r="L72" s="12" t="s">
        <v>1720</v>
      </c>
      <c r="M72" s="12" t="s">
        <v>1807</v>
      </c>
      <c r="O72" s="12" t="s">
        <v>1717</v>
      </c>
      <c r="P72" s="12" t="s">
        <v>1696</v>
      </c>
      <c r="Q72" s="12" t="s">
        <v>1696</v>
      </c>
      <c r="R72" s="12" t="s">
        <v>1696</v>
      </c>
      <c r="S72" s="12" t="s">
        <v>1696</v>
      </c>
      <c r="T72" s="12" t="s">
        <v>1696</v>
      </c>
      <c r="U72" s="12" t="s">
        <v>1696</v>
      </c>
      <c r="V72" s="12" t="s">
        <v>1696</v>
      </c>
      <c r="W72" s="12" t="s">
        <v>1696</v>
      </c>
      <c r="X72" s="12" t="s">
        <v>1696</v>
      </c>
      <c r="Y72" s="12" t="s">
        <v>1696</v>
      </c>
      <c r="Z72" s="12" t="s">
        <v>1696</v>
      </c>
      <c r="AA72" s="12" t="s">
        <v>1696</v>
      </c>
      <c r="AB72" s="12" t="s">
        <v>1696</v>
      </c>
      <c r="AE72" s="29">
        <v>0.36458333333575865</v>
      </c>
      <c r="AF72" s="30" t="s">
        <v>154</v>
      </c>
      <c r="AG72" s="33" t="s">
        <v>155</v>
      </c>
      <c r="AH72" s="33" t="str">
        <f>HYPERLINK("https://docs.google.com/document/d/18xsY3dGulHPGl_CAhmxP1foemiasC677-RRywmPh4mc/edit?usp=drivesdk","Silas Tanner - 5/31/2018 8:45 AM")</f>
        <v>Silas Tanner - 5/31/2018 8:45 AM</v>
      </c>
      <c r="AI72" s="30" t="s">
        <v>156</v>
      </c>
    </row>
    <row r="73">
      <c r="A73" s="26">
        <v>43251.47559137731</v>
      </c>
      <c r="B73" s="12" t="s">
        <v>1713</v>
      </c>
      <c r="C73" s="12" t="s">
        <v>1808</v>
      </c>
      <c r="D73" s="12" t="s">
        <v>1701</v>
      </c>
      <c r="E73" s="12" t="s">
        <v>1857</v>
      </c>
      <c r="F73" s="27">
        <v>43251.0</v>
      </c>
      <c r="G73" s="12" t="s">
        <v>1852</v>
      </c>
      <c r="H73" s="29">
        <v>0.7916666666642413</v>
      </c>
      <c r="I73" s="26">
        <v>43251.83333333333</v>
      </c>
      <c r="J73" s="12" t="s">
        <v>1853</v>
      </c>
      <c r="K73" s="12">
        <v>2.0</v>
      </c>
      <c r="L73" s="12" t="s">
        <v>1788</v>
      </c>
      <c r="M73" s="12" t="s">
        <v>1816</v>
      </c>
      <c r="N73" s="12" t="s">
        <v>1858</v>
      </c>
      <c r="O73" s="12" t="s">
        <v>1826</v>
      </c>
      <c r="P73" s="12" t="s">
        <v>1696</v>
      </c>
      <c r="Q73" s="12" t="s">
        <v>1696</v>
      </c>
      <c r="R73" s="12" t="s">
        <v>1696</v>
      </c>
      <c r="S73" s="12" t="s">
        <v>1696</v>
      </c>
      <c r="T73" s="12" t="s">
        <v>1696</v>
      </c>
      <c r="U73" s="12" t="s">
        <v>1696</v>
      </c>
      <c r="V73" s="12" t="s">
        <v>1696</v>
      </c>
      <c r="W73" s="12" t="s">
        <v>1696</v>
      </c>
      <c r="X73" s="12" t="s">
        <v>1696</v>
      </c>
      <c r="Y73" s="12" t="s">
        <v>1696</v>
      </c>
      <c r="Z73" s="12" t="s">
        <v>1696</v>
      </c>
      <c r="AA73" s="12" t="s">
        <v>1696</v>
      </c>
      <c r="AB73" s="12" t="s">
        <v>1696</v>
      </c>
      <c r="AE73" s="29">
        <v>0.5416666666642413</v>
      </c>
      <c r="AF73" s="30" t="s">
        <v>157</v>
      </c>
      <c r="AG73" s="33" t="s">
        <v>158</v>
      </c>
      <c r="AH73" s="33" t="str">
        <f>HYPERLINK("https://docs.google.com/document/d/1GGxNyt9MBnblp9Zx3L_z8an_bzsgGlS6W15cDVnm3fk/edit?usp=drivesdk","Ben Mowbray - 5/31/2018 1:00 PM")</f>
        <v>Ben Mowbray - 5/31/2018 1:00 PM</v>
      </c>
      <c r="AI73" s="30" t="s">
        <v>159</v>
      </c>
    </row>
    <row r="74">
      <c r="A74" s="26">
        <v>43252.41232859954</v>
      </c>
      <c r="B74" s="12" t="s">
        <v>1699</v>
      </c>
      <c r="C74" s="12" t="s">
        <v>1710</v>
      </c>
      <c r="D74" s="12" t="s">
        <v>1701</v>
      </c>
      <c r="E74" s="12" t="s">
        <v>1851</v>
      </c>
      <c r="F74" s="27">
        <v>43252.0</v>
      </c>
      <c r="G74" s="12" t="s">
        <v>1859</v>
      </c>
      <c r="H74" s="29">
        <v>0.6666666666642413</v>
      </c>
      <c r="I74" s="26">
        <v>43253.70833333333</v>
      </c>
      <c r="J74" s="12" t="s">
        <v>1658</v>
      </c>
      <c r="L74" s="12" t="s">
        <v>1788</v>
      </c>
      <c r="M74" s="12" t="s">
        <v>1706</v>
      </c>
      <c r="N74" s="12" t="s">
        <v>1860</v>
      </c>
      <c r="O74" s="12" t="s">
        <v>1744</v>
      </c>
      <c r="P74" s="12" t="s">
        <v>1696</v>
      </c>
      <c r="Q74" s="12" t="s">
        <v>1696</v>
      </c>
      <c r="R74" s="12" t="s">
        <v>1696</v>
      </c>
      <c r="S74" s="12" t="s">
        <v>1696</v>
      </c>
      <c r="T74" s="12" t="s">
        <v>1696</v>
      </c>
      <c r="U74" s="12" t="s">
        <v>1696</v>
      </c>
      <c r="V74" s="12" t="s">
        <v>1696</v>
      </c>
      <c r="W74" s="12" t="s">
        <v>1696</v>
      </c>
      <c r="X74" s="12" t="s">
        <v>1696</v>
      </c>
      <c r="Y74" s="12" t="s">
        <v>1696</v>
      </c>
      <c r="Z74" s="12" t="s">
        <v>1696</v>
      </c>
      <c r="AA74" s="12" t="s">
        <v>1696</v>
      </c>
      <c r="AB74" s="12" t="s">
        <v>1696</v>
      </c>
      <c r="AE74" s="29">
        <v>0.45833333333575865</v>
      </c>
      <c r="AF74" s="30" t="s">
        <v>160</v>
      </c>
      <c r="AG74" s="33" t="s">
        <v>161</v>
      </c>
      <c r="AH74" s="33" t="str">
        <f>HYPERLINK("https://docs.google.com/document/d/1Meihg5Jrur5EeX5nc6SpgFu2CqSqHvOVRaDjMu8Kzjw/edit?usp=drivesdk","Pamela Marcum - 6/1/2018 11:00 AM")</f>
        <v>Pamela Marcum - 6/1/2018 11:00 AM</v>
      </c>
      <c r="AI74" s="30" t="s">
        <v>162</v>
      </c>
    </row>
    <row r="75">
      <c r="A75" s="26">
        <v>43252.97022325231</v>
      </c>
      <c r="B75" s="12" t="s">
        <v>1699</v>
      </c>
      <c r="C75" s="12" t="s">
        <v>1710</v>
      </c>
      <c r="D75" s="12" t="s">
        <v>1701</v>
      </c>
      <c r="E75" s="12" t="s">
        <v>1861</v>
      </c>
      <c r="F75" s="27">
        <v>43253.0</v>
      </c>
      <c r="G75" s="12" t="s">
        <v>1862</v>
      </c>
      <c r="H75" s="29">
        <v>0.5</v>
      </c>
      <c r="I75" s="26">
        <v>43252.54166666667</v>
      </c>
      <c r="J75" s="12" t="s">
        <v>1658</v>
      </c>
      <c r="L75" s="12" t="s">
        <v>1788</v>
      </c>
      <c r="M75" s="12" t="s">
        <v>1706</v>
      </c>
      <c r="N75" s="12" t="s">
        <v>1863</v>
      </c>
      <c r="O75" s="12" t="s">
        <v>1708</v>
      </c>
      <c r="P75" s="12" t="s">
        <v>1696</v>
      </c>
      <c r="Q75" s="12" t="s">
        <v>1696</v>
      </c>
      <c r="R75" s="12" t="s">
        <v>1696</v>
      </c>
      <c r="S75" s="12" t="s">
        <v>1696</v>
      </c>
      <c r="T75" s="12" t="s">
        <v>1696</v>
      </c>
      <c r="U75" s="12" t="s">
        <v>1696</v>
      </c>
      <c r="V75" s="12" t="s">
        <v>1696</v>
      </c>
      <c r="W75" s="12" t="s">
        <v>1696</v>
      </c>
      <c r="X75" s="12" t="s">
        <v>1696</v>
      </c>
      <c r="Y75" s="12" t="s">
        <v>1696</v>
      </c>
      <c r="Z75" s="12" t="s">
        <v>1696</v>
      </c>
      <c r="AA75" s="12" t="s">
        <v>1696</v>
      </c>
      <c r="AB75" s="12" t="s">
        <v>1696</v>
      </c>
      <c r="AE75" s="29">
        <v>0.25</v>
      </c>
      <c r="AF75" s="30" t="s">
        <v>163</v>
      </c>
      <c r="AG75" s="33" t="s">
        <v>164</v>
      </c>
      <c r="AH75" s="33" t="str">
        <f>HYPERLINK("https://docs.google.com/document/d/1_BU8DyN37-pP7dXayBuVa2UgN4SSVZhJ2PswBb3iWpA/edit?usp=drivesdk","Pamela Marcum - 6/2/2018 6:00 AM")</f>
        <v>Pamela Marcum - 6/2/2018 6:00 AM</v>
      </c>
      <c r="AI75" s="30" t="s">
        <v>165</v>
      </c>
    </row>
    <row r="76">
      <c r="A76" s="26">
        <v>43255.50650001157</v>
      </c>
      <c r="B76" s="12" t="s">
        <v>1620</v>
      </c>
      <c r="C76" s="12" t="s">
        <v>1635</v>
      </c>
      <c r="D76" s="12" t="s">
        <v>1630</v>
      </c>
      <c r="E76" s="12" t="s">
        <v>1780</v>
      </c>
      <c r="F76" s="27">
        <v>43256.0</v>
      </c>
      <c r="G76" s="12" t="s">
        <v>1864</v>
      </c>
      <c r="H76" s="29">
        <v>0.6458333333357587</v>
      </c>
      <c r="I76" s="26">
        <v>43257.64583333333</v>
      </c>
      <c r="J76" s="12" t="s">
        <v>1853</v>
      </c>
      <c r="K76" s="12">
        <v>6.0</v>
      </c>
      <c r="L76" s="12" t="s">
        <v>1720</v>
      </c>
      <c r="M76" s="12" t="s">
        <v>1865</v>
      </c>
      <c r="N76" s="12" t="s">
        <v>1866</v>
      </c>
      <c r="O76" s="12" t="s">
        <v>1620</v>
      </c>
      <c r="P76" s="12" t="s">
        <v>1696</v>
      </c>
      <c r="Q76" s="12" t="s">
        <v>1696</v>
      </c>
      <c r="R76" s="12" t="s">
        <v>1696</v>
      </c>
      <c r="S76" s="12" t="s">
        <v>1696</v>
      </c>
      <c r="T76" s="12" t="s">
        <v>1696</v>
      </c>
      <c r="U76" s="12" t="s">
        <v>1696</v>
      </c>
      <c r="V76" s="12" t="s">
        <v>1696</v>
      </c>
      <c r="W76" s="12" t="s">
        <v>1696</v>
      </c>
      <c r="X76" s="12" t="s">
        <v>1696</v>
      </c>
      <c r="Y76" s="12" t="s">
        <v>1696</v>
      </c>
      <c r="Z76" s="12" t="s">
        <v>1696</v>
      </c>
      <c r="AA76" s="12" t="s">
        <v>1696</v>
      </c>
      <c r="AB76" s="12" t="s">
        <v>1696</v>
      </c>
      <c r="AC76" s="12" t="s">
        <v>1867</v>
      </c>
      <c r="AD76" s="12" t="s">
        <v>1868</v>
      </c>
      <c r="AE76" s="29">
        <v>0.41666666666424135</v>
      </c>
      <c r="AF76" s="30" t="s">
        <v>166</v>
      </c>
      <c r="AG76" s="33" t="s">
        <v>167</v>
      </c>
      <c r="AH76" s="33" t="str">
        <f>HYPERLINK("https://docs.google.com/document/d/1_99TZLD-k-C9EsSVpSJNccEWzt4WrxyVPB59pY1zq1c/edit?usp=drivesdk","Kenneth Rainer - 6/5/2018 10:00 AM")</f>
        <v>Kenneth Rainer - 6/5/2018 10:00 AM</v>
      </c>
      <c r="AI76" s="30" t="s">
        <v>168</v>
      </c>
    </row>
    <row r="77">
      <c r="A77" s="26">
        <v>43255.509085983795</v>
      </c>
      <c r="B77" s="12" t="s">
        <v>1733</v>
      </c>
      <c r="C77" s="12" t="s">
        <v>1727</v>
      </c>
      <c r="D77" s="12" t="s">
        <v>1630</v>
      </c>
      <c r="E77" s="12" t="s">
        <v>1780</v>
      </c>
      <c r="F77" s="27">
        <v>43256.0</v>
      </c>
      <c r="G77" s="12" t="s">
        <v>1869</v>
      </c>
      <c r="H77" s="29">
        <v>0.6458333333357587</v>
      </c>
      <c r="I77" s="26">
        <v>43257.64583333333</v>
      </c>
      <c r="J77" s="12" t="s">
        <v>1693</v>
      </c>
      <c r="L77" s="12" t="s">
        <v>1788</v>
      </c>
      <c r="M77" s="12" t="s">
        <v>1865</v>
      </c>
      <c r="N77" s="12" t="s">
        <v>1866</v>
      </c>
      <c r="O77" s="12" t="s">
        <v>1726</v>
      </c>
      <c r="P77" s="12" t="s">
        <v>1696</v>
      </c>
      <c r="Q77" s="12" t="s">
        <v>1696</v>
      </c>
      <c r="R77" s="12" t="s">
        <v>1696</v>
      </c>
      <c r="S77" s="12" t="s">
        <v>1696</v>
      </c>
      <c r="T77" s="12" t="s">
        <v>1696</v>
      </c>
      <c r="U77" s="12" t="s">
        <v>1696</v>
      </c>
      <c r="V77" s="12" t="s">
        <v>1696</v>
      </c>
      <c r="W77" s="12" t="s">
        <v>1696</v>
      </c>
      <c r="X77" s="12" t="s">
        <v>1696</v>
      </c>
      <c r="Y77" s="12" t="s">
        <v>1696</v>
      </c>
      <c r="Z77" s="12" t="s">
        <v>1696</v>
      </c>
      <c r="AA77" s="12" t="s">
        <v>1696</v>
      </c>
      <c r="AB77" s="12" t="s">
        <v>1696</v>
      </c>
      <c r="AC77" s="12" t="s">
        <v>1867</v>
      </c>
      <c r="AD77" s="12" t="s">
        <v>1868</v>
      </c>
      <c r="AE77" s="29">
        <v>0.41666666666424135</v>
      </c>
      <c r="AF77" s="30" t="s">
        <v>169</v>
      </c>
      <c r="AG77" s="33" t="s">
        <v>170</v>
      </c>
      <c r="AH77" s="33" t="str">
        <f>HYPERLINK("https://docs.google.com/document/d/1OT1kes3CIgU0ZoBNEpPtzP0zZ3y229Cg9-mTm6wn5UM/edit?usp=drivesdk","Jimmy Tomazinis - 6/5/2018 10:00 AM")</f>
        <v>Jimmy Tomazinis - 6/5/2018 10:00 AM</v>
      </c>
      <c r="AI77" s="30" t="s">
        <v>171</v>
      </c>
    </row>
    <row r="78">
      <c r="A78" s="26">
        <v>43255.51173053241</v>
      </c>
      <c r="B78" s="12" t="s">
        <v>1620</v>
      </c>
      <c r="C78" s="12" t="s">
        <v>1635</v>
      </c>
      <c r="D78" s="12" t="s">
        <v>1630</v>
      </c>
      <c r="E78" s="12" t="s">
        <v>1645</v>
      </c>
      <c r="F78" s="27">
        <v>43258.0</v>
      </c>
      <c r="G78" s="12" t="s">
        <v>1870</v>
      </c>
      <c r="H78" s="29">
        <v>0.6458333333357587</v>
      </c>
      <c r="I78" s="26">
        <v>43258.66666666667</v>
      </c>
      <c r="J78" s="12" t="s">
        <v>1704</v>
      </c>
      <c r="L78" s="12" t="s">
        <v>1720</v>
      </c>
      <c r="M78" s="12" t="s">
        <v>1871</v>
      </c>
      <c r="N78" s="12" t="s">
        <v>1872</v>
      </c>
      <c r="O78" s="12" t="s">
        <v>1620</v>
      </c>
      <c r="P78" s="12" t="s">
        <v>1696</v>
      </c>
      <c r="Q78" s="12" t="s">
        <v>1696</v>
      </c>
      <c r="R78" s="12" t="s">
        <v>1696</v>
      </c>
      <c r="S78" s="12" t="s">
        <v>1696</v>
      </c>
      <c r="T78" s="12" t="s">
        <v>1696</v>
      </c>
      <c r="U78" s="12" t="s">
        <v>1696</v>
      </c>
      <c r="V78" s="12" t="s">
        <v>1696</v>
      </c>
      <c r="W78" s="12" t="s">
        <v>1696</v>
      </c>
      <c r="X78" s="12" t="s">
        <v>1696</v>
      </c>
      <c r="Y78" s="12" t="s">
        <v>1696</v>
      </c>
      <c r="Z78" s="12" t="s">
        <v>1696</v>
      </c>
      <c r="AA78" s="12" t="s">
        <v>1696</v>
      </c>
      <c r="AB78" s="12" t="s">
        <v>1696</v>
      </c>
      <c r="AC78" s="12" t="s">
        <v>1873</v>
      </c>
      <c r="AD78" s="12" t="s">
        <v>1874</v>
      </c>
      <c r="AE78" s="29">
        <v>0.39583333333575865</v>
      </c>
      <c r="AF78" s="30" t="s">
        <v>172</v>
      </c>
      <c r="AG78" s="33" t="s">
        <v>173</v>
      </c>
      <c r="AH78" s="33" t="str">
        <f>HYPERLINK("https://docs.google.com/document/d/1f4rCTUh5g2HKvT37iHIzLi2xkFwrlxrV8ZlB-EPRd_0/edit?usp=drivesdk","Kenneth Rainer - 6/7/2018 9:30 AM")</f>
        <v>Kenneth Rainer - 6/7/2018 9:30 AM</v>
      </c>
      <c r="AI78" s="30" t="s">
        <v>174</v>
      </c>
    </row>
    <row r="79">
      <c r="A79" s="26">
        <v>43255.51348325232</v>
      </c>
      <c r="B79" s="12" t="s">
        <v>1717</v>
      </c>
      <c r="C79" s="12" t="s">
        <v>1718</v>
      </c>
      <c r="D79" s="12" t="s">
        <v>1630</v>
      </c>
      <c r="E79" s="12" t="s">
        <v>1645</v>
      </c>
      <c r="F79" s="27">
        <v>43258.0</v>
      </c>
      <c r="G79" s="12" t="s">
        <v>1870</v>
      </c>
      <c r="H79" s="29">
        <v>0.6458333333357587</v>
      </c>
      <c r="I79" s="26">
        <v>43258.66666666667</v>
      </c>
      <c r="J79" s="12" t="s">
        <v>1693</v>
      </c>
      <c r="L79" s="12" t="s">
        <v>1788</v>
      </c>
      <c r="M79" s="12" t="s">
        <v>1871</v>
      </c>
      <c r="N79" s="12" t="s">
        <v>1872</v>
      </c>
      <c r="O79" s="12" t="s">
        <v>1717</v>
      </c>
      <c r="P79" s="12" t="s">
        <v>1696</v>
      </c>
      <c r="Q79" s="12" t="s">
        <v>1696</v>
      </c>
      <c r="R79" s="12" t="s">
        <v>1696</v>
      </c>
      <c r="S79" s="12" t="s">
        <v>1696</v>
      </c>
      <c r="T79" s="12" t="s">
        <v>1696</v>
      </c>
      <c r="U79" s="12" t="s">
        <v>1696</v>
      </c>
      <c r="V79" s="12" t="s">
        <v>1696</v>
      </c>
      <c r="W79" s="12" t="s">
        <v>1696</v>
      </c>
      <c r="X79" s="12" t="s">
        <v>1696</v>
      </c>
      <c r="Y79" s="12" t="s">
        <v>1696</v>
      </c>
      <c r="Z79" s="12" t="s">
        <v>1696</v>
      </c>
      <c r="AA79" s="12" t="s">
        <v>1696</v>
      </c>
      <c r="AB79" s="12" t="s">
        <v>1696</v>
      </c>
      <c r="AC79" s="12" t="s">
        <v>1873</v>
      </c>
      <c r="AD79" s="12" t="s">
        <v>1874</v>
      </c>
      <c r="AE79" s="29">
        <v>0.39583333333575865</v>
      </c>
      <c r="AF79" s="30" t="s">
        <v>175</v>
      </c>
      <c r="AG79" s="33" t="s">
        <v>176</v>
      </c>
      <c r="AH79" s="33" t="str">
        <f>HYPERLINK("https://docs.google.com/document/d/1omI7AifJyv7VBder7xWpamlAqbP_DccSbkNyJKL1wJk/edit?usp=drivesdk","Silas Tanner - 6/7/2018 9:30 AM")</f>
        <v>Silas Tanner - 6/7/2018 9:30 AM</v>
      </c>
      <c r="AI79" s="30" t="s">
        <v>177</v>
      </c>
    </row>
    <row r="80">
      <c r="A80" s="26">
        <v>43262.36147427083</v>
      </c>
      <c r="B80" s="12" t="s">
        <v>1726</v>
      </c>
      <c r="C80" s="12" t="s">
        <v>1727</v>
      </c>
      <c r="D80" s="12" t="s">
        <v>1728</v>
      </c>
      <c r="E80" s="12" t="s">
        <v>1683</v>
      </c>
      <c r="F80" s="27">
        <v>43262.0</v>
      </c>
      <c r="G80" s="12" t="s">
        <v>1875</v>
      </c>
      <c r="H80" s="29">
        <v>0.5</v>
      </c>
      <c r="J80" s="12" t="s">
        <v>1730</v>
      </c>
      <c r="L80" s="12" t="s">
        <v>1850</v>
      </c>
      <c r="M80" s="12" t="s">
        <v>1785</v>
      </c>
      <c r="N80" s="12" t="s">
        <v>1832</v>
      </c>
      <c r="O80" s="12" t="s">
        <v>1735</v>
      </c>
      <c r="P80" s="12" t="s">
        <v>1696</v>
      </c>
      <c r="Q80" s="12" t="s">
        <v>1696</v>
      </c>
      <c r="R80" s="12" t="s">
        <v>1696</v>
      </c>
      <c r="S80" s="12" t="s">
        <v>1696</v>
      </c>
      <c r="T80" s="12" t="s">
        <v>1696</v>
      </c>
      <c r="U80" s="12" t="s">
        <v>1696</v>
      </c>
      <c r="V80" s="12" t="s">
        <v>1696</v>
      </c>
      <c r="W80" s="12" t="s">
        <v>1696</v>
      </c>
      <c r="X80" s="12" t="s">
        <v>1696</v>
      </c>
      <c r="Y80" s="12" t="s">
        <v>1696</v>
      </c>
      <c r="Z80" s="12" t="s">
        <v>1696</v>
      </c>
      <c r="AA80" s="12" t="s">
        <v>1696</v>
      </c>
      <c r="AB80" s="12" t="s">
        <v>1696</v>
      </c>
      <c r="AE80" s="29">
        <v>0.35416666666424135</v>
      </c>
      <c r="AF80" s="30" t="s">
        <v>178</v>
      </c>
      <c r="AG80" s="33" t="s">
        <v>179</v>
      </c>
      <c r="AH80" s="33" t="str">
        <f>HYPERLINK("https://docs.google.com/document/d/1nhihx7WUJyq9xrne-IuE8z6M1bOCmJPhlEGshsFWGQU/edit?usp=drivesdk","James Tomazinis - 6/11/2018 8:30 AM")</f>
        <v>James Tomazinis - 6/11/2018 8:30 AM</v>
      </c>
      <c r="AI80" s="30" t="s">
        <v>180</v>
      </c>
    </row>
    <row r="81">
      <c r="A81" s="26">
        <v>43263.29583268518</v>
      </c>
      <c r="B81" s="12" t="s">
        <v>1717</v>
      </c>
      <c r="C81" s="12" t="s">
        <v>1775</v>
      </c>
      <c r="D81" s="12" t="s">
        <v>1701</v>
      </c>
      <c r="E81" s="12" t="s">
        <v>1791</v>
      </c>
      <c r="F81" s="27">
        <v>43263.0</v>
      </c>
      <c r="G81" s="12" t="s">
        <v>1792</v>
      </c>
      <c r="H81" s="29">
        <v>0.5833333333357587</v>
      </c>
      <c r="I81" s="26">
        <v>43263.60416666667</v>
      </c>
      <c r="J81" s="12" t="s">
        <v>1704</v>
      </c>
      <c r="L81" s="12" t="s">
        <v>1788</v>
      </c>
      <c r="M81" s="12" t="s">
        <v>1793</v>
      </c>
      <c r="N81" s="12" t="s">
        <v>1876</v>
      </c>
      <c r="O81" s="12" t="s">
        <v>1877</v>
      </c>
      <c r="P81" s="12" t="s">
        <v>1696</v>
      </c>
      <c r="Q81" s="12" t="s">
        <v>1696</v>
      </c>
      <c r="R81" s="12" t="s">
        <v>1696</v>
      </c>
      <c r="S81" s="12" t="s">
        <v>1696</v>
      </c>
      <c r="T81" s="12" t="s">
        <v>1696</v>
      </c>
      <c r="U81" s="12" t="s">
        <v>1696</v>
      </c>
      <c r="V81" s="12" t="s">
        <v>1696</v>
      </c>
      <c r="W81" s="12" t="s">
        <v>1696</v>
      </c>
      <c r="X81" s="12" t="s">
        <v>1696</v>
      </c>
      <c r="Y81" s="12" t="s">
        <v>1696</v>
      </c>
      <c r="Z81" s="12" t="s">
        <v>1696</v>
      </c>
      <c r="AA81" s="12" t="s">
        <v>1696</v>
      </c>
      <c r="AB81" s="12" t="s">
        <v>1696</v>
      </c>
      <c r="AE81" s="29">
        <v>0.36458333333575865</v>
      </c>
      <c r="AF81" s="30" t="s">
        <v>181</v>
      </c>
      <c r="AG81" s="33" t="s">
        <v>182</v>
      </c>
      <c r="AH81" s="33" t="str">
        <f>HYPERLINK("https://docs.google.com/document/d/14xL-FgR87Xdn5S8WoYx0_em_jRQvOEXqyE9kNUhAwZs/edit?usp=drivesdk","Silas Tanner - 6/12/2018 8:45 AM")</f>
        <v>Silas Tanner - 6/12/2018 8:45 AM</v>
      </c>
      <c r="AI81" s="30" t="s">
        <v>183</v>
      </c>
    </row>
    <row r="82">
      <c r="A82" s="26">
        <v>43263.545481180554</v>
      </c>
      <c r="B82" s="12" t="s">
        <v>1620</v>
      </c>
      <c r="C82" s="12" t="s">
        <v>9</v>
      </c>
      <c r="D82" s="12" t="s">
        <v>1630</v>
      </c>
      <c r="E82" s="12" t="s">
        <v>1648</v>
      </c>
      <c r="F82" s="27">
        <v>43265.0</v>
      </c>
      <c r="G82" s="12" t="s">
        <v>1878</v>
      </c>
      <c r="H82" s="29">
        <v>0.6875</v>
      </c>
      <c r="I82" s="26">
        <v>43265.70833333333</v>
      </c>
      <c r="J82" s="12" t="s">
        <v>1704</v>
      </c>
      <c r="L82" s="12" t="s">
        <v>1720</v>
      </c>
      <c r="M82" s="12" t="s">
        <v>1879</v>
      </c>
      <c r="N82" s="12" t="s">
        <v>1880</v>
      </c>
      <c r="O82" s="12" t="s">
        <v>1620</v>
      </c>
      <c r="P82" s="12" t="s">
        <v>1696</v>
      </c>
      <c r="Q82" s="12" t="s">
        <v>1696</v>
      </c>
      <c r="R82" s="12" t="s">
        <v>1696</v>
      </c>
      <c r="S82" s="12" t="s">
        <v>1696</v>
      </c>
      <c r="T82" s="12" t="s">
        <v>1696</v>
      </c>
      <c r="U82" s="12" t="s">
        <v>1696</v>
      </c>
      <c r="V82" s="12" t="s">
        <v>1696</v>
      </c>
      <c r="W82" s="12" t="s">
        <v>1696</v>
      </c>
      <c r="X82" s="12" t="s">
        <v>1696</v>
      </c>
      <c r="Y82" s="12" t="s">
        <v>1696</v>
      </c>
      <c r="Z82" s="12" t="s">
        <v>1696</v>
      </c>
      <c r="AA82" s="12" t="s">
        <v>1696</v>
      </c>
      <c r="AB82" s="12" t="s">
        <v>1696</v>
      </c>
      <c r="AC82" s="12" t="s">
        <v>1881</v>
      </c>
      <c r="AD82" s="12" t="s">
        <v>1882</v>
      </c>
      <c r="AE82" s="29">
        <v>0.5208333333357587</v>
      </c>
      <c r="AF82" s="30" t="s">
        <v>184</v>
      </c>
      <c r="AG82" s="33" t="s">
        <v>185</v>
      </c>
      <c r="AH82" s="33" t="str">
        <f>HYPERLINK("https://docs.google.com/document/d/1Ad-FJGyHWoa6R8teeyJx_5DdPsF8CvyTVaG0dnm6hzA/edit?usp=drivesdk","Kenneth Rainer - 6/14/2018 12:30 PM")</f>
        <v>Kenneth Rainer - 6/14/2018 12:30 PM</v>
      </c>
      <c r="AI82" s="30" t="s">
        <v>186</v>
      </c>
    </row>
    <row r="83">
      <c r="A83" s="26">
        <v>43264.68505503472</v>
      </c>
      <c r="B83" s="12" t="s">
        <v>1717</v>
      </c>
      <c r="C83" s="12" t="s">
        <v>1718</v>
      </c>
      <c r="D83" s="12" t="s">
        <v>1701</v>
      </c>
      <c r="E83" s="12" t="s">
        <v>1757</v>
      </c>
      <c r="F83" s="27">
        <v>43265.0</v>
      </c>
      <c r="G83" s="12" t="s">
        <v>1883</v>
      </c>
      <c r="H83" s="29">
        <v>0.6666666666642413</v>
      </c>
      <c r="I83" s="26">
        <v>43265.69791666667</v>
      </c>
      <c r="J83" s="12" t="s">
        <v>1693</v>
      </c>
      <c r="L83" s="12" t="s">
        <v>1788</v>
      </c>
      <c r="M83" s="12" t="s">
        <v>1781</v>
      </c>
      <c r="N83" s="12" t="s">
        <v>1884</v>
      </c>
      <c r="O83" s="12" t="s">
        <v>1756</v>
      </c>
      <c r="P83" s="12" t="s">
        <v>1696</v>
      </c>
      <c r="Q83" s="12" t="s">
        <v>1696</v>
      </c>
      <c r="R83" s="12" t="s">
        <v>1696</v>
      </c>
      <c r="S83" s="12" t="s">
        <v>1696</v>
      </c>
      <c r="T83" s="12" t="s">
        <v>1696</v>
      </c>
      <c r="U83" s="12" t="s">
        <v>1696</v>
      </c>
      <c r="V83" s="12" t="s">
        <v>1696</v>
      </c>
      <c r="W83" s="12" t="s">
        <v>1696</v>
      </c>
      <c r="X83" s="12" t="s">
        <v>1696</v>
      </c>
      <c r="Y83" s="12" t="s">
        <v>1696</v>
      </c>
      <c r="Z83" s="12" t="s">
        <v>1696</v>
      </c>
      <c r="AA83" s="12" t="s">
        <v>1696</v>
      </c>
      <c r="AB83" s="12" t="s">
        <v>1696</v>
      </c>
      <c r="AE83" s="29">
        <v>0.5</v>
      </c>
      <c r="AF83" s="30" t="s">
        <v>187</v>
      </c>
      <c r="AG83" s="33" t="s">
        <v>188</v>
      </c>
      <c r="AH83" s="33" t="str">
        <f>HYPERLINK("https://docs.google.com/document/d/1ZVWr_QqAdt-Iz7q9i3GNK8i0lyZgwCCfyxmlR1hJwkw/edit?usp=drivesdk","Silas Tanner - 6/14/2018 12:00 PM")</f>
        <v>Silas Tanner - 6/14/2018 12:00 PM</v>
      </c>
      <c r="AI83" s="30" t="s">
        <v>189</v>
      </c>
    </row>
    <row r="84">
      <c r="A84" s="26">
        <v>43266.39277664352</v>
      </c>
      <c r="B84" s="12" t="s">
        <v>1726</v>
      </c>
      <c r="C84" s="12" t="s">
        <v>1727</v>
      </c>
      <c r="D84" s="12" t="s">
        <v>1728</v>
      </c>
      <c r="E84" s="12" t="s">
        <v>1885</v>
      </c>
      <c r="F84" s="27">
        <v>43266.0</v>
      </c>
      <c r="G84" s="12" t="s">
        <v>1886</v>
      </c>
      <c r="H84" s="29">
        <v>0.7083333333357587</v>
      </c>
      <c r="J84" s="12" t="s">
        <v>1704</v>
      </c>
      <c r="L84" s="12" t="s">
        <v>1626</v>
      </c>
      <c r="M84" s="12" t="s">
        <v>1887</v>
      </c>
      <c r="N84" s="12" t="s">
        <v>1888</v>
      </c>
      <c r="O84" s="12" t="s">
        <v>1726</v>
      </c>
      <c r="P84" s="12" t="s">
        <v>1696</v>
      </c>
      <c r="Q84" s="12" t="s">
        <v>1696</v>
      </c>
      <c r="R84" s="12" t="s">
        <v>1696</v>
      </c>
      <c r="S84" s="12" t="s">
        <v>1696</v>
      </c>
      <c r="T84" s="12" t="s">
        <v>1696</v>
      </c>
      <c r="U84" s="12" t="s">
        <v>1696</v>
      </c>
      <c r="V84" s="12" t="s">
        <v>1696</v>
      </c>
      <c r="W84" s="12" t="s">
        <v>1696</v>
      </c>
      <c r="X84" s="12" t="s">
        <v>1696</v>
      </c>
      <c r="Y84" s="12" t="s">
        <v>1696</v>
      </c>
      <c r="Z84" s="12" t="s">
        <v>1696</v>
      </c>
      <c r="AA84" s="12" t="s">
        <v>1696</v>
      </c>
      <c r="AB84" s="12" t="s">
        <v>1696</v>
      </c>
      <c r="AE84" s="29">
        <v>0.41666666666424135</v>
      </c>
      <c r="AF84" s="30" t="s">
        <v>190</v>
      </c>
      <c r="AG84" s="33" t="s">
        <v>191</v>
      </c>
      <c r="AH84" s="33" t="str">
        <f>HYPERLINK("https://docs.google.com/document/d/1segsGRdC7iRishkJwC9X3suCxEE9-PDWq8OEnJz3WW4/edit?usp=drivesdk","James Tomazinis - 6/15/2018 10:00 AM")</f>
        <v>James Tomazinis - 6/15/2018 10:00 AM</v>
      </c>
      <c r="AI84" s="30" t="s">
        <v>192</v>
      </c>
    </row>
    <row r="85">
      <c r="A85" s="26">
        <v>43266.46594609953</v>
      </c>
      <c r="B85" s="12" t="s">
        <v>1717</v>
      </c>
      <c r="C85" s="12" t="s">
        <v>1718</v>
      </c>
      <c r="D85" s="12" t="s">
        <v>1701</v>
      </c>
      <c r="E85" s="12" t="s">
        <v>1757</v>
      </c>
      <c r="F85" s="27">
        <v>43266.0</v>
      </c>
      <c r="G85" s="12" t="s">
        <v>1889</v>
      </c>
      <c r="H85" s="29">
        <v>0.6666666666642413</v>
      </c>
      <c r="I85" s="26">
        <v>43266.70833333333</v>
      </c>
      <c r="J85" s="12" t="s">
        <v>1693</v>
      </c>
      <c r="L85" s="12" t="s">
        <v>1788</v>
      </c>
      <c r="M85" s="12" t="s">
        <v>1781</v>
      </c>
      <c r="N85" s="12" t="s">
        <v>1890</v>
      </c>
      <c r="O85" s="12" t="s">
        <v>1717</v>
      </c>
      <c r="P85" s="12" t="s">
        <v>1696</v>
      </c>
      <c r="Q85" s="12" t="s">
        <v>1696</v>
      </c>
      <c r="R85" s="12" t="s">
        <v>1696</v>
      </c>
      <c r="S85" s="12" t="s">
        <v>1696</v>
      </c>
      <c r="T85" s="12" t="s">
        <v>1696</v>
      </c>
      <c r="U85" s="12" t="s">
        <v>1696</v>
      </c>
      <c r="V85" s="12" t="s">
        <v>1696</v>
      </c>
      <c r="W85" s="12" t="s">
        <v>1696</v>
      </c>
      <c r="X85" s="12" t="s">
        <v>1696</v>
      </c>
      <c r="Y85" s="12" t="s">
        <v>1696</v>
      </c>
      <c r="Z85" s="12" t="s">
        <v>1696</v>
      </c>
      <c r="AA85" s="12" t="s">
        <v>1696</v>
      </c>
      <c r="AB85" s="12" t="s">
        <v>1696</v>
      </c>
      <c r="AE85" s="29">
        <v>0.5416666666642413</v>
      </c>
      <c r="AF85" s="30" t="s">
        <v>193</v>
      </c>
      <c r="AG85" s="33" t="s">
        <v>194</v>
      </c>
      <c r="AH85" s="33" t="str">
        <f>HYPERLINK("https://docs.google.com/document/d/1YErNHz-z5auJhRmMWf7quuIOf99gflm67GG5yE4XHtw/edit?usp=drivesdk","Silas Tanner - 6/15/2018 1:00 PM")</f>
        <v>Silas Tanner - 6/15/2018 1:00 PM</v>
      </c>
      <c r="AI85" s="30" t="s">
        <v>195</v>
      </c>
    </row>
    <row r="86">
      <c r="A86" s="26">
        <v>43267.41427137732</v>
      </c>
      <c r="B86" s="12" t="s">
        <v>1891</v>
      </c>
      <c r="C86" s="12" t="s">
        <v>1892</v>
      </c>
      <c r="D86" s="12" t="s">
        <v>1701</v>
      </c>
      <c r="E86" s="12" t="s">
        <v>1893</v>
      </c>
      <c r="F86" s="27">
        <v>43267.0</v>
      </c>
      <c r="G86" s="12" t="s">
        <v>1894</v>
      </c>
      <c r="H86" s="29">
        <v>0.625</v>
      </c>
      <c r="I86" s="26">
        <v>43267.66666666667</v>
      </c>
      <c r="J86" s="12" t="s">
        <v>1693</v>
      </c>
      <c r="L86" s="12" t="s">
        <v>1720</v>
      </c>
      <c r="M86" s="12" t="s">
        <v>1824</v>
      </c>
      <c r="N86" s="12" t="s">
        <v>1895</v>
      </c>
      <c r="O86" s="12" t="s">
        <v>1896</v>
      </c>
      <c r="P86" s="12" t="s">
        <v>1696</v>
      </c>
      <c r="Q86" s="12" t="s">
        <v>1696</v>
      </c>
      <c r="R86" s="12" t="s">
        <v>1696</v>
      </c>
      <c r="S86" s="12" t="s">
        <v>1696</v>
      </c>
      <c r="T86" s="12" t="s">
        <v>1696</v>
      </c>
      <c r="U86" s="12" t="s">
        <v>1696</v>
      </c>
      <c r="V86" s="12" t="s">
        <v>1696</v>
      </c>
      <c r="W86" s="12" t="s">
        <v>1696</v>
      </c>
      <c r="X86" s="12" t="s">
        <v>1696</v>
      </c>
      <c r="Y86" s="12" t="s">
        <v>1696</v>
      </c>
      <c r="Z86" s="12" t="s">
        <v>1696</v>
      </c>
      <c r="AA86" s="12" t="s">
        <v>1696</v>
      </c>
      <c r="AB86" s="12" t="s">
        <v>1696</v>
      </c>
      <c r="AC86" s="12" t="s">
        <v>1897</v>
      </c>
      <c r="AD86" s="12" t="s">
        <v>1898</v>
      </c>
      <c r="AE86" s="29">
        <v>0.4375</v>
      </c>
      <c r="AF86" s="30" t="s">
        <v>196</v>
      </c>
      <c r="AG86" s="33" t="s">
        <v>197</v>
      </c>
      <c r="AH86" s="33" t="str">
        <f>HYPERLINK("https://docs.google.com/document/d/1zx2ToY0GcjujicDXZiUTnvQUpIp0-oiJuQlUByUuEXk/edit?usp=drivesdk","Gabriela Canas - 6/16/2018 10:30 AM")</f>
        <v>Gabriela Canas - 6/16/2018 10:30 AM</v>
      </c>
      <c r="AI86" s="30" t="s">
        <v>198</v>
      </c>
    </row>
    <row r="87">
      <c r="A87" s="26">
        <v>43269.25535648148</v>
      </c>
      <c r="B87" s="12" t="s">
        <v>1699</v>
      </c>
      <c r="C87" s="12" t="s">
        <v>1710</v>
      </c>
      <c r="D87" s="12" t="s">
        <v>1701</v>
      </c>
      <c r="E87" s="12" t="s">
        <v>1899</v>
      </c>
      <c r="F87" s="27">
        <v>43269.0</v>
      </c>
      <c r="G87" s="12" t="s">
        <v>1900</v>
      </c>
      <c r="H87" s="29">
        <v>0.625</v>
      </c>
      <c r="I87" s="26">
        <v>43269.70833333333</v>
      </c>
      <c r="J87" s="12" t="s">
        <v>1704</v>
      </c>
      <c r="L87" s="12" t="s">
        <v>1788</v>
      </c>
      <c r="M87" s="12" t="s">
        <v>1816</v>
      </c>
      <c r="N87" s="12" t="s">
        <v>1901</v>
      </c>
      <c r="O87" s="12" t="s">
        <v>1744</v>
      </c>
      <c r="P87" s="12" t="s">
        <v>1696</v>
      </c>
      <c r="Q87" s="12" t="s">
        <v>1696</v>
      </c>
      <c r="R87" s="12" t="s">
        <v>1696</v>
      </c>
      <c r="S87" s="12" t="s">
        <v>1696</v>
      </c>
      <c r="T87" s="12" t="s">
        <v>1696</v>
      </c>
      <c r="U87" s="12" t="s">
        <v>1696</v>
      </c>
      <c r="V87" s="12" t="s">
        <v>1696</v>
      </c>
      <c r="W87" s="12" t="s">
        <v>1696</v>
      </c>
      <c r="X87" s="12" t="s">
        <v>1696</v>
      </c>
      <c r="Y87" s="12" t="s">
        <v>1696</v>
      </c>
      <c r="Z87" s="12" t="s">
        <v>1696</v>
      </c>
      <c r="AA87" s="12" t="s">
        <v>1696</v>
      </c>
      <c r="AB87" s="12" t="s">
        <v>1696</v>
      </c>
      <c r="AE87" s="29">
        <v>0.29166666666424135</v>
      </c>
      <c r="AF87" s="30" t="s">
        <v>199</v>
      </c>
      <c r="AG87" s="33" t="s">
        <v>200</v>
      </c>
      <c r="AH87" s="33" t="str">
        <f>HYPERLINK("https://docs.google.com/document/d/1KwWbRZ0rfVkD6cgG4sahSuTzc2waIBHIwhs9aelaYeM/edit?usp=drivesdk","Pamela Marcum - 6/18/2018 7:00 AM")</f>
        <v>Pamela Marcum - 6/18/2018 7:00 AM</v>
      </c>
      <c r="AI87" s="30" t="s">
        <v>201</v>
      </c>
    </row>
    <row r="88">
      <c r="A88" s="26">
        <v>43270.230364710646</v>
      </c>
      <c r="B88" s="12" t="s">
        <v>1713</v>
      </c>
      <c r="C88" s="12" t="s">
        <v>1808</v>
      </c>
      <c r="D88" s="12" t="s">
        <v>1701</v>
      </c>
      <c r="E88" s="12" t="s">
        <v>1902</v>
      </c>
      <c r="F88" s="27">
        <v>43270.0</v>
      </c>
      <c r="G88" s="12" t="s">
        <v>1903</v>
      </c>
      <c r="H88" s="29">
        <v>0.5625</v>
      </c>
      <c r="I88" s="26">
        <v>43270.625</v>
      </c>
      <c r="J88" s="12" t="s">
        <v>1853</v>
      </c>
      <c r="K88" s="12">
        <v>1.0</v>
      </c>
      <c r="L88" s="12" t="s">
        <v>1626</v>
      </c>
      <c r="M88" s="12" t="s">
        <v>1824</v>
      </c>
      <c r="N88" s="12" t="s">
        <v>1904</v>
      </c>
      <c r="O88" s="12" t="s">
        <v>1826</v>
      </c>
      <c r="P88" s="12" t="s">
        <v>1696</v>
      </c>
      <c r="Q88" s="12" t="s">
        <v>1696</v>
      </c>
      <c r="R88" s="12" t="s">
        <v>1696</v>
      </c>
      <c r="S88" s="12" t="s">
        <v>1696</v>
      </c>
      <c r="T88" s="12" t="s">
        <v>1696</v>
      </c>
      <c r="U88" s="12" t="s">
        <v>1696</v>
      </c>
      <c r="V88" s="12" t="s">
        <v>1696</v>
      </c>
      <c r="W88" s="12" t="s">
        <v>1696</v>
      </c>
      <c r="X88" s="12" t="s">
        <v>1696</v>
      </c>
      <c r="Y88" s="12" t="s">
        <v>1696</v>
      </c>
      <c r="Z88" s="12" t="s">
        <v>1696</v>
      </c>
      <c r="AA88" s="12" t="s">
        <v>1696</v>
      </c>
      <c r="AB88" s="12" t="s">
        <v>1696</v>
      </c>
      <c r="AE88" s="29">
        <v>0.375</v>
      </c>
      <c r="AF88" s="30" t="s">
        <v>202</v>
      </c>
      <c r="AG88" s="33" t="s">
        <v>203</v>
      </c>
      <c r="AH88" s="33" t="str">
        <f>HYPERLINK("https://docs.google.com/document/d/18sH7tpcvRVPrnvu5INSV_e-yIKj2uGcQozGVLnx_pZU/edit?usp=drivesdk","Ben Mowbray - 6/19/2018 9:00 AM")</f>
        <v>Ben Mowbray - 6/19/2018 9:00 AM</v>
      </c>
      <c r="AI88" s="30" t="s">
        <v>204</v>
      </c>
    </row>
    <row r="89">
      <c r="A89" s="26">
        <v>43272.359175879625</v>
      </c>
      <c r="B89" s="12" t="s">
        <v>1726</v>
      </c>
      <c r="C89" s="12" t="s">
        <v>1727</v>
      </c>
      <c r="D89" s="12" t="s">
        <v>1728</v>
      </c>
      <c r="E89" s="12" t="s">
        <v>1905</v>
      </c>
      <c r="F89" s="27">
        <v>43272.0</v>
      </c>
      <c r="G89" s="12" t="s">
        <v>1906</v>
      </c>
      <c r="H89" s="29">
        <v>0.7083333333357587</v>
      </c>
      <c r="J89" s="12" t="s">
        <v>1693</v>
      </c>
      <c r="L89" s="12" t="s">
        <v>1720</v>
      </c>
      <c r="M89" s="12" t="s">
        <v>1907</v>
      </c>
      <c r="N89" s="12" t="s">
        <v>1786</v>
      </c>
      <c r="O89" s="12" t="s">
        <v>1735</v>
      </c>
      <c r="P89" s="12" t="s">
        <v>1696</v>
      </c>
      <c r="Q89" s="12" t="s">
        <v>1696</v>
      </c>
      <c r="R89" s="12" t="s">
        <v>1696</v>
      </c>
      <c r="S89" s="12" t="s">
        <v>1696</v>
      </c>
      <c r="T89" s="12" t="s">
        <v>1696</v>
      </c>
      <c r="U89" s="12" t="s">
        <v>1696</v>
      </c>
      <c r="V89" s="12" t="s">
        <v>1696</v>
      </c>
      <c r="W89" s="12" t="s">
        <v>1696</v>
      </c>
      <c r="X89" s="12" t="s">
        <v>1696</v>
      </c>
      <c r="Y89" s="12" t="s">
        <v>1696</v>
      </c>
      <c r="Z89" s="12" t="s">
        <v>1696</v>
      </c>
      <c r="AA89" s="12" t="s">
        <v>1696</v>
      </c>
      <c r="AB89" s="12" t="s">
        <v>1696</v>
      </c>
      <c r="AE89" s="29">
        <v>0.40625</v>
      </c>
      <c r="AF89" s="30" t="s">
        <v>205</v>
      </c>
      <c r="AG89" s="33" t="s">
        <v>206</v>
      </c>
      <c r="AH89" s="33" t="str">
        <f>HYPERLINK("https://docs.google.com/document/d/1v7q-IULNLh2s7jlsl-iuhE7Fi_UIkWYnjOZQaPhKCSs/edit?usp=drivesdk","James Tomazinis - 6/21/2018 9:45 AM")</f>
        <v>James Tomazinis - 6/21/2018 9:45 AM</v>
      </c>
      <c r="AI89" s="30" t="s">
        <v>207</v>
      </c>
    </row>
    <row r="90">
      <c r="A90" s="26">
        <v>43276.375861493056</v>
      </c>
      <c r="B90" s="12" t="s">
        <v>1699</v>
      </c>
      <c r="C90" s="12" t="s">
        <v>1710</v>
      </c>
      <c r="D90" s="12" t="s">
        <v>1701</v>
      </c>
      <c r="E90" s="12" t="s">
        <v>1702</v>
      </c>
      <c r="F90" s="27">
        <v>43276.0</v>
      </c>
      <c r="G90" s="12" t="s">
        <v>1908</v>
      </c>
      <c r="H90" s="29">
        <v>0.625</v>
      </c>
      <c r="I90" s="26">
        <v>43276.66666666667</v>
      </c>
      <c r="J90" s="12" t="s">
        <v>1704</v>
      </c>
      <c r="L90" s="12" t="s">
        <v>1788</v>
      </c>
      <c r="M90" s="12" t="s">
        <v>1706</v>
      </c>
      <c r="N90" s="12" t="s">
        <v>1909</v>
      </c>
      <c r="O90" s="12" t="s">
        <v>1699</v>
      </c>
      <c r="P90" s="12" t="s">
        <v>1696</v>
      </c>
      <c r="Q90" s="12" t="s">
        <v>1696</v>
      </c>
      <c r="R90" s="12" t="s">
        <v>1696</v>
      </c>
      <c r="S90" s="12" t="s">
        <v>1696</v>
      </c>
      <c r="T90" s="12" t="s">
        <v>1696</v>
      </c>
      <c r="U90" s="12" t="s">
        <v>1696</v>
      </c>
      <c r="V90" s="12" t="s">
        <v>1696</v>
      </c>
      <c r="W90" s="12" t="s">
        <v>1696</v>
      </c>
      <c r="X90" s="12" t="s">
        <v>1696</v>
      </c>
      <c r="Y90" s="12" t="s">
        <v>1696</v>
      </c>
      <c r="Z90" s="12" t="s">
        <v>1696</v>
      </c>
      <c r="AA90" s="12" t="s">
        <v>1696</v>
      </c>
      <c r="AB90" s="12" t="s">
        <v>1696</v>
      </c>
      <c r="AE90" s="29">
        <v>0.5</v>
      </c>
      <c r="AF90" s="30" t="s">
        <v>209</v>
      </c>
      <c r="AG90" s="33" t="s">
        <v>210</v>
      </c>
      <c r="AH90" s="33" t="str">
        <f>HYPERLINK("https://docs.google.com/document/d/1L0kzkzO3R_dAJCQe55pzE_QXkWNAsyj-X0rnm0gVaQY/edit?usp=drivesdk","Pamela Marcum - 6/25/2018 12:00 PM")</f>
        <v>Pamela Marcum - 6/25/2018 12:00 PM</v>
      </c>
      <c r="AI90" s="30" t="s">
        <v>211</v>
      </c>
    </row>
    <row r="91">
      <c r="A91" s="26">
        <v>43276.43057229166</v>
      </c>
      <c r="B91" s="12" t="s">
        <v>1620</v>
      </c>
      <c r="C91" s="12" t="s">
        <v>1635</v>
      </c>
      <c r="D91" s="12" t="s">
        <v>1630</v>
      </c>
      <c r="E91" s="12" t="s">
        <v>1645</v>
      </c>
      <c r="F91" s="27">
        <v>43277.0</v>
      </c>
      <c r="G91" s="12" t="s">
        <v>1910</v>
      </c>
      <c r="H91" s="29">
        <v>0.5416666666642413</v>
      </c>
      <c r="I91" s="26">
        <v>43277.58333333333</v>
      </c>
      <c r="J91" s="12" t="s">
        <v>1704</v>
      </c>
      <c r="L91" s="12" t="s">
        <v>1720</v>
      </c>
      <c r="M91" s="12" t="s">
        <v>1640</v>
      </c>
      <c r="N91" s="12" t="s">
        <v>1911</v>
      </c>
      <c r="O91" s="12" t="s">
        <v>1620</v>
      </c>
      <c r="P91" s="12" t="s">
        <v>1696</v>
      </c>
      <c r="Q91" s="12" t="s">
        <v>1696</v>
      </c>
      <c r="R91" s="12" t="s">
        <v>1696</v>
      </c>
      <c r="S91" s="12" t="s">
        <v>1696</v>
      </c>
      <c r="T91" s="12" t="s">
        <v>1696</v>
      </c>
      <c r="U91" s="12" t="s">
        <v>1696</v>
      </c>
      <c r="V91" s="12" t="s">
        <v>1696</v>
      </c>
      <c r="W91" s="12" t="s">
        <v>1696</v>
      </c>
      <c r="X91" s="12" t="s">
        <v>1696</v>
      </c>
      <c r="Y91" s="12" t="s">
        <v>1696</v>
      </c>
      <c r="Z91" s="12" t="s">
        <v>1696</v>
      </c>
      <c r="AA91" s="12" t="s">
        <v>1696</v>
      </c>
      <c r="AB91" s="12" t="s">
        <v>1696</v>
      </c>
      <c r="AC91" s="12" t="s">
        <v>1912</v>
      </c>
      <c r="AD91" s="12" t="s">
        <v>1913</v>
      </c>
      <c r="AE91" s="29">
        <v>0.375</v>
      </c>
      <c r="AF91" s="30" t="s">
        <v>212</v>
      </c>
      <c r="AG91" s="33" t="s">
        <v>213</v>
      </c>
      <c r="AH91" s="33" t="str">
        <f>HYPERLINK("https://docs.google.com/document/d/1ntrs6YFpK78CyX3JOrufebLGk1XUDopFAGN4tHmjzSY/edit?usp=drivesdk","Kenneth Rainer - 6/26/2018 9:00 AM")</f>
        <v>Kenneth Rainer - 6/26/2018 9:00 AM</v>
      </c>
      <c r="AI91" s="30" t="s">
        <v>214</v>
      </c>
    </row>
    <row r="92">
      <c r="A92" s="26">
        <v>43278.30461924769</v>
      </c>
      <c r="B92" s="12" t="s">
        <v>1726</v>
      </c>
      <c r="C92" s="12" t="s">
        <v>1727</v>
      </c>
      <c r="D92" s="12" t="s">
        <v>1728</v>
      </c>
      <c r="E92" s="12" t="s">
        <v>1683</v>
      </c>
      <c r="F92" s="27">
        <v>43278.0</v>
      </c>
      <c r="G92" s="12" t="s">
        <v>1914</v>
      </c>
      <c r="H92" s="29">
        <v>0.5416666666642413</v>
      </c>
      <c r="J92" s="12" t="s">
        <v>1730</v>
      </c>
      <c r="L92" s="12" t="s">
        <v>1626</v>
      </c>
      <c r="M92" s="12" t="s">
        <v>1785</v>
      </c>
      <c r="N92" s="12" t="s">
        <v>1915</v>
      </c>
      <c r="O92" s="12" t="s">
        <v>1735</v>
      </c>
      <c r="P92" s="12" t="s">
        <v>1696</v>
      </c>
      <c r="Q92" s="12" t="s">
        <v>1696</v>
      </c>
      <c r="R92" s="12" t="s">
        <v>1696</v>
      </c>
      <c r="S92" s="12" t="s">
        <v>1696</v>
      </c>
      <c r="T92" s="12" t="s">
        <v>1696</v>
      </c>
      <c r="U92" s="12" t="s">
        <v>1696</v>
      </c>
      <c r="V92" s="12" t="s">
        <v>1696</v>
      </c>
      <c r="W92" s="12" t="s">
        <v>1696</v>
      </c>
      <c r="X92" s="12" t="s">
        <v>1696</v>
      </c>
      <c r="Y92" s="12" t="s">
        <v>1696</v>
      </c>
      <c r="Z92" s="12" t="s">
        <v>1696</v>
      </c>
      <c r="AA92" s="12" t="s">
        <v>1696</v>
      </c>
      <c r="AB92" s="12" t="s">
        <v>1696</v>
      </c>
      <c r="AE92" s="29">
        <v>0.3125</v>
      </c>
      <c r="AF92" s="30" t="s">
        <v>215</v>
      </c>
      <c r="AG92" s="33" t="s">
        <v>216</v>
      </c>
      <c r="AH92" s="33" t="str">
        <f>HYPERLINK("https://docs.google.com/document/d/1FpILXcPLEtzulcfVT6SGTL70ibQT75O0hb2ZfXmGgmI/edit?usp=drivesdk","James Tomazinis - 6/27/2018 7:30 AM")</f>
        <v>James Tomazinis - 6/27/2018 7:30 AM</v>
      </c>
      <c r="AI92" s="30" t="s">
        <v>217</v>
      </c>
    </row>
    <row r="93">
      <c r="A93" s="26">
        <v>43278.408061863425</v>
      </c>
      <c r="B93" s="12" t="s">
        <v>1717</v>
      </c>
      <c r="C93" s="12" t="s">
        <v>1718</v>
      </c>
      <c r="D93" s="12" t="s">
        <v>1916</v>
      </c>
      <c r="E93" s="12" t="s">
        <v>1757</v>
      </c>
      <c r="F93" s="27">
        <v>43278.0</v>
      </c>
      <c r="G93" s="12" t="s">
        <v>1917</v>
      </c>
      <c r="H93" s="29">
        <v>0.6041666666642413</v>
      </c>
      <c r="I93" s="26">
        <v>43278.64583333333</v>
      </c>
      <c r="J93" s="12" t="s">
        <v>1704</v>
      </c>
      <c r="L93" s="12" t="s">
        <v>1720</v>
      </c>
      <c r="M93" s="12" t="s">
        <v>1918</v>
      </c>
      <c r="N93" s="12" t="s">
        <v>1884</v>
      </c>
      <c r="O93" s="12" t="s">
        <v>1717</v>
      </c>
      <c r="P93" s="12" t="s">
        <v>1696</v>
      </c>
      <c r="Q93" s="12" t="s">
        <v>1696</v>
      </c>
      <c r="R93" s="12" t="s">
        <v>1696</v>
      </c>
      <c r="S93" s="12" t="s">
        <v>1696</v>
      </c>
      <c r="T93" s="12" t="s">
        <v>1696</v>
      </c>
      <c r="U93" s="12" t="s">
        <v>1696</v>
      </c>
      <c r="V93" s="12" t="s">
        <v>1696</v>
      </c>
      <c r="W93" s="12" t="s">
        <v>1696</v>
      </c>
      <c r="X93" s="12" t="s">
        <v>1696</v>
      </c>
      <c r="Y93" s="12" t="s">
        <v>1696</v>
      </c>
      <c r="Z93" s="12" t="s">
        <v>1696</v>
      </c>
      <c r="AA93" s="12" t="s">
        <v>1696</v>
      </c>
      <c r="AB93" s="12" t="s">
        <v>1696</v>
      </c>
      <c r="AE93" s="29">
        <v>0.45833333333575865</v>
      </c>
      <c r="AF93" s="30" t="s">
        <v>219</v>
      </c>
      <c r="AG93" s="33" t="s">
        <v>220</v>
      </c>
      <c r="AH93" s="33" t="str">
        <f>HYPERLINK("https://docs.google.com/document/d/1XauK_Lwrv1Qt95jY2ZpwtpyOvOLtQrABuSS55AExW6U/edit?usp=drivesdk","Silas Tanner - 6/27/2018 11:00 AM")</f>
        <v>Silas Tanner - 6/27/2018 11:00 AM</v>
      </c>
      <c r="AI93" s="30" t="s">
        <v>221</v>
      </c>
    </row>
    <row r="94">
      <c r="A94" s="26">
        <v>43280.54048429398</v>
      </c>
      <c r="B94" s="12" t="s">
        <v>1713</v>
      </c>
      <c r="C94" s="12" t="s">
        <v>1808</v>
      </c>
      <c r="D94" s="12" t="s">
        <v>1916</v>
      </c>
      <c r="E94" s="12" t="s">
        <v>1623</v>
      </c>
      <c r="F94" s="27">
        <v>43281.0</v>
      </c>
      <c r="G94" s="12" t="s">
        <v>1919</v>
      </c>
      <c r="H94" s="29">
        <v>0.5416666666642413</v>
      </c>
      <c r="I94" s="26">
        <v>43281.5625</v>
      </c>
      <c r="J94" s="12" t="s">
        <v>1704</v>
      </c>
      <c r="L94" s="12" t="s">
        <v>1788</v>
      </c>
      <c r="M94" s="12" t="s">
        <v>1824</v>
      </c>
      <c r="N94" s="12" t="s">
        <v>1920</v>
      </c>
      <c r="O94" s="12" t="s">
        <v>1826</v>
      </c>
      <c r="P94" s="12" t="s">
        <v>1696</v>
      </c>
      <c r="Q94" s="12" t="s">
        <v>1696</v>
      </c>
      <c r="R94" s="12" t="s">
        <v>1696</v>
      </c>
      <c r="S94" s="12" t="s">
        <v>1696</v>
      </c>
      <c r="T94" s="12" t="s">
        <v>1696</v>
      </c>
      <c r="U94" s="12" t="s">
        <v>1696</v>
      </c>
      <c r="V94" s="12" t="s">
        <v>1696</v>
      </c>
      <c r="W94" s="12" t="s">
        <v>1696</v>
      </c>
      <c r="X94" s="12" t="s">
        <v>1696</v>
      </c>
      <c r="Y94" s="12" t="s">
        <v>1696</v>
      </c>
      <c r="Z94" s="12" t="s">
        <v>1696</v>
      </c>
      <c r="AA94" s="12" t="s">
        <v>1696</v>
      </c>
      <c r="AB94" s="12" t="s">
        <v>1696</v>
      </c>
      <c r="AE94" s="29">
        <v>0.20138888889050577</v>
      </c>
      <c r="AF94" s="30" t="s">
        <v>222</v>
      </c>
      <c r="AG94" s="33" t="s">
        <v>223</v>
      </c>
      <c r="AH94" s="33" t="str">
        <f>HYPERLINK("https://docs.google.com/document/d/1jQ1Oq7IYAKkafOHydGGQLYmkCHw1ud0uqub5wzV9okc/edit?usp=drivesdk","Ben Mowbray - 6/30/2018 4:50 AM")</f>
        <v>Ben Mowbray - 6/30/2018 4:50 AM</v>
      </c>
      <c r="AI94" s="30" t="s">
        <v>224</v>
      </c>
    </row>
    <row r="95">
      <c r="A95" s="26">
        <v>43282.1436383449</v>
      </c>
      <c r="B95" s="12" t="s">
        <v>1713</v>
      </c>
      <c r="C95" s="12" t="s">
        <v>1808</v>
      </c>
      <c r="D95" s="12" t="s">
        <v>1916</v>
      </c>
      <c r="E95" s="12" t="s">
        <v>1623</v>
      </c>
      <c r="F95" s="27">
        <v>43282.0</v>
      </c>
      <c r="G95" s="12" t="s">
        <v>1921</v>
      </c>
      <c r="H95" s="29">
        <v>0.33333333333575865</v>
      </c>
      <c r="I95" s="26">
        <v>43282.34375</v>
      </c>
      <c r="J95" s="12" t="s">
        <v>1704</v>
      </c>
      <c r="L95" s="12" t="s">
        <v>1788</v>
      </c>
      <c r="M95" s="12" t="s">
        <v>1824</v>
      </c>
      <c r="N95" s="12" t="s">
        <v>1922</v>
      </c>
      <c r="O95" s="12" t="s">
        <v>1826</v>
      </c>
      <c r="P95" s="12" t="s">
        <v>1696</v>
      </c>
      <c r="Q95" s="12" t="s">
        <v>1696</v>
      </c>
      <c r="S95" s="12" t="s">
        <v>1696</v>
      </c>
      <c r="T95" s="12" t="s">
        <v>1696</v>
      </c>
      <c r="U95" s="12" t="s">
        <v>1696</v>
      </c>
      <c r="V95" s="12" t="s">
        <v>1696</v>
      </c>
      <c r="W95" s="12" t="s">
        <v>1696</v>
      </c>
      <c r="X95" s="12" t="s">
        <v>1696</v>
      </c>
      <c r="Y95" s="12" t="s">
        <v>1696</v>
      </c>
      <c r="Z95" s="12" t="s">
        <v>1696</v>
      </c>
      <c r="AA95" s="12" t="s">
        <v>1696</v>
      </c>
      <c r="AB95" s="12" t="s">
        <v>1696</v>
      </c>
      <c r="AE95" s="29">
        <v>0.1875</v>
      </c>
      <c r="AF95" s="30" t="s">
        <v>226</v>
      </c>
      <c r="AG95" s="33" t="s">
        <v>227</v>
      </c>
      <c r="AH95" s="33" t="str">
        <f>HYPERLINK("https://docs.google.com/document/d/1XiMLRnysfffxhmnRhmieWEnwz45lXHcfCtEJfVr3uy4/edit?usp=drivesdk","Ben Mowbray - 7/1/2018 4:30 AM")</f>
        <v>Ben Mowbray - 7/1/2018 4:30 AM</v>
      </c>
      <c r="AI95" s="30" t="s">
        <v>228</v>
      </c>
    </row>
    <row r="96">
      <c r="A96" s="26">
        <v>43283.193795127314</v>
      </c>
      <c r="B96" s="12" t="s">
        <v>1713</v>
      </c>
      <c r="C96" s="12" t="s">
        <v>1808</v>
      </c>
      <c r="D96" s="12" t="s">
        <v>1916</v>
      </c>
      <c r="E96" s="12" t="s">
        <v>1623</v>
      </c>
      <c r="F96" s="27">
        <v>43283.0</v>
      </c>
      <c r="G96" s="12" t="s">
        <v>1923</v>
      </c>
      <c r="H96" s="29">
        <v>0.35416666666424135</v>
      </c>
      <c r="I96" s="26">
        <v>43283.375</v>
      </c>
      <c r="J96" s="12" t="s">
        <v>1704</v>
      </c>
      <c r="L96" s="12" t="s">
        <v>1788</v>
      </c>
      <c r="M96" s="12" t="s">
        <v>1816</v>
      </c>
      <c r="O96" s="12" t="s">
        <v>1826</v>
      </c>
      <c r="P96" s="12" t="s">
        <v>1696</v>
      </c>
      <c r="Q96" s="12" t="s">
        <v>1696</v>
      </c>
      <c r="R96" s="12" t="s">
        <v>1696</v>
      </c>
      <c r="S96" s="12" t="s">
        <v>1696</v>
      </c>
      <c r="T96" s="12" t="s">
        <v>1696</v>
      </c>
      <c r="U96" s="12" t="s">
        <v>1696</v>
      </c>
      <c r="V96" s="12" t="s">
        <v>1696</v>
      </c>
      <c r="W96" s="12" t="s">
        <v>1696</v>
      </c>
      <c r="X96" s="12" t="s">
        <v>1696</v>
      </c>
      <c r="Y96" s="12" t="s">
        <v>1696</v>
      </c>
      <c r="Z96" s="12" t="s">
        <v>1696</v>
      </c>
      <c r="AA96" s="12" t="s">
        <v>1696</v>
      </c>
      <c r="AB96" s="12" t="s">
        <v>1696</v>
      </c>
      <c r="AE96" s="29">
        <v>0.20833333333575865</v>
      </c>
      <c r="AF96" s="30" t="s">
        <v>229</v>
      </c>
      <c r="AG96" s="33" t="s">
        <v>230</v>
      </c>
      <c r="AH96" s="33" t="str">
        <f>HYPERLINK("https://docs.google.com/document/d/1qsBp188AIvYYa7bWDNtbtdNGEWYhVYQXnzAKQ6cwFU4/edit?usp=drivesdk","Ben Mowbray - 7/2/2018 5:00 AM")</f>
        <v>Ben Mowbray - 7/2/2018 5:00 AM</v>
      </c>
      <c r="AI96" s="30" t="s">
        <v>231</v>
      </c>
    </row>
    <row r="97">
      <c r="A97" s="26">
        <v>43283.53355059028</v>
      </c>
      <c r="B97" s="12" t="s">
        <v>1717</v>
      </c>
      <c r="C97" s="12" t="s">
        <v>1718</v>
      </c>
      <c r="D97" s="12" t="s">
        <v>1916</v>
      </c>
      <c r="E97" s="12" t="s">
        <v>1924</v>
      </c>
      <c r="F97" s="27">
        <v>43284.0</v>
      </c>
      <c r="G97" s="12" t="s">
        <v>1856</v>
      </c>
      <c r="H97" s="29">
        <v>0.6875</v>
      </c>
      <c r="I97" s="26">
        <v>43284.69791666667</v>
      </c>
      <c r="J97" s="12" t="s">
        <v>1704</v>
      </c>
      <c r="L97" s="12" t="s">
        <v>1720</v>
      </c>
      <c r="M97" s="12" t="s">
        <v>1781</v>
      </c>
      <c r="N97" s="12" t="s">
        <v>1925</v>
      </c>
      <c r="O97" s="12" t="s">
        <v>1717</v>
      </c>
      <c r="P97" s="12" t="s">
        <v>1696</v>
      </c>
      <c r="Q97" s="12" t="s">
        <v>1696</v>
      </c>
      <c r="R97" s="12" t="s">
        <v>1696</v>
      </c>
      <c r="S97" s="12" t="s">
        <v>1696</v>
      </c>
      <c r="T97" s="12" t="s">
        <v>1696</v>
      </c>
      <c r="U97" s="12" t="s">
        <v>1696</v>
      </c>
      <c r="V97" s="12" t="s">
        <v>1696</v>
      </c>
      <c r="W97" s="12" t="s">
        <v>1696</v>
      </c>
      <c r="X97" s="12" t="s">
        <v>1696</v>
      </c>
      <c r="Y97" s="12" t="s">
        <v>1696</v>
      </c>
      <c r="Z97" s="12" t="s">
        <v>1696</v>
      </c>
      <c r="AA97" s="12" t="s">
        <v>1696</v>
      </c>
      <c r="AB97" s="12" t="s">
        <v>1696</v>
      </c>
      <c r="AE97" s="29">
        <v>0.5</v>
      </c>
      <c r="AF97" s="30" t="s">
        <v>232</v>
      </c>
      <c r="AG97" s="33" t="s">
        <v>233</v>
      </c>
      <c r="AH97" s="33" t="str">
        <f>HYPERLINK("https://docs.google.com/document/d/1StEQUgg0DdG61MF8-4mfq09rrv9NLcT7qfqHE2eQsnQ/edit?usp=drivesdk","Silas Tanner - 7/3/2018 12:00 PM")</f>
        <v>Silas Tanner - 7/3/2018 12:00 PM</v>
      </c>
      <c r="AI97" s="30" t="s">
        <v>234</v>
      </c>
    </row>
    <row r="98">
      <c r="A98" s="26">
        <v>43284.19669226852</v>
      </c>
      <c r="B98" s="12" t="s">
        <v>1699</v>
      </c>
      <c r="C98" s="12" t="s">
        <v>1710</v>
      </c>
      <c r="D98" s="12" t="s">
        <v>1916</v>
      </c>
      <c r="E98" s="12" t="s">
        <v>1926</v>
      </c>
      <c r="F98" s="27">
        <v>43283.0</v>
      </c>
      <c r="G98" s="12" t="s">
        <v>1927</v>
      </c>
      <c r="H98" s="29">
        <v>0.5</v>
      </c>
      <c r="I98" s="26">
        <v>43283.54166666667</v>
      </c>
      <c r="J98" s="12" t="s">
        <v>1658</v>
      </c>
      <c r="L98" s="12" t="s">
        <v>1626</v>
      </c>
      <c r="M98" s="12" t="s">
        <v>1712</v>
      </c>
      <c r="N98" s="12" t="s">
        <v>1928</v>
      </c>
      <c r="O98" s="12" t="s">
        <v>1699</v>
      </c>
      <c r="P98" s="12" t="s">
        <v>1696</v>
      </c>
      <c r="Q98" s="12" t="s">
        <v>1696</v>
      </c>
      <c r="R98" s="12" t="s">
        <v>1696</v>
      </c>
      <c r="S98" s="12" t="s">
        <v>1696</v>
      </c>
      <c r="T98" s="12" t="s">
        <v>1696</v>
      </c>
      <c r="U98" s="12" t="s">
        <v>1696</v>
      </c>
      <c r="V98" s="12" t="s">
        <v>1696</v>
      </c>
      <c r="W98" s="12" t="s">
        <v>1696</v>
      </c>
      <c r="X98" s="12" t="s">
        <v>1696</v>
      </c>
      <c r="Y98" s="12" t="s">
        <v>1696</v>
      </c>
      <c r="Z98" s="12" t="s">
        <v>1696</v>
      </c>
      <c r="AA98" s="12" t="s">
        <v>1696</v>
      </c>
      <c r="AB98" s="12" t="s">
        <v>1696</v>
      </c>
      <c r="AE98" s="29">
        <v>0.25</v>
      </c>
      <c r="AF98" s="30" t="s">
        <v>235</v>
      </c>
      <c r="AG98" s="33" t="s">
        <v>236</v>
      </c>
      <c r="AH98" s="33" t="str">
        <f>HYPERLINK("https://docs.google.com/document/d/1fdR1XrqTv5cgCvbuRnVbbi9FDd6k8Mk-S0hm8LSStSE/edit?usp=drivesdk","Pamela Marcum - 7/2/2018 6:00 AM")</f>
        <v>Pamela Marcum - 7/2/2018 6:00 AM</v>
      </c>
      <c r="AI98" s="30" t="s">
        <v>237</v>
      </c>
    </row>
    <row r="99">
      <c r="A99" s="26">
        <v>43286.22271133102</v>
      </c>
      <c r="B99" s="12" t="s">
        <v>1713</v>
      </c>
      <c r="C99" s="12" t="s">
        <v>1808</v>
      </c>
      <c r="D99" s="12" t="s">
        <v>1916</v>
      </c>
      <c r="E99" s="12" t="s">
        <v>1623</v>
      </c>
      <c r="F99" s="27">
        <v>43286.0</v>
      </c>
      <c r="G99" s="12" t="s">
        <v>1929</v>
      </c>
      <c r="H99" s="29">
        <v>0.41666666666424135</v>
      </c>
      <c r="I99" s="26">
        <v>43286.4375</v>
      </c>
      <c r="J99" s="12" t="s">
        <v>1704</v>
      </c>
      <c r="L99" s="12" t="s">
        <v>1626</v>
      </c>
      <c r="M99" s="12" t="s">
        <v>1824</v>
      </c>
      <c r="N99" s="12" t="s">
        <v>1930</v>
      </c>
      <c r="O99" s="12" t="s">
        <v>1826</v>
      </c>
      <c r="P99" s="12" t="s">
        <v>1696</v>
      </c>
      <c r="Q99" s="12" t="s">
        <v>1696</v>
      </c>
      <c r="R99" s="12" t="s">
        <v>1696</v>
      </c>
      <c r="S99" s="12" t="s">
        <v>1696</v>
      </c>
      <c r="T99" s="12" t="s">
        <v>1696</v>
      </c>
      <c r="U99" s="12" t="s">
        <v>1696</v>
      </c>
      <c r="V99" s="12" t="s">
        <v>1696</v>
      </c>
      <c r="W99" s="12" t="s">
        <v>1696</v>
      </c>
      <c r="X99" s="12" t="s">
        <v>1696</v>
      </c>
      <c r="Y99" s="12" t="s">
        <v>1696</v>
      </c>
      <c r="Z99" s="12" t="s">
        <v>1696</v>
      </c>
      <c r="AA99" s="12" t="s">
        <v>1696</v>
      </c>
      <c r="AB99" s="12" t="s">
        <v>1696</v>
      </c>
      <c r="AE99" s="29">
        <v>0.25</v>
      </c>
      <c r="AF99" s="30" t="s">
        <v>238</v>
      </c>
      <c r="AG99" s="33" t="s">
        <v>239</v>
      </c>
      <c r="AH99" s="33" t="str">
        <f>HYPERLINK("https://docs.google.com/document/d/1B6fzv88D5-nJ8bnEEW7BlQPXBFnv4G5EWzrYGS9Jm9w/edit?usp=drivesdk","Ben Mowbray - 7/5/2018 6:00 AM")</f>
        <v>Ben Mowbray - 7/5/2018 6:00 AM</v>
      </c>
      <c r="AI99" s="30" t="s">
        <v>240</v>
      </c>
    </row>
    <row r="100">
      <c r="A100" s="26">
        <v>43286.40234230324</v>
      </c>
      <c r="B100" s="12" t="s">
        <v>1717</v>
      </c>
      <c r="C100" s="12" t="s">
        <v>1718</v>
      </c>
      <c r="D100" s="12" t="s">
        <v>1916</v>
      </c>
      <c r="E100" s="12" t="s">
        <v>1931</v>
      </c>
      <c r="F100" s="27">
        <v>43286.0</v>
      </c>
      <c r="G100" s="12" t="s">
        <v>1932</v>
      </c>
      <c r="H100" s="29">
        <v>0.6666666666642413</v>
      </c>
      <c r="I100" s="26">
        <v>43286.6875</v>
      </c>
      <c r="J100" s="12" t="s">
        <v>1658</v>
      </c>
      <c r="L100" s="12" t="s">
        <v>1720</v>
      </c>
      <c r="M100" s="12" t="s">
        <v>1933</v>
      </c>
      <c r="N100" s="12" t="s">
        <v>1934</v>
      </c>
      <c r="O100" s="12" t="s">
        <v>1717</v>
      </c>
      <c r="P100" s="12" t="s">
        <v>1696</v>
      </c>
      <c r="Q100" s="12" t="s">
        <v>1696</v>
      </c>
      <c r="R100" s="12" t="s">
        <v>1696</v>
      </c>
      <c r="S100" s="12" t="s">
        <v>1696</v>
      </c>
      <c r="T100" s="12" t="s">
        <v>1696</v>
      </c>
      <c r="U100" s="12" t="s">
        <v>1696</v>
      </c>
      <c r="V100" s="12" t="s">
        <v>1696</v>
      </c>
      <c r="W100" s="12" t="s">
        <v>1696</v>
      </c>
      <c r="X100" s="12" t="s">
        <v>1696</v>
      </c>
      <c r="Y100" s="12" t="s">
        <v>1696</v>
      </c>
      <c r="Z100" s="12" t="s">
        <v>1696</v>
      </c>
      <c r="AA100" s="12" t="s">
        <v>1696</v>
      </c>
      <c r="AB100" s="12" t="s">
        <v>1696</v>
      </c>
      <c r="AE100" s="29">
        <v>0.5</v>
      </c>
      <c r="AF100" s="30" t="s">
        <v>241</v>
      </c>
      <c r="AG100" s="33" t="s">
        <v>242</v>
      </c>
      <c r="AH100" s="33" t="str">
        <f>HYPERLINK("https://docs.google.com/document/d/1g5f9yPdc6uaO_l9y9K3YLZPe5ak-o0BxRUX5eZ2dmP0/edit?usp=drivesdk","Silas Tanner - 7/5/2018 12:00 PM")</f>
        <v>Silas Tanner - 7/5/2018 12:00 PM</v>
      </c>
      <c r="AI100" s="30" t="s">
        <v>243</v>
      </c>
    </row>
    <row r="101">
      <c r="A101" s="26">
        <v>43287.480081747686</v>
      </c>
      <c r="B101" s="12" t="s">
        <v>1713</v>
      </c>
      <c r="C101" s="12" t="s">
        <v>1935</v>
      </c>
      <c r="D101" s="12" t="s">
        <v>1916</v>
      </c>
      <c r="E101" s="12" t="s">
        <v>1936</v>
      </c>
      <c r="F101" s="27">
        <v>43290.0</v>
      </c>
      <c r="G101" s="12" t="s">
        <v>1937</v>
      </c>
      <c r="H101" s="29">
        <v>0.5625</v>
      </c>
      <c r="I101" s="26">
        <v>43290.09027777778</v>
      </c>
      <c r="J101" s="12" t="s">
        <v>1704</v>
      </c>
      <c r="L101" s="12" t="s">
        <v>1938</v>
      </c>
      <c r="M101" s="12" t="s">
        <v>1824</v>
      </c>
      <c r="N101" s="12" t="s">
        <v>1939</v>
      </c>
      <c r="O101" s="12" t="s">
        <v>1826</v>
      </c>
      <c r="P101" s="12" t="s">
        <v>1696</v>
      </c>
      <c r="Q101" s="12" t="s">
        <v>1696</v>
      </c>
      <c r="R101" s="12" t="s">
        <v>1696</v>
      </c>
      <c r="S101" s="12" t="s">
        <v>1696</v>
      </c>
      <c r="T101" s="12" t="s">
        <v>1696</v>
      </c>
      <c r="U101" s="12" t="s">
        <v>1696</v>
      </c>
      <c r="V101" s="12" t="s">
        <v>1696</v>
      </c>
      <c r="W101" s="12" t="s">
        <v>1696</v>
      </c>
      <c r="X101" s="12" t="s">
        <v>1696</v>
      </c>
      <c r="Y101" s="12" t="s">
        <v>1696</v>
      </c>
      <c r="Z101" s="12" t="s">
        <v>1696</v>
      </c>
      <c r="AA101" s="12" t="s">
        <v>1696</v>
      </c>
      <c r="AB101" s="12" t="s">
        <v>1696</v>
      </c>
      <c r="AE101" s="29">
        <v>0.45138888889050577</v>
      </c>
      <c r="AF101" s="30" t="s">
        <v>244</v>
      </c>
      <c r="AG101" s="33" t="s">
        <v>245</v>
      </c>
      <c r="AH101" s="33" t="str">
        <f>HYPERLINK("https://docs.google.com/document/d/1FGSJu50WpKVPQMMjfQsJgZFm6YVlPd9AmbZ7l5n8PbY/edit?usp=drivesdk","Ben Mowbray - 7/9/2018 10:50 AM")</f>
        <v>Ben Mowbray - 7/9/2018 10:50 AM</v>
      </c>
      <c r="AI101" s="30" t="s">
        <v>246</v>
      </c>
    </row>
    <row r="102">
      <c r="A102" s="26">
        <v>43291.377819918984</v>
      </c>
      <c r="B102" s="12" t="s">
        <v>1726</v>
      </c>
      <c r="C102" s="12" t="s">
        <v>1727</v>
      </c>
      <c r="D102" s="12" t="s">
        <v>1728</v>
      </c>
      <c r="E102" s="12" t="s">
        <v>1731</v>
      </c>
      <c r="F102" s="27">
        <v>43291.0</v>
      </c>
      <c r="G102" s="12" t="s">
        <v>1732</v>
      </c>
      <c r="H102" s="29">
        <v>0.5416666666642413</v>
      </c>
      <c r="J102" s="12" t="s">
        <v>1693</v>
      </c>
      <c r="L102" s="12" t="s">
        <v>1720</v>
      </c>
      <c r="M102" s="12" t="s">
        <v>1940</v>
      </c>
      <c r="N102" s="12" t="s">
        <v>1941</v>
      </c>
      <c r="O102" s="12" t="s">
        <v>1735</v>
      </c>
      <c r="P102" s="12" t="s">
        <v>1696</v>
      </c>
      <c r="Q102" s="12" t="s">
        <v>1696</v>
      </c>
      <c r="R102" s="12" t="s">
        <v>1696</v>
      </c>
      <c r="S102" s="12" t="s">
        <v>1696</v>
      </c>
      <c r="T102" s="12" t="s">
        <v>1696</v>
      </c>
      <c r="U102" s="12" t="s">
        <v>1696</v>
      </c>
      <c r="V102" s="12" t="s">
        <v>1696</v>
      </c>
      <c r="W102" s="12" t="s">
        <v>1696</v>
      </c>
      <c r="X102" s="12" t="s">
        <v>1696</v>
      </c>
      <c r="Y102" s="12" t="s">
        <v>1696</v>
      </c>
      <c r="Z102" s="12" t="s">
        <v>1696</v>
      </c>
      <c r="AA102" s="12" t="s">
        <v>1696</v>
      </c>
      <c r="AB102" s="12" t="s">
        <v>1696</v>
      </c>
      <c r="AE102" s="29">
        <v>0.39583333333575865</v>
      </c>
      <c r="AF102" s="30" t="s">
        <v>247</v>
      </c>
      <c r="AG102" s="33" t="s">
        <v>248</v>
      </c>
      <c r="AH102" s="33" t="str">
        <f>HYPERLINK("https://docs.google.com/document/d/1acVIuNRHP6o9EhpjLyK7BPUBmQo2wAa7dSOlClJFeIA/edit?usp=drivesdk","James Tomazinis - 7/10/2018 9:30 AM")</f>
        <v>James Tomazinis - 7/10/2018 9:30 AM</v>
      </c>
      <c r="AI102" s="30" t="s">
        <v>249</v>
      </c>
    </row>
    <row r="103">
      <c r="A103" s="26">
        <v>43291.37799818287</v>
      </c>
      <c r="B103" s="12" t="s">
        <v>1699</v>
      </c>
      <c r="C103" s="12" t="s">
        <v>1710</v>
      </c>
      <c r="D103" s="12" t="s">
        <v>1916</v>
      </c>
      <c r="E103" s="12" t="s">
        <v>1942</v>
      </c>
      <c r="F103" s="27">
        <v>43291.0</v>
      </c>
      <c r="G103" s="12" t="s">
        <v>1943</v>
      </c>
      <c r="H103" s="29">
        <v>0.625</v>
      </c>
      <c r="I103" s="26">
        <v>43291.64583333333</v>
      </c>
      <c r="J103" s="12" t="s">
        <v>1704</v>
      </c>
      <c r="L103" s="12" t="s">
        <v>1626</v>
      </c>
      <c r="M103" s="12" t="s">
        <v>1706</v>
      </c>
      <c r="N103" s="12" t="s">
        <v>1944</v>
      </c>
      <c r="O103" s="12" t="s">
        <v>1699</v>
      </c>
      <c r="P103" s="12" t="s">
        <v>1696</v>
      </c>
      <c r="Q103" s="12" t="s">
        <v>1696</v>
      </c>
      <c r="R103" s="12" t="s">
        <v>1696</v>
      </c>
      <c r="S103" s="12" t="s">
        <v>1696</v>
      </c>
      <c r="T103" s="12" t="s">
        <v>1696</v>
      </c>
      <c r="U103" s="12" t="s">
        <v>1696</v>
      </c>
      <c r="V103" s="12" t="s">
        <v>1696</v>
      </c>
      <c r="W103" s="12" t="s">
        <v>1696</v>
      </c>
      <c r="X103" s="12" t="s">
        <v>1696</v>
      </c>
      <c r="Y103" s="12" t="s">
        <v>1696</v>
      </c>
      <c r="Z103" s="12" t="s">
        <v>1696</v>
      </c>
      <c r="AA103" s="12" t="s">
        <v>1696</v>
      </c>
      <c r="AB103" s="12" t="s">
        <v>1696</v>
      </c>
      <c r="AE103" s="29">
        <v>0.375</v>
      </c>
      <c r="AF103" s="30" t="s">
        <v>250</v>
      </c>
      <c r="AG103" s="33" t="s">
        <v>251</v>
      </c>
      <c r="AH103" s="33" t="str">
        <f>HYPERLINK("https://docs.google.com/document/d/1wU-ztvrplHNJ3Wq6k-7vP1L8aMRqh_hvA2p-U5wWUF0/edit?usp=drivesdk","Pamela Marcum - 7/10/2018 9:00 AM")</f>
        <v>Pamela Marcum - 7/10/2018 9:00 AM</v>
      </c>
      <c r="AI103" s="30" t="s">
        <v>252</v>
      </c>
    </row>
    <row r="104">
      <c r="A104" s="26">
        <v>43291.80791991898</v>
      </c>
      <c r="B104" s="12" t="s">
        <v>1726</v>
      </c>
      <c r="C104" s="12" t="s">
        <v>1727</v>
      </c>
      <c r="D104" s="12" t="s">
        <v>1728</v>
      </c>
      <c r="E104" s="12" t="s">
        <v>1945</v>
      </c>
      <c r="F104" s="27">
        <v>43292.0</v>
      </c>
      <c r="G104" s="12" t="s">
        <v>1746</v>
      </c>
      <c r="H104" s="29">
        <v>0.41666666666424135</v>
      </c>
      <c r="J104" s="12" t="s">
        <v>1730</v>
      </c>
      <c r="L104" s="12" t="s">
        <v>1720</v>
      </c>
      <c r="M104" s="12" t="s">
        <v>1940</v>
      </c>
      <c r="N104" s="12" t="s">
        <v>1832</v>
      </c>
      <c r="O104" s="12" t="s">
        <v>1735</v>
      </c>
      <c r="P104" s="12" t="s">
        <v>1696</v>
      </c>
      <c r="Q104" s="12" t="s">
        <v>1696</v>
      </c>
      <c r="AE104" s="29">
        <v>0.34722222221898846</v>
      </c>
      <c r="AF104" s="30" t="s">
        <v>253</v>
      </c>
      <c r="AG104" s="33" t="s">
        <v>254</v>
      </c>
      <c r="AH104" s="33" t="str">
        <f>HYPERLINK("https://docs.google.com/document/d/1cWHC30uCG8clysPvFjcXE45CuDzXqmgLp_YEJ8TY14o/edit?usp=drivesdk","James Tomazinis - 7/11/2018 8:20 AM")</f>
        <v>James Tomazinis - 7/11/2018 8:20 AM</v>
      </c>
      <c r="AI104" s="30" t="s">
        <v>255</v>
      </c>
    </row>
    <row r="105">
      <c r="A105" s="26">
        <v>43292.61180375</v>
      </c>
      <c r="B105" s="12" t="s">
        <v>1620</v>
      </c>
      <c r="C105" s="12" t="s">
        <v>1635</v>
      </c>
      <c r="D105" s="12" t="s">
        <v>1630</v>
      </c>
      <c r="E105" s="12" t="s">
        <v>1946</v>
      </c>
      <c r="F105" s="27">
        <v>43293.0</v>
      </c>
      <c r="G105" s="12" t="s">
        <v>1947</v>
      </c>
      <c r="H105" s="29">
        <v>0.5416666666642413</v>
      </c>
      <c r="I105" s="26">
        <v>43293.5625</v>
      </c>
      <c r="J105" s="12" t="s">
        <v>1704</v>
      </c>
      <c r="L105" s="12" t="s">
        <v>1626</v>
      </c>
      <c r="M105" s="12" t="s">
        <v>1640</v>
      </c>
      <c r="N105" s="12" t="s">
        <v>1948</v>
      </c>
      <c r="O105" s="12" t="s">
        <v>1620</v>
      </c>
      <c r="P105" s="12" t="s">
        <v>1696</v>
      </c>
      <c r="Q105" s="12" t="s">
        <v>1696</v>
      </c>
      <c r="R105" s="12" t="s">
        <v>1696</v>
      </c>
      <c r="S105" s="12" t="s">
        <v>1696</v>
      </c>
      <c r="T105" s="12" t="s">
        <v>1696</v>
      </c>
      <c r="U105" s="12" t="s">
        <v>1696</v>
      </c>
      <c r="V105" s="12" t="s">
        <v>1696</v>
      </c>
      <c r="W105" s="12" t="s">
        <v>1696</v>
      </c>
      <c r="X105" s="12" t="s">
        <v>1696</v>
      </c>
      <c r="Y105" s="12" t="s">
        <v>1696</v>
      </c>
      <c r="Z105" s="12" t="s">
        <v>1696</v>
      </c>
      <c r="AA105" s="12" t="s">
        <v>1696</v>
      </c>
      <c r="AB105" s="12" t="s">
        <v>1696</v>
      </c>
      <c r="AC105" s="12" t="s">
        <v>1949</v>
      </c>
      <c r="AD105" s="12" t="s">
        <v>1950</v>
      </c>
      <c r="AE105" s="29">
        <v>0.39583333333575865</v>
      </c>
      <c r="AF105" s="30" t="s">
        <v>256</v>
      </c>
      <c r="AG105" s="33" t="s">
        <v>257</v>
      </c>
      <c r="AH105" s="33" t="str">
        <f>HYPERLINK("https://docs.google.com/document/d/15JSaSCbxrJwu6kwkLTnDA9-lYy2XQUHFjS2JiRUKLGM/edit?usp=drivesdk","Kenneth Rainer - 7/12/2018 9:30 AM")</f>
        <v>Kenneth Rainer - 7/12/2018 9:30 AM</v>
      </c>
      <c r="AI105" s="30" t="s">
        <v>258</v>
      </c>
    </row>
    <row r="106">
      <c r="A106" s="26">
        <v>43293.3781090625</v>
      </c>
      <c r="B106" s="12" t="s">
        <v>1797</v>
      </c>
      <c r="C106" s="12" t="s">
        <v>1798</v>
      </c>
      <c r="D106" s="12" t="s">
        <v>1916</v>
      </c>
      <c r="E106" s="12" t="s">
        <v>1799</v>
      </c>
      <c r="F106" s="27">
        <v>43293.0</v>
      </c>
      <c r="G106" s="12" t="s">
        <v>1951</v>
      </c>
      <c r="H106" s="29">
        <v>0.5625</v>
      </c>
      <c r="I106" s="26">
        <v>43293.625</v>
      </c>
      <c r="J106" s="12" t="s">
        <v>1658</v>
      </c>
      <c r="L106" s="12" t="s">
        <v>1720</v>
      </c>
      <c r="M106" s="12" t="s">
        <v>1952</v>
      </c>
      <c r="N106" s="12" t="s">
        <v>1953</v>
      </c>
      <c r="O106" s="12" t="s">
        <v>1797</v>
      </c>
      <c r="P106" s="12" t="s">
        <v>1696</v>
      </c>
      <c r="Q106" s="12" t="s">
        <v>1696</v>
      </c>
      <c r="R106" s="12" t="s">
        <v>1696</v>
      </c>
      <c r="S106" s="12" t="s">
        <v>1696</v>
      </c>
      <c r="T106" s="12" t="s">
        <v>1696</v>
      </c>
      <c r="U106" s="12" t="s">
        <v>1696</v>
      </c>
      <c r="V106" s="12" t="s">
        <v>1696</v>
      </c>
      <c r="W106" s="12" t="s">
        <v>1696</v>
      </c>
      <c r="X106" s="12" t="s">
        <v>1696</v>
      </c>
      <c r="Y106" s="12" t="s">
        <v>1696</v>
      </c>
      <c r="Z106" s="12" t="s">
        <v>1696</v>
      </c>
      <c r="AA106" s="12" t="s">
        <v>1696</v>
      </c>
      <c r="AB106" s="12" t="s">
        <v>1696</v>
      </c>
      <c r="AE106" s="29">
        <v>0.45833333333575865</v>
      </c>
      <c r="AF106" s="30" t="s">
        <v>259</v>
      </c>
      <c r="AG106" s="33" t="s">
        <v>260</v>
      </c>
      <c r="AH106" s="33" t="str">
        <f>HYPERLINK("https://docs.google.com/document/d/1Gyx9ROaTKWuy-76rkui4kE2dTnRUDtMTJAqKpXUVmj4/edit?usp=drivesdk","Shannon Dunnigan - 7/12/2018 11:00 AM")</f>
        <v>Shannon Dunnigan - 7/12/2018 11:00 AM</v>
      </c>
      <c r="AI106" s="30" t="s">
        <v>261</v>
      </c>
    </row>
    <row r="107">
      <c r="A107" s="26">
        <v>43298.60367862269</v>
      </c>
      <c r="B107" s="12" t="s">
        <v>1713</v>
      </c>
      <c r="C107" s="12" t="s">
        <v>1808</v>
      </c>
      <c r="D107" s="12" t="s">
        <v>1622</v>
      </c>
      <c r="E107" s="12" t="s">
        <v>1623</v>
      </c>
      <c r="F107" s="27">
        <v>43299.0</v>
      </c>
      <c r="G107" s="12" t="s">
        <v>1954</v>
      </c>
      <c r="H107" s="29">
        <v>0.47916666666424135</v>
      </c>
      <c r="I107" s="26">
        <v>43299.5</v>
      </c>
      <c r="J107" s="12" t="s">
        <v>1704</v>
      </c>
      <c r="L107" s="12" t="s">
        <v>1720</v>
      </c>
      <c r="M107" s="12" t="s">
        <v>1824</v>
      </c>
      <c r="N107" s="12" t="s">
        <v>1955</v>
      </c>
      <c r="O107" s="12" t="s">
        <v>1826</v>
      </c>
      <c r="P107" s="12" t="s">
        <v>1696</v>
      </c>
      <c r="Q107" s="12" t="s">
        <v>1696</v>
      </c>
      <c r="R107" s="12" t="s">
        <v>1696</v>
      </c>
      <c r="S107" s="12" t="s">
        <v>1696</v>
      </c>
      <c r="T107" s="12" t="s">
        <v>1696</v>
      </c>
      <c r="U107" s="12" t="s">
        <v>1696</v>
      </c>
      <c r="V107" s="12" t="s">
        <v>1696</v>
      </c>
      <c r="W107" s="12" t="s">
        <v>1696</v>
      </c>
      <c r="X107" s="12" t="s">
        <v>1696</v>
      </c>
      <c r="Y107" s="12" t="s">
        <v>1696</v>
      </c>
      <c r="Z107" s="12" t="s">
        <v>1696</v>
      </c>
      <c r="AA107" s="12" t="s">
        <v>1696</v>
      </c>
      <c r="AB107" s="12" t="s">
        <v>1696</v>
      </c>
      <c r="AE107" s="29">
        <v>0.26041666666424135</v>
      </c>
      <c r="AF107" s="30" t="s">
        <v>263</v>
      </c>
      <c r="AG107" s="33" t="s">
        <v>264</v>
      </c>
      <c r="AH107" s="33" t="str">
        <f>HYPERLINK("https://docs.google.com/document/d/1B2B_zzU6VYd5JQ-56maF2bnECN2oN8ZVlQhWEyzl5pg/edit?usp=drivesdk","Ben Mowbray - 7/18/2018 6:15 AM")</f>
        <v>Ben Mowbray - 7/18/2018 6:15 AM</v>
      </c>
      <c r="AI107" s="30" t="s">
        <v>265</v>
      </c>
    </row>
    <row r="108">
      <c r="A108" s="26">
        <v>43300.22954489583</v>
      </c>
      <c r="B108" s="12" t="s">
        <v>1713</v>
      </c>
      <c r="C108" s="12" t="s">
        <v>1808</v>
      </c>
      <c r="D108" s="12" t="s">
        <v>1916</v>
      </c>
      <c r="E108" s="12" t="s">
        <v>1623</v>
      </c>
      <c r="F108" s="27">
        <v>43300.0</v>
      </c>
      <c r="G108" s="12" t="s">
        <v>1956</v>
      </c>
      <c r="H108" s="29">
        <v>0.5</v>
      </c>
      <c r="I108" s="26">
        <v>43300.524305555555</v>
      </c>
      <c r="J108" s="12" t="s">
        <v>1704</v>
      </c>
      <c r="L108" s="12" t="s">
        <v>1720</v>
      </c>
      <c r="M108" s="12" t="s">
        <v>1824</v>
      </c>
      <c r="N108" s="12" t="s">
        <v>1957</v>
      </c>
      <c r="O108" s="12" t="s">
        <v>1826</v>
      </c>
      <c r="P108" s="12" t="s">
        <v>1696</v>
      </c>
      <c r="Q108" s="12" t="s">
        <v>1696</v>
      </c>
      <c r="R108" s="12" t="s">
        <v>1696</v>
      </c>
      <c r="S108" s="12" t="s">
        <v>1696</v>
      </c>
      <c r="T108" s="12" t="s">
        <v>1696</v>
      </c>
      <c r="U108" s="12" t="s">
        <v>1696</v>
      </c>
      <c r="V108" s="12" t="s">
        <v>1696</v>
      </c>
      <c r="W108" s="12" t="s">
        <v>1696</v>
      </c>
      <c r="X108" s="12" t="s">
        <v>1696</v>
      </c>
      <c r="Y108" s="12" t="s">
        <v>1696</v>
      </c>
      <c r="Z108" s="12" t="s">
        <v>1696</v>
      </c>
      <c r="AA108" s="12" t="s">
        <v>1696</v>
      </c>
      <c r="AB108" s="12" t="s">
        <v>1696</v>
      </c>
      <c r="AE108" s="29">
        <v>0.25</v>
      </c>
      <c r="AF108" s="30" t="s">
        <v>266</v>
      </c>
      <c r="AG108" s="33" t="s">
        <v>267</v>
      </c>
      <c r="AH108" s="33" t="str">
        <f>HYPERLINK("https://docs.google.com/document/d/1_Jz1cLc_0eyZ6COebIUYyR_BuSj6Ej0LPmwxx-PUG2s/edit?usp=drivesdk","Ben Mowbray - 7/19/2018 6:00 AM")</f>
        <v>Ben Mowbray - 7/19/2018 6:00 AM</v>
      </c>
      <c r="AI108" s="30" t="s">
        <v>268</v>
      </c>
    </row>
    <row r="109">
      <c r="A109" s="26">
        <v>43305.341144351856</v>
      </c>
      <c r="B109" s="12" t="s">
        <v>1717</v>
      </c>
      <c r="C109" s="12" t="s">
        <v>1718</v>
      </c>
      <c r="D109" s="12" t="s">
        <v>1958</v>
      </c>
      <c r="E109" s="12" t="s">
        <v>1791</v>
      </c>
      <c r="F109" s="27">
        <v>43305.0</v>
      </c>
      <c r="G109" s="12" t="s">
        <v>1792</v>
      </c>
      <c r="H109" s="29">
        <v>0.5833333333357587</v>
      </c>
      <c r="I109" s="26">
        <v>43305.60416666667</v>
      </c>
      <c r="J109" s="12" t="s">
        <v>1704</v>
      </c>
      <c r="L109" s="12" t="s">
        <v>1720</v>
      </c>
      <c r="M109" s="12" t="s">
        <v>1959</v>
      </c>
      <c r="N109" s="12" t="s">
        <v>1960</v>
      </c>
      <c r="O109" s="12" t="s">
        <v>1717</v>
      </c>
      <c r="P109" s="12" t="s">
        <v>1696</v>
      </c>
      <c r="Q109" s="12" t="s">
        <v>1696</v>
      </c>
      <c r="R109" s="12" t="s">
        <v>1696</v>
      </c>
      <c r="S109" s="12" t="s">
        <v>1696</v>
      </c>
      <c r="T109" s="12" t="s">
        <v>1696</v>
      </c>
      <c r="U109" s="12" t="s">
        <v>1696</v>
      </c>
      <c r="V109" s="12" t="s">
        <v>1696</v>
      </c>
      <c r="W109" s="12" t="s">
        <v>1696</v>
      </c>
      <c r="X109" s="12" t="s">
        <v>1696</v>
      </c>
      <c r="Y109" s="12" t="s">
        <v>1696</v>
      </c>
      <c r="Z109" s="12" t="s">
        <v>1696</v>
      </c>
      <c r="AA109" s="12" t="s">
        <v>1696</v>
      </c>
      <c r="AB109" s="12" t="s">
        <v>1696</v>
      </c>
      <c r="AE109" s="29">
        <v>0.35416666666424135</v>
      </c>
      <c r="AF109" s="30" t="s">
        <v>270</v>
      </c>
      <c r="AG109" s="33" t="s">
        <v>271</v>
      </c>
      <c r="AH109" s="33" t="str">
        <f>HYPERLINK("https://docs.google.com/document/d/1hYRN2pBVHw4Yusqyy9lepzKzhEppwr8z0-qaMhE2DYQ/edit?usp=drivesdk","Silas Tanner - 7/24/2018 8:30 AM")</f>
        <v>Silas Tanner - 7/24/2018 8:30 AM</v>
      </c>
      <c r="AI109" s="30" t="s">
        <v>272</v>
      </c>
    </row>
    <row r="110">
      <c r="A110" s="26">
        <v>43306.43940065972</v>
      </c>
      <c r="B110" s="12" t="s">
        <v>1699</v>
      </c>
      <c r="C110" s="12" t="s">
        <v>1710</v>
      </c>
      <c r="D110" s="12" t="s">
        <v>1916</v>
      </c>
      <c r="E110" s="12" t="s">
        <v>1836</v>
      </c>
      <c r="F110" s="27">
        <v>43306.0</v>
      </c>
      <c r="G110" s="12" t="s">
        <v>1773</v>
      </c>
      <c r="H110" s="29">
        <v>0.5416666666642413</v>
      </c>
      <c r="I110" s="26">
        <v>43306.5625</v>
      </c>
      <c r="J110" s="12" t="s">
        <v>1658</v>
      </c>
      <c r="L110" s="12" t="s">
        <v>1626</v>
      </c>
      <c r="M110" s="12" t="s">
        <v>1816</v>
      </c>
      <c r="O110" s="12" t="s">
        <v>1699</v>
      </c>
      <c r="P110" s="12" t="s">
        <v>1696</v>
      </c>
      <c r="Q110" s="12" t="s">
        <v>1696</v>
      </c>
      <c r="R110" s="12" t="s">
        <v>1696</v>
      </c>
      <c r="S110" s="12" t="s">
        <v>1696</v>
      </c>
      <c r="T110" s="12" t="s">
        <v>1696</v>
      </c>
      <c r="U110" s="12" t="s">
        <v>1696</v>
      </c>
      <c r="V110" s="12" t="s">
        <v>1696</v>
      </c>
      <c r="W110" s="12" t="s">
        <v>1696</v>
      </c>
      <c r="X110" s="12" t="s">
        <v>1696</v>
      </c>
      <c r="Y110" s="12" t="s">
        <v>1696</v>
      </c>
      <c r="Z110" s="12" t="s">
        <v>1696</v>
      </c>
      <c r="AA110" s="12" t="s">
        <v>1696</v>
      </c>
      <c r="AB110" s="12" t="s">
        <v>1696</v>
      </c>
      <c r="AE110" s="29">
        <v>0.45833333333575865</v>
      </c>
      <c r="AF110" s="30" t="s">
        <v>273</v>
      </c>
      <c r="AG110" s="33" t="s">
        <v>274</v>
      </c>
      <c r="AH110" s="33" t="str">
        <f>HYPERLINK("https://docs.google.com/document/d/1Yf58Vo3igrV_L3FTGJfaglDeuNiDkG2mScsf6Af2oGg/edit?usp=drivesdk","Pamela Marcum - 7/25/2018 11:00 AM")</f>
        <v>Pamela Marcum - 7/25/2018 11:00 AM</v>
      </c>
      <c r="AI110" s="30" t="s">
        <v>275</v>
      </c>
    </row>
    <row r="111">
      <c r="A111" s="26">
        <v>43306.58174553241</v>
      </c>
      <c r="B111" s="12" t="s">
        <v>1717</v>
      </c>
      <c r="C111" s="12" t="s">
        <v>1718</v>
      </c>
      <c r="D111" s="12" t="s">
        <v>1958</v>
      </c>
      <c r="E111" s="12" t="s">
        <v>1757</v>
      </c>
      <c r="F111" s="27">
        <v>43308.0</v>
      </c>
      <c r="G111" s="12" t="s">
        <v>1883</v>
      </c>
      <c r="H111" s="29">
        <v>0.6458333333357587</v>
      </c>
      <c r="I111" s="26">
        <v>43308.6875</v>
      </c>
      <c r="J111" s="12" t="s">
        <v>1704</v>
      </c>
      <c r="L111" s="12" t="s">
        <v>1720</v>
      </c>
      <c r="M111" s="12" t="s">
        <v>1918</v>
      </c>
      <c r="N111" s="12" t="s">
        <v>1961</v>
      </c>
      <c r="O111" s="12" t="s">
        <v>1717</v>
      </c>
      <c r="P111" s="12" t="s">
        <v>1696</v>
      </c>
      <c r="Q111" s="12" t="s">
        <v>1696</v>
      </c>
      <c r="R111" s="12" t="s">
        <v>1696</v>
      </c>
      <c r="S111" s="12" t="s">
        <v>1696</v>
      </c>
      <c r="T111" s="12" t="s">
        <v>1696</v>
      </c>
      <c r="U111" s="12" t="s">
        <v>1696</v>
      </c>
      <c r="V111" s="12" t="s">
        <v>1696</v>
      </c>
      <c r="W111" s="12" t="s">
        <v>1696</v>
      </c>
      <c r="X111" s="12" t="s">
        <v>1696</v>
      </c>
      <c r="Y111" s="12" t="s">
        <v>1696</v>
      </c>
      <c r="Z111" s="12" t="s">
        <v>1696</v>
      </c>
      <c r="AA111" s="12" t="s">
        <v>1696</v>
      </c>
      <c r="AB111" s="12" t="s">
        <v>1696</v>
      </c>
      <c r="AE111" s="29">
        <v>0.47916666666424135</v>
      </c>
      <c r="AF111" s="30" t="s">
        <v>276</v>
      </c>
      <c r="AG111" s="33" t="s">
        <v>277</v>
      </c>
      <c r="AH111" s="33" t="str">
        <f>HYPERLINK("https://docs.google.com/document/d/1BaYGUmqVMqP7K6yogEN7JA9Puier9G8taRo2F6LjQ64/edit?usp=drivesdk","Silas Tanner - 7/27/2018 11:30 AM")</f>
        <v>Silas Tanner - 7/27/2018 11:30 AM</v>
      </c>
      <c r="AI111" s="30" t="s">
        <v>278</v>
      </c>
    </row>
    <row r="112">
      <c r="A112" s="26">
        <v>43307.37699064815</v>
      </c>
      <c r="B112" s="12" t="s">
        <v>1699</v>
      </c>
      <c r="C112" s="12" t="s">
        <v>1710</v>
      </c>
      <c r="D112" s="12" t="s">
        <v>1916</v>
      </c>
      <c r="E112" s="12" t="s">
        <v>1623</v>
      </c>
      <c r="F112" s="27">
        <v>43307.0</v>
      </c>
      <c r="G112" s="12" t="s">
        <v>1962</v>
      </c>
      <c r="H112" s="29">
        <v>0.5</v>
      </c>
      <c r="I112" s="26">
        <v>43307.52083333333</v>
      </c>
      <c r="J112" s="12" t="s">
        <v>1658</v>
      </c>
      <c r="L112" s="12" t="s">
        <v>1626</v>
      </c>
      <c r="M112" s="12" t="s">
        <v>1706</v>
      </c>
      <c r="N112" s="12" t="s">
        <v>1963</v>
      </c>
      <c r="O112" s="12" t="s">
        <v>1699</v>
      </c>
      <c r="P112" s="12" t="s">
        <v>1696</v>
      </c>
      <c r="Q112" s="12" t="s">
        <v>1696</v>
      </c>
      <c r="R112" s="12" t="s">
        <v>1696</v>
      </c>
      <c r="S112" s="12" t="s">
        <v>1696</v>
      </c>
      <c r="T112" s="12" t="s">
        <v>1696</v>
      </c>
      <c r="U112" s="12" t="s">
        <v>1696</v>
      </c>
      <c r="V112" s="12" t="s">
        <v>1696</v>
      </c>
      <c r="W112" s="12" t="s">
        <v>1696</v>
      </c>
      <c r="X112" s="12" t="s">
        <v>1696</v>
      </c>
      <c r="Y112" s="12" t="s">
        <v>1696</v>
      </c>
      <c r="Z112" s="12" t="s">
        <v>1696</v>
      </c>
      <c r="AA112" s="12" t="s">
        <v>1696</v>
      </c>
      <c r="AB112" s="12" t="s">
        <v>1696</v>
      </c>
      <c r="AE112" s="29">
        <v>0.39583333333575865</v>
      </c>
      <c r="AF112" s="30" t="s">
        <v>279</v>
      </c>
      <c r="AG112" s="33" t="s">
        <v>280</v>
      </c>
      <c r="AH112" s="33" t="str">
        <f>HYPERLINK("https://docs.google.com/document/d/1tlC1SwEUPLpFXpij-oCM2rMilZlFExtd_0xZd7qUeZM/edit?usp=drivesdk","Pamela Marcum - 7/26/2018 9:30 AM")</f>
        <v>Pamela Marcum - 7/26/2018 9:30 AM</v>
      </c>
      <c r="AI112" s="30" t="s">
        <v>281</v>
      </c>
    </row>
    <row r="113">
      <c r="A113" s="26">
        <v>43307.49824854167</v>
      </c>
      <c r="B113" s="12" t="s">
        <v>1699</v>
      </c>
      <c r="C113" s="12" t="s">
        <v>1700</v>
      </c>
      <c r="D113" s="12" t="s">
        <v>1916</v>
      </c>
      <c r="E113" s="12" t="s">
        <v>1964</v>
      </c>
      <c r="F113" s="27">
        <v>43306.0</v>
      </c>
      <c r="G113" s="12" t="s">
        <v>1965</v>
      </c>
      <c r="H113" s="29">
        <v>0.625</v>
      </c>
      <c r="I113" s="26">
        <v>43306.75</v>
      </c>
      <c r="J113" s="12" t="s">
        <v>1658</v>
      </c>
      <c r="L113" s="12" t="s">
        <v>1626</v>
      </c>
      <c r="M113" s="12" t="s">
        <v>1816</v>
      </c>
      <c r="O113" s="12" t="s">
        <v>1699</v>
      </c>
      <c r="P113" s="12" t="s">
        <v>1696</v>
      </c>
      <c r="Q113" s="12" t="s">
        <v>1696</v>
      </c>
      <c r="R113" s="12" t="s">
        <v>1696</v>
      </c>
      <c r="S113" s="12" t="s">
        <v>1696</v>
      </c>
      <c r="T113" s="12" t="s">
        <v>1696</v>
      </c>
      <c r="U113" s="12" t="s">
        <v>1696</v>
      </c>
      <c r="V113" s="12" t="s">
        <v>1696</v>
      </c>
      <c r="W113" s="12" t="s">
        <v>1696</v>
      </c>
      <c r="X113" s="12" t="s">
        <v>1696</v>
      </c>
      <c r="Y113" s="12" t="s">
        <v>1696</v>
      </c>
      <c r="Z113" s="12" t="s">
        <v>1696</v>
      </c>
      <c r="AA113" s="12" t="s">
        <v>1696</v>
      </c>
      <c r="AB113" s="12" t="s">
        <v>1696</v>
      </c>
      <c r="AE113" s="29">
        <v>0.5416666666642413</v>
      </c>
      <c r="AF113" s="30" t="s">
        <v>283</v>
      </c>
      <c r="AG113" s="33" t="s">
        <v>284</v>
      </c>
      <c r="AH113" s="33" t="str">
        <f>HYPERLINK("https://docs.google.com/document/d/1cg_61x0Prb1H5bL7SShihaJ8nyb-k-Re1xSmZMw8yHQ/edit?usp=drivesdk","Pamela Marcum - 7/25/2018 1:00 PM")</f>
        <v>Pamela Marcum - 7/25/2018 1:00 PM</v>
      </c>
      <c r="AI113" s="30" t="s">
        <v>285</v>
      </c>
    </row>
    <row r="114">
      <c r="A114" s="26">
        <v>43312.30120947916</v>
      </c>
      <c r="B114" s="12" t="s">
        <v>1699</v>
      </c>
      <c r="C114" s="12" t="s">
        <v>1966</v>
      </c>
      <c r="D114" s="12" t="s">
        <v>1916</v>
      </c>
      <c r="E114" s="12" t="s">
        <v>1964</v>
      </c>
      <c r="F114" s="27">
        <v>43312.0</v>
      </c>
      <c r="G114" s="12" t="s">
        <v>1967</v>
      </c>
      <c r="H114" s="29">
        <v>0.625</v>
      </c>
      <c r="I114" s="26">
        <v>43312.66666666667</v>
      </c>
      <c r="J114" s="12" t="s">
        <v>1658</v>
      </c>
      <c r="L114" s="12" t="s">
        <v>1720</v>
      </c>
      <c r="M114" s="12" t="s">
        <v>1816</v>
      </c>
      <c r="N114" s="12" t="s">
        <v>1968</v>
      </c>
      <c r="O114" s="12" t="s">
        <v>1699</v>
      </c>
      <c r="P114" s="12" t="s">
        <v>1696</v>
      </c>
      <c r="Q114" s="12" t="s">
        <v>1696</v>
      </c>
      <c r="R114" s="12" t="s">
        <v>1696</v>
      </c>
      <c r="S114" s="12" t="s">
        <v>1696</v>
      </c>
      <c r="T114" s="12" t="s">
        <v>1696</v>
      </c>
      <c r="U114" s="12" t="s">
        <v>1696</v>
      </c>
      <c r="V114" s="12" t="s">
        <v>1696</v>
      </c>
      <c r="W114" s="12" t="s">
        <v>1696</v>
      </c>
      <c r="X114" s="12" t="s">
        <v>1696</v>
      </c>
      <c r="Y114" s="12" t="s">
        <v>1696</v>
      </c>
      <c r="Z114" s="12" t="s">
        <v>1696</v>
      </c>
      <c r="AA114" s="12" t="s">
        <v>1696</v>
      </c>
      <c r="AB114" s="12" t="s">
        <v>1696</v>
      </c>
      <c r="AE114" s="29">
        <v>0.30208333333575865</v>
      </c>
      <c r="AF114" s="30" t="s">
        <v>286</v>
      </c>
      <c r="AG114" s="33" t="s">
        <v>287</v>
      </c>
      <c r="AH114" s="33" t="str">
        <f>HYPERLINK("https://docs.google.com/document/d/1g6-SDWzTDxEaT_6esAFl7Ag0FmdmW2RSeVn4yz_-SWI/edit?usp=drivesdk","&lt;&lt;Your First and Last Name&gt;&gt; - 7/31/2018 7:15 AM")</f>
        <v>&lt;&lt;Your First and Last Name&gt;&gt; - 7/31/2018 7:15 AM</v>
      </c>
      <c r="AI114" s="30" t="s">
        <v>288</v>
      </c>
    </row>
    <row r="115">
      <c r="A115" s="26">
        <v>43312.537395520834</v>
      </c>
      <c r="B115" s="12" t="s">
        <v>1620</v>
      </c>
      <c r="C115" s="12" t="s">
        <v>9</v>
      </c>
      <c r="D115" s="12" t="s">
        <v>1630</v>
      </c>
      <c r="E115" s="12" t="s">
        <v>1645</v>
      </c>
      <c r="F115" s="27">
        <v>43313.0</v>
      </c>
      <c r="G115" s="12" t="s">
        <v>1665</v>
      </c>
      <c r="H115" s="29">
        <v>0.5416666666642413</v>
      </c>
      <c r="I115" s="26">
        <v>43313.66666666667</v>
      </c>
      <c r="J115" s="12" t="s">
        <v>1969</v>
      </c>
      <c r="L115" s="12" t="s">
        <v>1626</v>
      </c>
      <c r="M115" s="12" t="s">
        <v>1970</v>
      </c>
      <c r="N115" s="12" t="s">
        <v>1971</v>
      </c>
      <c r="O115" s="12" t="s">
        <v>1972</v>
      </c>
      <c r="P115" s="12" t="s">
        <v>1696</v>
      </c>
      <c r="Q115" s="12" t="s">
        <v>1696</v>
      </c>
      <c r="R115" s="12" t="s">
        <v>1696</v>
      </c>
      <c r="S115" s="12" t="s">
        <v>1696</v>
      </c>
      <c r="T115" s="12" t="s">
        <v>1696</v>
      </c>
      <c r="U115" s="12" t="s">
        <v>1696</v>
      </c>
      <c r="V115" s="12" t="s">
        <v>1696</v>
      </c>
      <c r="W115" s="12" t="s">
        <v>1696</v>
      </c>
      <c r="X115" s="12" t="s">
        <v>1696</v>
      </c>
      <c r="Y115" s="12" t="s">
        <v>1696</v>
      </c>
      <c r="Z115" s="12" t="s">
        <v>1696</v>
      </c>
      <c r="AA115" s="12" t="s">
        <v>1696</v>
      </c>
      <c r="AB115" s="12" t="s">
        <v>1696</v>
      </c>
      <c r="AC115" s="12" t="s">
        <v>1973</v>
      </c>
      <c r="AD115" s="12" t="s">
        <v>1974</v>
      </c>
      <c r="AE115" s="29">
        <v>0.33333333333575865</v>
      </c>
      <c r="AF115" s="30" t="s">
        <v>289</v>
      </c>
      <c r="AG115" s="33" t="s">
        <v>290</v>
      </c>
      <c r="AH115" s="33" t="str">
        <f>HYPERLINK("https://docs.google.com/document/d/1DymsQ1HeGPgIcWUJTZNcP4_6Zo3y4_qnZSDka3MTvQk/edit?usp=drivesdk","Kenneth Rainer - 8/1/2018 8:00 AM")</f>
        <v>Kenneth Rainer - 8/1/2018 8:00 AM</v>
      </c>
      <c r="AI115" s="30" t="s">
        <v>291</v>
      </c>
    </row>
    <row r="116">
      <c r="A116" s="26">
        <v>43313.39984442129</v>
      </c>
      <c r="B116" s="12" t="s">
        <v>1699</v>
      </c>
      <c r="C116" s="12" t="s">
        <v>1710</v>
      </c>
      <c r="D116" s="12" t="s">
        <v>1916</v>
      </c>
      <c r="E116" s="12" t="s">
        <v>1964</v>
      </c>
      <c r="F116" s="27">
        <v>43312.0</v>
      </c>
      <c r="G116" s="12" t="s">
        <v>1975</v>
      </c>
      <c r="H116" s="29">
        <v>0.625</v>
      </c>
      <c r="I116" s="26">
        <v>43312.66666666667</v>
      </c>
      <c r="J116" s="12" t="s">
        <v>1658</v>
      </c>
      <c r="L116" s="12" t="s">
        <v>1720</v>
      </c>
      <c r="M116" s="12" t="s">
        <v>1816</v>
      </c>
      <c r="N116" s="12" t="s">
        <v>1976</v>
      </c>
      <c r="O116" s="12" t="s">
        <v>1699</v>
      </c>
      <c r="P116" s="12" t="s">
        <v>1696</v>
      </c>
      <c r="Q116" s="12" t="s">
        <v>1696</v>
      </c>
      <c r="R116" s="12" t="s">
        <v>1696</v>
      </c>
      <c r="S116" s="12" t="s">
        <v>1696</v>
      </c>
      <c r="T116" s="12" t="s">
        <v>1696</v>
      </c>
      <c r="U116" s="12" t="s">
        <v>1696</v>
      </c>
      <c r="V116" s="12" t="s">
        <v>1696</v>
      </c>
      <c r="W116" s="12" t="s">
        <v>1696</v>
      </c>
      <c r="X116" s="12" t="s">
        <v>1696</v>
      </c>
      <c r="Y116" s="12" t="s">
        <v>1696</v>
      </c>
      <c r="Z116" s="12" t="s">
        <v>1696</v>
      </c>
      <c r="AA116" s="12" t="s">
        <v>1696</v>
      </c>
      <c r="AB116" s="12" t="s">
        <v>1696</v>
      </c>
      <c r="AE116" s="29">
        <v>0.30208333333575865</v>
      </c>
      <c r="AF116" s="30" t="s">
        <v>292</v>
      </c>
      <c r="AG116" s="33" t="s">
        <v>293</v>
      </c>
      <c r="AH116" s="33" t="str">
        <f>HYPERLINK("https://docs.google.com/document/d/1M1nSKDRh8KbBXalT-n5-pUJ-LMgc4RpRlvCNRApVBRo/edit?usp=drivesdk","Pamela Marcum - 7/31/2018 7:15 AM")</f>
        <v>Pamela Marcum - 7/31/2018 7:15 AM</v>
      </c>
      <c r="AI116" s="30" t="s">
        <v>294</v>
      </c>
    </row>
    <row r="117">
      <c r="A117" s="26">
        <v>43314.22709332176</v>
      </c>
      <c r="B117" s="12" t="s">
        <v>1713</v>
      </c>
      <c r="C117" s="12" t="s">
        <v>1808</v>
      </c>
      <c r="D117" s="12" t="s">
        <v>1622</v>
      </c>
      <c r="E117" s="12" t="s">
        <v>1623</v>
      </c>
      <c r="F117" s="27">
        <v>43314.0</v>
      </c>
      <c r="G117" s="12" t="s">
        <v>1977</v>
      </c>
      <c r="H117" s="29">
        <v>0.5416666666642413</v>
      </c>
      <c r="I117" s="26">
        <v>43314.055555555555</v>
      </c>
      <c r="J117" s="12" t="s">
        <v>1693</v>
      </c>
      <c r="L117" s="12" t="s">
        <v>1720</v>
      </c>
      <c r="M117" s="12" t="s">
        <v>1824</v>
      </c>
      <c r="N117" s="12" t="s">
        <v>1955</v>
      </c>
      <c r="O117" s="12" t="s">
        <v>1826</v>
      </c>
      <c r="P117" s="12" t="s">
        <v>1696</v>
      </c>
      <c r="Q117" s="12" t="s">
        <v>1696</v>
      </c>
      <c r="R117" s="12" t="s">
        <v>1696</v>
      </c>
      <c r="S117" s="12" t="s">
        <v>1696</v>
      </c>
      <c r="T117" s="12" t="s">
        <v>1696</v>
      </c>
      <c r="U117" s="12" t="s">
        <v>1696</v>
      </c>
      <c r="V117" s="12" t="s">
        <v>1696</v>
      </c>
      <c r="W117" s="12" t="s">
        <v>1696</v>
      </c>
      <c r="X117" s="12" t="s">
        <v>1696</v>
      </c>
      <c r="Y117" s="12" t="s">
        <v>1696</v>
      </c>
      <c r="Z117" s="12" t="s">
        <v>1696</v>
      </c>
      <c r="AA117" s="12" t="s">
        <v>1696</v>
      </c>
      <c r="AB117" s="12" t="s">
        <v>1696</v>
      </c>
      <c r="AE117" s="29">
        <v>0.23958333333575865</v>
      </c>
      <c r="AF117" s="30" t="s">
        <v>295</v>
      </c>
      <c r="AG117" s="33" t="s">
        <v>296</v>
      </c>
      <c r="AH117" s="33" t="str">
        <f>HYPERLINK("https://docs.google.com/document/d/18ANL2EAsbj-9X5mz0tRj4YzFgnSMdKPwDfVJotzLaHQ/edit?usp=drivesdk","Ben Mowbray - 8/2/2018 5:45 AM")</f>
        <v>Ben Mowbray - 8/2/2018 5:45 AM</v>
      </c>
      <c r="AI117" s="30" t="s">
        <v>297</v>
      </c>
    </row>
    <row r="118">
      <c r="A118" s="26">
        <v>43314.35755489583</v>
      </c>
      <c r="B118" s="12" t="s">
        <v>1699</v>
      </c>
      <c r="C118" s="12" t="s">
        <v>1710</v>
      </c>
      <c r="D118" s="12" t="s">
        <v>1916</v>
      </c>
      <c r="E118" s="12" t="s">
        <v>1964</v>
      </c>
      <c r="F118" s="27">
        <v>43314.0</v>
      </c>
      <c r="G118" s="12" t="s">
        <v>1975</v>
      </c>
      <c r="H118" s="29">
        <v>0.625</v>
      </c>
      <c r="I118" s="26">
        <v>43314.66666666667</v>
      </c>
      <c r="J118" s="12" t="s">
        <v>1704</v>
      </c>
      <c r="L118" s="12" t="s">
        <v>1626</v>
      </c>
      <c r="M118" s="12" t="s">
        <v>1706</v>
      </c>
      <c r="N118" s="12" t="s">
        <v>1978</v>
      </c>
      <c r="O118" s="12" t="s">
        <v>1699</v>
      </c>
      <c r="P118" s="12" t="s">
        <v>1696</v>
      </c>
      <c r="Q118" s="12" t="s">
        <v>1696</v>
      </c>
      <c r="R118" s="12" t="s">
        <v>1696</v>
      </c>
      <c r="S118" s="12" t="s">
        <v>1696</v>
      </c>
      <c r="T118" s="12" t="s">
        <v>1696</v>
      </c>
      <c r="U118" s="12" t="s">
        <v>1696</v>
      </c>
      <c r="V118" s="12" t="s">
        <v>1696</v>
      </c>
      <c r="W118" s="12" t="s">
        <v>1696</v>
      </c>
      <c r="X118" s="12" t="s">
        <v>1696</v>
      </c>
      <c r="Y118" s="12" t="s">
        <v>1696</v>
      </c>
      <c r="Z118" s="12" t="s">
        <v>1696</v>
      </c>
      <c r="AA118" s="12" t="s">
        <v>1696</v>
      </c>
      <c r="AB118" s="12" t="s">
        <v>1696</v>
      </c>
      <c r="AE118" s="29">
        <v>0.39583333333575865</v>
      </c>
      <c r="AF118" s="30" t="s">
        <v>298</v>
      </c>
      <c r="AG118" s="33" t="s">
        <v>299</v>
      </c>
      <c r="AH118" s="33" t="str">
        <f>HYPERLINK("https://docs.google.com/document/d/1_xpbSdAQxiV952g8DEviihzsJ9JvdoIja7XikkzE2jM/edit?usp=drivesdk","Pamela Marcum - 8/2/2018 9:30 AM")</f>
        <v>Pamela Marcum - 8/2/2018 9:30 AM</v>
      </c>
      <c r="AI118" s="30" t="s">
        <v>300</v>
      </c>
    </row>
    <row r="119">
      <c r="A119" s="26">
        <v>43314.6034672338</v>
      </c>
      <c r="B119" s="12" t="s">
        <v>1713</v>
      </c>
      <c r="C119" s="12" t="s">
        <v>1979</v>
      </c>
      <c r="D119" s="12" t="s">
        <v>1622</v>
      </c>
      <c r="E119" s="12" t="s">
        <v>1623</v>
      </c>
      <c r="F119" s="27">
        <v>43315.0</v>
      </c>
      <c r="G119" s="12" t="s">
        <v>1980</v>
      </c>
      <c r="H119" s="29">
        <v>0.5</v>
      </c>
      <c r="I119" s="26">
        <v>43315.51388888889</v>
      </c>
      <c r="J119" s="12" t="s">
        <v>1658</v>
      </c>
      <c r="L119" s="12" t="s">
        <v>1720</v>
      </c>
      <c r="M119" s="12" t="s">
        <v>1824</v>
      </c>
      <c r="N119" s="12" t="s">
        <v>1981</v>
      </c>
      <c r="O119" s="12" t="s">
        <v>1826</v>
      </c>
      <c r="P119" s="12" t="s">
        <v>1696</v>
      </c>
      <c r="Q119" s="12" t="s">
        <v>1696</v>
      </c>
      <c r="R119" s="12" t="s">
        <v>1696</v>
      </c>
      <c r="S119" s="12" t="s">
        <v>1696</v>
      </c>
      <c r="T119" s="12" t="s">
        <v>1696</v>
      </c>
      <c r="U119" s="12" t="s">
        <v>1696</v>
      </c>
      <c r="V119" s="12" t="s">
        <v>1696</v>
      </c>
      <c r="W119" s="12" t="s">
        <v>1696</v>
      </c>
      <c r="X119" s="12" t="s">
        <v>1696</v>
      </c>
      <c r="Y119" s="12" t="s">
        <v>1696</v>
      </c>
      <c r="Z119" s="12" t="s">
        <v>1696</v>
      </c>
      <c r="AA119" s="12" t="s">
        <v>1696</v>
      </c>
      <c r="AB119" s="12" t="s">
        <v>1696</v>
      </c>
      <c r="AE119" s="29">
        <v>0.28125</v>
      </c>
      <c r="AF119" s="30" t="s">
        <v>301</v>
      </c>
      <c r="AG119" s="33" t="s">
        <v>302</v>
      </c>
      <c r="AH119" s="33" t="str">
        <f>HYPERLINK("https://docs.google.com/document/d/1CEf7cA2GIPp1xy65JDmnWfxQvW39taVTsOsaX1Ue6ho/edit?usp=drivesdk","Ben Mowbray - 8/3/2018 6:45 AM")</f>
        <v>Ben Mowbray - 8/3/2018 6:45 AM</v>
      </c>
      <c r="AI119" s="30" t="s">
        <v>303</v>
      </c>
    </row>
    <row r="120">
      <c r="A120" s="26">
        <v>43315.280441574076</v>
      </c>
      <c r="B120" s="12" t="s">
        <v>1699</v>
      </c>
      <c r="C120" s="12" t="s">
        <v>1710</v>
      </c>
      <c r="D120" s="12" t="s">
        <v>1916</v>
      </c>
      <c r="E120" s="12" t="s">
        <v>1731</v>
      </c>
      <c r="F120" s="27">
        <v>43315.0</v>
      </c>
      <c r="G120" s="12" t="s">
        <v>1823</v>
      </c>
      <c r="H120" s="29">
        <v>0.5</v>
      </c>
      <c r="I120" s="26">
        <v>43315.52083333333</v>
      </c>
      <c r="J120" s="12" t="s">
        <v>1704</v>
      </c>
      <c r="L120" s="12" t="s">
        <v>1626</v>
      </c>
      <c r="M120" s="12" t="s">
        <v>1706</v>
      </c>
      <c r="N120" s="12" t="s">
        <v>1982</v>
      </c>
      <c r="O120" s="12" t="s">
        <v>1699</v>
      </c>
      <c r="P120" s="12" t="s">
        <v>1696</v>
      </c>
      <c r="Q120" s="12" t="s">
        <v>1696</v>
      </c>
      <c r="R120" s="12" t="s">
        <v>1696</v>
      </c>
      <c r="S120" s="12" t="s">
        <v>1696</v>
      </c>
      <c r="T120" s="12" t="s">
        <v>1696</v>
      </c>
      <c r="U120" s="12" t="s">
        <v>1696</v>
      </c>
      <c r="V120" s="12" t="s">
        <v>1696</v>
      </c>
      <c r="W120" s="12" t="s">
        <v>1696</v>
      </c>
      <c r="X120" s="12" t="s">
        <v>1696</v>
      </c>
      <c r="Y120" s="12" t="s">
        <v>1696</v>
      </c>
      <c r="Z120" s="12" t="s">
        <v>1696</v>
      </c>
      <c r="AA120" s="12" t="s">
        <v>1696</v>
      </c>
      <c r="AB120" s="12" t="s">
        <v>1696</v>
      </c>
      <c r="AE120" s="29">
        <v>0.3125</v>
      </c>
      <c r="AF120" s="30" t="s">
        <v>304</v>
      </c>
      <c r="AG120" s="33" t="s">
        <v>305</v>
      </c>
      <c r="AH120" s="33" t="str">
        <f>HYPERLINK("https://docs.google.com/document/d/1_f4X9tN9ILtz5QvdB_rIlrFD1AFhQW601asBRe7AfEg/edit?usp=drivesdk","Pamela Marcum - 8/3/2018 7:30 AM")</f>
        <v>Pamela Marcum - 8/3/2018 7:30 AM</v>
      </c>
      <c r="AI120" s="30" t="s">
        <v>306</v>
      </c>
    </row>
    <row r="121">
      <c r="A121" s="26">
        <v>43319.24338355324</v>
      </c>
      <c r="B121" s="12" t="s">
        <v>1717</v>
      </c>
      <c r="C121" s="12" t="s">
        <v>1449</v>
      </c>
      <c r="D121" s="12" t="s">
        <v>1916</v>
      </c>
      <c r="E121" s="12" t="s">
        <v>1924</v>
      </c>
      <c r="F121" s="27">
        <v>43319.0</v>
      </c>
      <c r="G121" s="12" t="s">
        <v>1792</v>
      </c>
      <c r="H121" s="29">
        <v>0.5208333333357587</v>
      </c>
      <c r="I121" s="26">
        <v>43319.04166666667</v>
      </c>
      <c r="J121" s="12" t="s">
        <v>1704</v>
      </c>
      <c r="L121" s="12" t="s">
        <v>1720</v>
      </c>
      <c r="M121" s="12" t="s">
        <v>1793</v>
      </c>
      <c r="N121" s="12" t="s">
        <v>1983</v>
      </c>
      <c r="O121" s="12" t="s">
        <v>1877</v>
      </c>
      <c r="P121" s="12" t="s">
        <v>1696</v>
      </c>
      <c r="Q121" s="12" t="s">
        <v>1696</v>
      </c>
      <c r="R121" s="12" t="s">
        <v>1696</v>
      </c>
      <c r="S121" s="12" t="s">
        <v>1696</v>
      </c>
      <c r="T121" s="12" t="s">
        <v>1696</v>
      </c>
      <c r="U121" s="12" t="s">
        <v>1696</v>
      </c>
      <c r="V121" s="12" t="s">
        <v>1696</v>
      </c>
      <c r="W121" s="12" t="s">
        <v>1696</v>
      </c>
      <c r="X121" s="12" t="s">
        <v>1696</v>
      </c>
      <c r="Y121" s="12" t="s">
        <v>1696</v>
      </c>
      <c r="Z121" s="12" t="s">
        <v>1696</v>
      </c>
      <c r="AA121" s="12" t="s">
        <v>1696</v>
      </c>
      <c r="AB121" s="12" t="s">
        <v>1696</v>
      </c>
      <c r="AE121" s="29">
        <v>0.27083333333575865</v>
      </c>
      <c r="AF121" s="30" t="s">
        <v>307</v>
      </c>
      <c r="AG121" s="33" t="s">
        <v>308</v>
      </c>
      <c r="AH121" s="33" t="str">
        <f>HYPERLINK("https://docs.google.com/document/d/1gFmRMe2zpH3j4wfW__4Oo9qMajLX3jmZ0kcbMSYh65A/edit?usp=drivesdk","Silas Tanner - 8/7/2018 6:30 AM")</f>
        <v>Silas Tanner - 8/7/2018 6:30 AM</v>
      </c>
      <c r="AI121" s="30" t="s">
        <v>309</v>
      </c>
    </row>
    <row r="122">
      <c r="A122" s="26">
        <v>43319.736613472225</v>
      </c>
      <c r="B122" s="12" t="s">
        <v>1726</v>
      </c>
      <c r="C122" s="12" t="s">
        <v>1727</v>
      </c>
      <c r="D122" s="12" t="s">
        <v>1728</v>
      </c>
      <c r="E122" s="12" t="s">
        <v>1683</v>
      </c>
      <c r="F122" s="27">
        <v>43320.0</v>
      </c>
      <c r="G122" s="12" t="s">
        <v>1984</v>
      </c>
      <c r="H122" s="29">
        <v>0.375</v>
      </c>
      <c r="J122" s="12" t="s">
        <v>1730</v>
      </c>
      <c r="L122" s="12" t="s">
        <v>1626</v>
      </c>
      <c r="M122" s="12" t="s">
        <v>1785</v>
      </c>
      <c r="N122" s="12" t="s">
        <v>1985</v>
      </c>
      <c r="O122" s="12" t="s">
        <v>1735</v>
      </c>
      <c r="P122" s="12" t="s">
        <v>1696</v>
      </c>
      <c r="Q122" s="12" t="s">
        <v>1696</v>
      </c>
      <c r="R122" s="12" t="s">
        <v>1696</v>
      </c>
      <c r="S122" s="12" t="s">
        <v>1696</v>
      </c>
      <c r="T122" s="12" t="s">
        <v>1696</v>
      </c>
      <c r="U122" s="12" t="s">
        <v>1696</v>
      </c>
      <c r="V122" s="12" t="s">
        <v>1696</v>
      </c>
      <c r="W122" s="12" t="s">
        <v>1696</v>
      </c>
      <c r="X122" s="12" t="s">
        <v>1696</v>
      </c>
      <c r="Y122" s="12" t="s">
        <v>1696</v>
      </c>
      <c r="Z122" s="12" t="s">
        <v>1696</v>
      </c>
      <c r="AA122" s="12" t="s">
        <v>1696</v>
      </c>
      <c r="AB122" s="12" t="s">
        <v>1696</v>
      </c>
      <c r="AE122" s="29">
        <v>0.30208333333575865</v>
      </c>
      <c r="AF122" s="30" t="s">
        <v>310</v>
      </c>
      <c r="AG122" s="33" t="s">
        <v>311</v>
      </c>
      <c r="AH122" s="33" t="str">
        <f>HYPERLINK("https://docs.google.com/document/d/1WiDFrx4D7wDtTG7xhG56FExYdRv-4DwwdP-wvUsnRMc/edit?usp=drivesdk","James Tomazinis - 8/8/2018 7:15 AM")</f>
        <v>James Tomazinis - 8/8/2018 7:15 AM</v>
      </c>
      <c r="AI122" s="30" t="s">
        <v>312</v>
      </c>
    </row>
    <row r="123">
      <c r="A123" s="26">
        <v>43320.354894675926</v>
      </c>
      <c r="B123" s="12" t="s">
        <v>1699</v>
      </c>
      <c r="C123" s="12" t="s">
        <v>1710</v>
      </c>
      <c r="D123" s="12" t="s">
        <v>1916</v>
      </c>
      <c r="E123" s="12" t="s">
        <v>1964</v>
      </c>
      <c r="F123" s="27">
        <v>43320.0</v>
      </c>
      <c r="G123" s="12" t="s">
        <v>1975</v>
      </c>
      <c r="H123" s="29">
        <v>0.625</v>
      </c>
      <c r="I123" s="26">
        <v>43321.66666666667</v>
      </c>
      <c r="J123" s="12" t="s">
        <v>1704</v>
      </c>
      <c r="L123" s="12" t="s">
        <v>1720</v>
      </c>
      <c r="M123" s="12" t="s">
        <v>1706</v>
      </c>
      <c r="N123" s="12" t="s">
        <v>1986</v>
      </c>
      <c r="O123" s="12" t="s">
        <v>1699</v>
      </c>
      <c r="P123" s="12" t="s">
        <v>1696</v>
      </c>
      <c r="Q123" s="12" t="s">
        <v>1696</v>
      </c>
      <c r="R123" s="12" t="s">
        <v>1696</v>
      </c>
      <c r="S123" s="12" t="s">
        <v>1696</v>
      </c>
      <c r="T123" s="12" t="s">
        <v>1696</v>
      </c>
      <c r="U123" s="12" t="s">
        <v>1696</v>
      </c>
      <c r="V123" s="12" t="s">
        <v>1696</v>
      </c>
      <c r="W123" s="12" t="s">
        <v>1696</v>
      </c>
      <c r="X123" s="12" t="s">
        <v>1696</v>
      </c>
      <c r="Y123" s="12" t="s">
        <v>1696</v>
      </c>
      <c r="Z123" s="12" t="s">
        <v>1696</v>
      </c>
      <c r="AA123" s="12" t="s">
        <v>1696</v>
      </c>
      <c r="AB123" s="12" t="s">
        <v>1696</v>
      </c>
      <c r="AE123" s="29">
        <v>0.375</v>
      </c>
      <c r="AF123" s="30" t="s">
        <v>313</v>
      </c>
      <c r="AG123" s="33" t="s">
        <v>314</v>
      </c>
      <c r="AH123" s="33" t="str">
        <f>HYPERLINK("https://docs.google.com/document/d/1c5DkI6jJ5VBQm3EWgcA563cNGIBizGgTtaIKGIJ2dE8/edit?usp=drivesdk","Pamela Marcum - 8/8/2018 9:00 AM")</f>
        <v>Pamela Marcum - 8/8/2018 9:00 AM</v>
      </c>
      <c r="AI123" s="30" t="s">
        <v>315</v>
      </c>
    </row>
    <row r="124">
      <c r="A124" s="26">
        <v>43322.35431465278</v>
      </c>
      <c r="B124" s="12" t="s">
        <v>1717</v>
      </c>
      <c r="C124" s="12" t="s">
        <v>1790</v>
      </c>
      <c r="D124" s="12" t="s">
        <v>1916</v>
      </c>
      <c r="E124" s="12" t="s">
        <v>1757</v>
      </c>
      <c r="F124" s="27">
        <v>43322.0</v>
      </c>
      <c r="G124" s="12" t="s">
        <v>1987</v>
      </c>
      <c r="H124" s="29">
        <v>0.5416666666642413</v>
      </c>
      <c r="I124" s="26">
        <v>43322.625</v>
      </c>
      <c r="J124" s="12" t="s">
        <v>1704</v>
      </c>
      <c r="L124" s="12" t="s">
        <v>1720</v>
      </c>
      <c r="M124" s="12" t="s">
        <v>1918</v>
      </c>
      <c r="N124" s="12" t="s">
        <v>1988</v>
      </c>
      <c r="O124" s="12" t="s">
        <v>1797</v>
      </c>
      <c r="P124" s="12" t="s">
        <v>1696</v>
      </c>
      <c r="Q124" s="12" t="s">
        <v>1696</v>
      </c>
      <c r="R124" s="12" t="s">
        <v>1696</v>
      </c>
      <c r="S124" s="12" t="s">
        <v>1696</v>
      </c>
      <c r="T124" s="12" t="s">
        <v>1696</v>
      </c>
      <c r="U124" s="12" t="s">
        <v>1696</v>
      </c>
      <c r="V124" s="12" t="s">
        <v>1696</v>
      </c>
      <c r="W124" s="12" t="s">
        <v>1696</v>
      </c>
      <c r="X124" s="12" t="s">
        <v>1696</v>
      </c>
      <c r="Y124" s="12" t="s">
        <v>1696</v>
      </c>
      <c r="Z124" s="12" t="s">
        <v>1696</v>
      </c>
      <c r="AA124" s="12" t="s">
        <v>1696</v>
      </c>
      <c r="AB124" s="12" t="s">
        <v>1696</v>
      </c>
      <c r="AE124" s="29">
        <v>0.4375</v>
      </c>
      <c r="AF124" s="30" t="s">
        <v>316</v>
      </c>
      <c r="AG124" s="33" t="s">
        <v>317</v>
      </c>
      <c r="AH124" s="33" t="str">
        <f>HYPERLINK("https://docs.google.com/document/d/17sdCynz09IpAwVH5o8CprezXdWWPeoNhVJw4691Iw8A/edit?usp=drivesdk","Silas Tanner - 8/10/2018 10:30 AM")</f>
        <v>Silas Tanner - 8/10/2018 10:30 AM</v>
      </c>
      <c r="AI124" s="30" t="s">
        <v>318</v>
      </c>
    </row>
    <row r="125">
      <c r="A125" s="26">
        <v>43323.54032908565</v>
      </c>
      <c r="B125" s="12" t="s">
        <v>1989</v>
      </c>
      <c r="C125" s="12" t="s">
        <v>1727</v>
      </c>
      <c r="D125" s="12" t="s">
        <v>1728</v>
      </c>
      <c r="E125" s="12" t="s">
        <v>1990</v>
      </c>
      <c r="F125" s="27">
        <v>43323.0</v>
      </c>
      <c r="G125" s="12" t="s">
        <v>1991</v>
      </c>
      <c r="H125" s="29">
        <v>0.7083333333357587</v>
      </c>
      <c r="J125" s="12" t="s">
        <v>1625</v>
      </c>
      <c r="L125" s="12" t="s">
        <v>1626</v>
      </c>
      <c r="M125" s="12" t="s">
        <v>1785</v>
      </c>
      <c r="O125" s="12" t="s">
        <v>1735</v>
      </c>
      <c r="P125" s="12" t="s">
        <v>1696</v>
      </c>
      <c r="Q125" s="12" t="s">
        <v>1696</v>
      </c>
      <c r="R125" s="12" t="s">
        <v>1696</v>
      </c>
      <c r="S125" s="12" t="s">
        <v>1696</v>
      </c>
      <c r="T125" s="12" t="s">
        <v>1696</v>
      </c>
      <c r="U125" s="12" t="s">
        <v>1696</v>
      </c>
      <c r="V125" s="12" t="s">
        <v>1696</v>
      </c>
      <c r="W125" s="12" t="s">
        <v>1696</v>
      </c>
      <c r="X125" s="12" t="s">
        <v>1696</v>
      </c>
      <c r="Y125" s="12" t="s">
        <v>1696</v>
      </c>
      <c r="Z125" s="12" t="s">
        <v>1696</v>
      </c>
      <c r="AA125" s="12" t="s">
        <v>1696</v>
      </c>
      <c r="AB125" s="12" t="s">
        <v>1696</v>
      </c>
      <c r="AE125" s="29">
        <v>0.5416666666642413</v>
      </c>
      <c r="AF125" s="30" t="s">
        <v>319</v>
      </c>
      <c r="AG125" s="33" t="s">
        <v>320</v>
      </c>
      <c r="AH125" s="33" t="str">
        <f>HYPERLINK("https://docs.google.com/document/d/1ewslJEYMYiLWpQVfKwKUIdB5aER5uzJ2SHLwyC5bnho/edit?usp=drivesdk","James Tomazinis  - 8/11/2018 1:00 PM")</f>
        <v>James Tomazinis  - 8/11/2018 1:00 PM</v>
      </c>
      <c r="AI125" s="30" t="s">
        <v>321</v>
      </c>
    </row>
    <row r="126">
      <c r="A126" s="26">
        <v>43326.45093533565</v>
      </c>
      <c r="B126" s="12" t="s">
        <v>1620</v>
      </c>
      <c r="C126" s="12" t="s">
        <v>1635</v>
      </c>
      <c r="D126" s="12" t="s">
        <v>1630</v>
      </c>
      <c r="E126" s="12" t="s">
        <v>1645</v>
      </c>
      <c r="F126" s="27">
        <v>43326.0</v>
      </c>
      <c r="G126" s="12" t="s">
        <v>1665</v>
      </c>
      <c r="H126" s="29">
        <v>0.6666666666642413</v>
      </c>
      <c r="I126" s="26">
        <v>43326.6875</v>
      </c>
      <c r="J126" s="12" t="s">
        <v>1704</v>
      </c>
      <c r="L126" s="12" t="s">
        <v>1720</v>
      </c>
      <c r="M126" s="12" t="s">
        <v>1640</v>
      </c>
      <c r="N126" s="12" t="s">
        <v>1992</v>
      </c>
      <c r="O126" s="12" t="s">
        <v>1620</v>
      </c>
      <c r="P126" s="12" t="s">
        <v>1696</v>
      </c>
      <c r="Q126" s="12" t="s">
        <v>1696</v>
      </c>
      <c r="R126" s="12" t="s">
        <v>1696</v>
      </c>
      <c r="S126" s="12" t="s">
        <v>1696</v>
      </c>
      <c r="T126" s="12" t="s">
        <v>1696</v>
      </c>
      <c r="U126" s="12" t="s">
        <v>1696</v>
      </c>
      <c r="V126" s="12" t="s">
        <v>1696</v>
      </c>
      <c r="W126" s="12" t="s">
        <v>1696</v>
      </c>
      <c r="X126" s="12" t="s">
        <v>1696</v>
      </c>
      <c r="Y126" s="12" t="s">
        <v>1696</v>
      </c>
      <c r="Z126" s="12" t="s">
        <v>1696</v>
      </c>
      <c r="AA126" s="12" t="s">
        <v>1696</v>
      </c>
      <c r="AB126" s="12" t="s">
        <v>1696</v>
      </c>
      <c r="AC126" s="12" t="s">
        <v>1993</v>
      </c>
      <c r="AD126" s="12" t="s">
        <v>1994</v>
      </c>
      <c r="AE126" s="29">
        <v>0.5416666666642413</v>
      </c>
      <c r="AF126" s="30" t="s">
        <v>322</v>
      </c>
      <c r="AG126" s="33" t="s">
        <v>323</v>
      </c>
      <c r="AH126" s="33" t="str">
        <f>HYPERLINK("https://docs.google.com/document/d/1UoUokpEmpx5df0h6r4uANvSRcZZUW8I676NwUPCYPfg/edit?usp=drivesdk","Kenneth Rainer - 8/14/2018 1:00 PM")</f>
        <v>Kenneth Rainer - 8/14/2018 1:00 PM</v>
      </c>
      <c r="AI126" s="30" t="s">
        <v>324</v>
      </c>
    </row>
    <row r="127">
      <c r="A127" s="26">
        <v>43326.49895987268</v>
      </c>
      <c r="B127" s="12" t="s">
        <v>1733</v>
      </c>
      <c r="C127" s="12" t="s">
        <v>1995</v>
      </c>
      <c r="D127" s="12" t="s">
        <v>1728</v>
      </c>
      <c r="E127" s="12" t="s">
        <v>1731</v>
      </c>
      <c r="F127" s="27">
        <v>43326.0</v>
      </c>
      <c r="G127" s="12" t="s">
        <v>1996</v>
      </c>
      <c r="H127" s="29">
        <v>0.6875</v>
      </c>
      <c r="I127" s="26">
        <v>43326.70833333333</v>
      </c>
      <c r="J127" s="12" t="s">
        <v>1693</v>
      </c>
      <c r="L127" s="12" t="s">
        <v>1626</v>
      </c>
      <c r="M127" s="12" t="s">
        <v>1785</v>
      </c>
      <c r="N127" s="12" t="s">
        <v>1997</v>
      </c>
      <c r="O127" s="12" t="s">
        <v>1733</v>
      </c>
      <c r="P127" s="12" t="s">
        <v>1696</v>
      </c>
      <c r="Q127" s="12" t="s">
        <v>1696</v>
      </c>
      <c r="R127" s="12" t="s">
        <v>1696</v>
      </c>
      <c r="S127" s="12" t="s">
        <v>1696</v>
      </c>
      <c r="T127" s="12" t="s">
        <v>1696</v>
      </c>
      <c r="U127" s="12" t="s">
        <v>1696</v>
      </c>
      <c r="V127" s="12" t="s">
        <v>1696</v>
      </c>
      <c r="W127" s="12" t="s">
        <v>1696</v>
      </c>
      <c r="X127" s="12" t="s">
        <v>1696</v>
      </c>
      <c r="Y127" s="12" t="s">
        <v>1696</v>
      </c>
      <c r="Z127" s="12" t="s">
        <v>1696</v>
      </c>
      <c r="AA127" s="12" t="s">
        <v>1696</v>
      </c>
      <c r="AB127" s="12" t="s">
        <v>1696</v>
      </c>
      <c r="AE127" s="29">
        <v>0.5416666666642413</v>
      </c>
      <c r="AF127" s="30" t="s">
        <v>325</v>
      </c>
      <c r="AG127" s="33" t="s">
        <v>326</v>
      </c>
      <c r="AH127" s="33" t="str">
        <f>HYPERLINK("https://docs.google.com/document/d/1Zr-dHoYFPh8hWNtbTV1mMdu01l2o95lPBKDPC730sdw/edit?usp=drivesdk","Jimmy Tomazinis - 8/14/2018 1:00 PM")</f>
        <v>Jimmy Tomazinis - 8/14/2018 1:00 PM</v>
      </c>
      <c r="AI127" s="30" t="s">
        <v>327</v>
      </c>
    </row>
    <row r="128">
      <c r="A128" s="26">
        <v>43327.41478663194</v>
      </c>
      <c r="B128" s="12" t="s">
        <v>1713</v>
      </c>
      <c r="C128" s="12" t="s">
        <v>1808</v>
      </c>
      <c r="D128" s="12" t="s">
        <v>1916</v>
      </c>
      <c r="E128" s="12" t="s">
        <v>1757</v>
      </c>
      <c r="F128" s="27">
        <v>43327.0</v>
      </c>
      <c r="G128" s="12" t="s">
        <v>1998</v>
      </c>
      <c r="H128" s="29">
        <v>0.625</v>
      </c>
      <c r="I128" s="26">
        <v>43327.66666666667</v>
      </c>
      <c r="J128" s="12" t="s">
        <v>1704</v>
      </c>
      <c r="L128" s="12" t="s">
        <v>1720</v>
      </c>
      <c r="M128" s="12" t="s">
        <v>1816</v>
      </c>
      <c r="O128" s="12" t="s">
        <v>1826</v>
      </c>
      <c r="P128" s="12" t="s">
        <v>1696</v>
      </c>
      <c r="Q128" s="12" t="s">
        <v>1696</v>
      </c>
      <c r="R128" s="12" t="s">
        <v>1696</v>
      </c>
      <c r="S128" s="12" t="s">
        <v>1696</v>
      </c>
      <c r="T128" s="12" t="s">
        <v>1696</v>
      </c>
      <c r="U128" s="12" t="s">
        <v>1696</v>
      </c>
      <c r="V128" s="12" t="s">
        <v>1696</v>
      </c>
      <c r="W128" s="12" t="s">
        <v>1696</v>
      </c>
      <c r="X128" s="12" t="s">
        <v>1696</v>
      </c>
      <c r="Y128" s="12" t="s">
        <v>1696</v>
      </c>
      <c r="Z128" s="12" t="s">
        <v>1696</v>
      </c>
      <c r="AA128" s="12" t="s">
        <v>1696</v>
      </c>
      <c r="AB128" s="12" t="s">
        <v>1696</v>
      </c>
      <c r="AE128" s="29">
        <v>0.5416666666642413</v>
      </c>
      <c r="AF128" s="30" t="s">
        <v>328</v>
      </c>
      <c r="AG128" s="33" t="s">
        <v>329</v>
      </c>
      <c r="AH128" s="33" t="str">
        <f>HYPERLINK("https://docs.google.com/document/d/1ERbNqlmZ7cO96gpNW3hInnDf7lFEo276aaUSKUXyTaw/edit?usp=drivesdk","Ben Mowbray - 8/15/2018 1:00 PM")</f>
        <v>Ben Mowbray - 8/15/2018 1:00 PM</v>
      </c>
      <c r="AI128" s="30" t="s">
        <v>330</v>
      </c>
    </row>
    <row r="129">
      <c r="A129" s="26">
        <v>43329.47656545139</v>
      </c>
      <c r="B129" s="12" t="s">
        <v>1713</v>
      </c>
      <c r="C129" s="12" t="s">
        <v>1808</v>
      </c>
      <c r="D129" s="12" t="s">
        <v>1916</v>
      </c>
      <c r="E129" s="12" t="s">
        <v>1623</v>
      </c>
      <c r="F129" s="27">
        <v>43332.0</v>
      </c>
      <c r="G129" s="12" t="s">
        <v>1999</v>
      </c>
      <c r="H129" s="29">
        <v>0.6388888888905058</v>
      </c>
      <c r="I129" s="26">
        <v>43332.65277777778</v>
      </c>
      <c r="J129" s="12" t="s">
        <v>1658</v>
      </c>
      <c r="L129" s="12" t="s">
        <v>1720</v>
      </c>
      <c r="M129" s="12" t="s">
        <v>1816</v>
      </c>
      <c r="N129" s="12" t="s">
        <v>2000</v>
      </c>
      <c r="O129" s="12" t="s">
        <v>1826</v>
      </c>
      <c r="P129" s="12" t="s">
        <v>1696</v>
      </c>
      <c r="Q129" s="12" t="s">
        <v>1696</v>
      </c>
      <c r="R129" s="12" t="s">
        <v>1696</v>
      </c>
      <c r="S129" s="12" t="s">
        <v>1696</v>
      </c>
      <c r="T129" s="12" t="s">
        <v>1696</v>
      </c>
      <c r="U129" s="12" t="s">
        <v>1696</v>
      </c>
      <c r="V129" s="12" t="s">
        <v>1696</v>
      </c>
      <c r="W129" s="12" t="s">
        <v>1696</v>
      </c>
      <c r="X129" s="12" t="s">
        <v>1696</v>
      </c>
      <c r="Y129" s="12" t="s">
        <v>1696</v>
      </c>
      <c r="Z129" s="12" t="s">
        <v>1696</v>
      </c>
      <c r="AA129" s="12" t="s">
        <v>1696</v>
      </c>
      <c r="AB129" s="12" t="s">
        <v>1696</v>
      </c>
      <c r="AE129" s="29">
        <v>0.34722222221898846</v>
      </c>
      <c r="AF129" s="30" t="s">
        <v>331</v>
      </c>
      <c r="AG129" s="33" t="s">
        <v>332</v>
      </c>
      <c r="AH129" s="33" t="str">
        <f>HYPERLINK("https://docs.google.com/document/d/1Xqh3FggsY2bltRwZowLuBS6_e56PQHzyI4rVU95A2Zg/edit?usp=drivesdk","Ben Mowbray - 8/20/2018 8:20 AM")</f>
        <v>Ben Mowbray - 8/20/2018 8:20 AM</v>
      </c>
      <c r="AI129" s="30" t="s">
        <v>333</v>
      </c>
    </row>
    <row r="130">
      <c r="A130" s="26">
        <v>43332.35602412037</v>
      </c>
      <c r="B130" s="12" t="s">
        <v>1726</v>
      </c>
      <c r="C130" s="12" t="s">
        <v>1727</v>
      </c>
      <c r="D130" s="12" t="s">
        <v>1728</v>
      </c>
      <c r="E130" s="12" t="s">
        <v>1731</v>
      </c>
      <c r="F130" s="27">
        <v>43332.0</v>
      </c>
      <c r="G130" s="12" t="s">
        <v>2001</v>
      </c>
      <c r="H130" s="29">
        <v>0.7083333333357587</v>
      </c>
      <c r="J130" s="12" t="s">
        <v>1704</v>
      </c>
      <c r="L130" s="12" t="s">
        <v>1626</v>
      </c>
      <c r="M130" s="12" t="s">
        <v>1793</v>
      </c>
      <c r="N130" s="12" t="s">
        <v>1832</v>
      </c>
      <c r="O130" s="12" t="s">
        <v>1735</v>
      </c>
      <c r="P130" s="12" t="s">
        <v>1696</v>
      </c>
      <c r="Q130" s="12" t="s">
        <v>1696</v>
      </c>
      <c r="R130" s="12" t="s">
        <v>1696</v>
      </c>
      <c r="S130" s="12" t="s">
        <v>1696</v>
      </c>
      <c r="T130" s="12" t="s">
        <v>1696</v>
      </c>
      <c r="U130" s="12" t="s">
        <v>1696</v>
      </c>
      <c r="V130" s="12" t="s">
        <v>1696</v>
      </c>
      <c r="W130" s="12" t="s">
        <v>1696</v>
      </c>
      <c r="X130" s="12" t="s">
        <v>1696</v>
      </c>
      <c r="Y130" s="12" t="s">
        <v>1696</v>
      </c>
      <c r="Z130" s="12" t="s">
        <v>1696</v>
      </c>
      <c r="AA130" s="12" t="s">
        <v>1696</v>
      </c>
      <c r="AB130" s="12" t="s">
        <v>1696</v>
      </c>
      <c r="AE130" s="29">
        <v>0.39583333333575865</v>
      </c>
      <c r="AF130" s="30" t="s">
        <v>334</v>
      </c>
      <c r="AG130" s="33" t="s">
        <v>335</v>
      </c>
      <c r="AH130" s="33" t="str">
        <f>HYPERLINK("https://docs.google.com/document/d/1LabdHmssr2wUehcOV54gssrkT8MfwEnxZTasLs1gtgo/edit?usp=drivesdk","James Tomazinis - 8/20/2018 9:30 AM")</f>
        <v>James Tomazinis - 8/20/2018 9:30 AM</v>
      </c>
      <c r="AI130" s="30" t="s">
        <v>336</v>
      </c>
    </row>
    <row r="131">
      <c r="A131" s="26">
        <v>43333.35646248843</v>
      </c>
      <c r="B131" s="12" t="s">
        <v>1726</v>
      </c>
      <c r="C131" s="12" t="s">
        <v>1727</v>
      </c>
      <c r="D131" s="12" t="s">
        <v>1728</v>
      </c>
      <c r="E131" s="12" t="s">
        <v>1731</v>
      </c>
      <c r="F131" s="27">
        <v>43333.0</v>
      </c>
      <c r="G131" s="12" t="s">
        <v>2001</v>
      </c>
      <c r="H131" s="29">
        <v>0.7083333333357587</v>
      </c>
      <c r="J131" s="12" t="s">
        <v>1704</v>
      </c>
      <c r="L131" s="12" t="s">
        <v>1626</v>
      </c>
      <c r="M131" s="12" t="s">
        <v>1793</v>
      </c>
      <c r="N131" s="12" t="s">
        <v>2002</v>
      </c>
      <c r="O131" s="12" t="s">
        <v>1735</v>
      </c>
      <c r="P131" s="12" t="s">
        <v>1696</v>
      </c>
      <c r="Q131" s="12" t="s">
        <v>1696</v>
      </c>
      <c r="R131" s="12" t="s">
        <v>1696</v>
      </c>
      <c r="S131" s="12" t="s">
        <v>1696</v>
      </c>
      <c r="T131" s="12" t="s">
        <v>1696</v>
      </c>
      <c r="U131" s="12" t="s">
        <v>1696</v>
      </c>
      <c r="V131" s="12" t="s">
        <v>1696</v>
      </c>
      <c r="W131" s="12" t="s">
        <v>1696</v>
      </c>
      <c r="X131" s="12" t="s">
        <v>1696</v>
      </c>
      <c r="Y131" s="12" t="s">
        <v>1696</v>
      </c>
      <c r="Z131" s="12" t="s">
        <v>1696</v>
      </c>
      <c r="AA131" s="12" t="s">
        <v>1696</v>
      </c>
      <c r="AB131" s="12" t="s">
        <v>1696</v>
      </c>
      <c r="AE131" s="29">
        <v>0.39583333333575865</v>
      </c>
      <c r="AF131" s="30" t="s">
        <v>337</v>
      </c>
      <c r="AG131" s="33" t="s">
        <v>338</v>
      </c>
      <c r="AH131" s="33" t="str">
        <f>HYPERLINK("https://docs.google.com/document/d/1q53uSpEdchRnj-Rtxaj4hDDzRXe32da2SRUUmKfdEYs/edit?usp=drivesdk","James Tomazinis - 8/21/2018 9:30 AM")</f>
        <v>James Tomazinis - 8/21/2018 9:30 AM</v>
      </c>
      <c r="AI131" s="30" t="s">
        <v>339</v>
      </c>
    </row>
    <row r="132">
      <c r="A132" s="26">
        <v>43333.38058549768</v>
      </c>
      <c r="B132" s="12" t="s">
        <v>1713</v>
      </c>
      <c r="C132" s="12" t="s">
        <v>1808</v>
      </c>
      <c r="D132" s="12" t="s">
        <v>1916</v>
      </c>
      <c r="E132" s="12" t="s">
        <v>1623</v>
      </c>
      <c r="F132" s="27">
        <v>43333.0</v>
      </c>
      <c r="G132" s="12" t="s">
        <v>2003</v>
      </c>
      <c r="H132" s="29">
        <v>0.5625</v>
      </c>
      <c r="I132" s="26">
        <v>43333.58333333333</v>
      </c>
      <c r="J132" s="12" t="s">
        <v>1658</v>
      </c>
      <c r="L132" s="12" t="s">
        <v>1720</v>
      </c>
      <c r="M132" s="12" t="s">
        <v>2004</v>
      </c>
      <c r="N132" s="12" t="s">
        <v>2005</v>
      </c>
      <c r="O132" s="12" t="s">
        <v>1708</v>
      </c>
      <c r="P132" s="12" t="s">
        <v>1696</v>
      </c>
      <c r="Q132" s="12" t="s">
        <v>1696</v>
      </c>
      <c r="R132" s="12" t="s">
        <v>1696</v>
      </c>
      <c r="S132" s="12" t="s">
        <v>1696</v>
      </c>
      <c r="T132" s="12" t="s">
        <v>1696</v>
      </c>
      <c r="U132" s="12" t="s">
        <v>1696</v>
      </c>
      <c r="V132" s="12" t="s">
        <v>1696</v>
      </c>
      <c r="W132" s="12" t="s">
        <v>1696</v>
      </c>
      <c r="X132" s="12" t="s">
        <v>1696</v>
      </c>
      <c r="Y132" s="12" t="s">
        <v>1696</v>
      </c>
      <c r="Z132" s="12" t="s">
        <v>1696</v>
      </c>
      <c r="AA132" s="12" t="s">
        <v>1696</v>
      </c>
      <c r="AB132" s="12" t="s">
        <v>1696</v>
      </c>
      <c r="AE132" s="29">
        <v>0.40277777778101154</v>
      </c>
      <c r="AF132" s="30" t="s">
        <v>340</v>
      </c>
      <c r="AG132" s="33" t="s">
        <v>341</v>
      </c>
      <c r="AH132" s="33" t="str">
        <f>HYPERLINK("https://docs.google.com/document/d/1-b6Gewks7v19ieHsXcoC8h0jDEWW_u_gOcnr1iFkHVU/edit?usp=drivesdk","Ben Mowbray - 8/21/2018 9:40 AM")</f>
        <v>Ben Mowbray - 8/21/2018 9:40 AM</v>
      </c>
      <c r="AI132" s="30" t="s">
        <v>342</v>
      </c>
    </row>
    <row r="133">
      <c r="A133" s="26">
        <v>43334.38624791667</v>
      </c>
      <c r="B133" s="12" t="s">
        <v>1726</v>
      </c>
      <c r="C133" s="12" t="s">
        <v>1727</v>
      </c>
      <c r="D133" s="12" t="s">
        <v>1728</v>
      </c>
      <c r="E133" s="12" t="s">
        <v>1809</v>
      </c>
      <c r="F133" s="27">
        <v>43334.0</v>
      </c>
      <c r="G133" s="12" t="s">
        <v>2006</v>
      </c>
      <c r="H133" s="29">
        <v>0.7083333333357587</v>
      </c>
      <c r="J133" s="12" t="s">
        <v>1704</v>
      </c>
      <c r="L133" s="12" t="s">
        <v>1626</v>
      </c>
      <c r="M133" s="12" t="s">
        <v>1907</v>
      </c>
      <c r="N133" s="12" t="s">
        <v>2007</v>
      </c>
      <c r="O133" s="12" t="s">
        <v>1735</v>
      </c>
      <c r="P133" s="12" t="s">
        <v>1696</v>
      </c>
      <c r="Q133" s="12" t="s">
        <v>1696</v>
      </c>
      <c r="R133" s="12" t="s">
        <v>1696</v>
      </c>
      <c r="S133" s="12" t="s">
        <v>1696</v>
      </c>
      <c r="T133" s="12" t="s">
        <v>1696</v>
      </c>
      <c r="U133" s="12" t="s">
        <v>1696</v>
      </c>
      <c r="V133" s="12" t="s">
        <v>1696</v>
      </c>
      <c r="W133" s="12" t="s">
        <v>1696</v>
      </c>
      <c r="X133" s="12" t="s">
        <v>1696</v>
      </c>
      <c r="Y133" s="12" t="s">
        <v>1696</v>
      </c>
      <c r="Z133" s="12" t="s">
        <v>1696</v>
      </c>
      <c r="AA133" s="12" t="s">
        <v>1696</v>
      </c>
      <c r="AB133" s="12" t="s">
        <v>1696</v>
      </c>
      <c r="AE133" s="29">
        <v>0.39583333333575865</v>
      </c>
      <c r="AF133" s="30" t="s">
        <v>343</v>
      </c>
      <c r="AG133" s="33" t="s">
        <v>344</v>
      </c>
      <c r="AH133" s="33" t="str">
        <f>HYPERLINK("https://docs.google.com/document/d/1FbfrpXrmysodX8qvntPP4u8abx1oSvLdYgvdnAhlqV4/edit?usp=drivesdk","James Tomazinis - 8/22/2018 9:30 AM")</f>
        <v>James Tomazinis - 8/22/2018 9:30 AM</v>
      </c>
      <c r="AI133" s="30" t="s">
        <v>345</v>
      </c>
    </row>
    <row r="134">
      <c r="A134" s="26">
        <v>43334.65458540509</v>
      </c>
      <c r="B134" s="12" t="s">
        <v>1717</v>
      </c>
      <c r="C134" s="12" t="s">
        <v>1718</v>
      </c>
      <c r="D134" s="12" t="s">
        <v>1916</v>
      </c>
      <c r="E134" s="12" t="s">
        <v>1723</v>
      </c>
      <c r="F134" s="27">
        <v>43335.0</v>
      </c>
      <c r="G134" s="12" t="s">
        <v>1856</v>
      </c>
      <c r="H134" s="29">
        <v>0.625</v>
      </c>
      <c r="I134" s="26">
        <v>43335.64583333333</v>
      </c>
      <c r="J134" s="12" t="s">
        <v>1658</v>
      </c>
      <c r="L134" s="12" t="s">
        <v>1720</v>
      </c>
      <c r="M134" s="12" t="s">
        <v>1918</v>
      </c>
      <c r="N134" s="12" t="s">
        <v>2008</v>
      </c>
      <c r="O134" s="12" t="s">
        <v>1797</v>
      </c>
      <c r="P134" s="12" t="s">
        <v>1696</v>
      </c>
      <c r="Q134" s="12" t="s">
        <v>1696</v>
      </c>
      <c r="R134" s="12" t="s">
        <v>1696</v>
      </c>
      <c r="S134" s="12" t="s">
        <v>1696</v>
      </c>
      <c r="T134" s="12" t="s">
        <v>1696</v>
      </c>
      <c r="U134" s="12" t="s">
        <v>1696</v>
      </c>
      <c r="V134" s="12" t="s">
        <v>1696</v>
      </c>
      <c r="W134" s="12" t="s">
        <v>1696</v>
      </c>
      <c r="X134" s="12" t="s">
        <v>1696</v>
      </c>
      <c r="Y134" s="12" t="s">
        <v>1696</v>
      </c>
      <c r="Z134" s="12" t="s">
        <v>1696</v>
      </c>
      <c r="AA134" s="12" t="s">
        <v>1696</v>
      </c>
      <c r="AB134" s="12" t="s">
        <v>1696</v>
      </c>
      <c r="AE134" s="29">
        <v>0.30208333333575865</v>
      </c>
      <c r="AF134" s="30" t="s">
        <v>346</v>
      </c>
      <c r="AG134" s="33" t="s">
        <v>347</v>
      </c>
      <c r="AH134" s="33" t="str">
        <f>HYPERLINK("https://docs.google.com/document/d/1V_UjvbS_4beIAIbGI2rknHAZN_bkiraEkuj6Ua6mwWE/edit?usp=drivesdk","Silas Tanner - 8/23/2018 7:15 AM")</f>
        <v>Silas Tanner - 8/23/2018 7:15 AM</v>
      </c>
      <c r="AI134" s="30" t="s">
        <v>348</v>
      </c>
    </row>
    <row r="135">
      <c r="A135" s="26">
        <v>43335.38977065972</v>
      </c>
      <c r="B135" s="12" t="s">
        <v>1744</v>
      </c>
      <c r="C135" s="12" t="s">
        <v>1710</v>
      </c>
      <c r="D135" s="12" t="s">
        <v>1916</v>
      </c>
      <c r="E135" s="12" t="s">
        <v>1623</v>
      </c>
      <c r="F135" s="27">
        <v>43335.0</v>
      </c>
      <c r="G135" s="12" t="s">
        <v>2009</v>
      </c>
      <c r="H135" s="29">
        <v>0.625</v>
      </c>
      <c r="I135" s="26">
        <v>43335.66666666667</v>
      </c>
      <c r="J135" s="12" t="s">
        <v>1693</v>
      </c>
      <c r="L135" s="12" t="s">
        <v>2010</v>
      </c>
      <c r="M135" s="12" t="s">
        <v>1816</v>
      </c>
      <c r="O135" s="12" t="s">
        <v>1744</v>
      </c>
      <c r="P135" s="12" t="s">
        <v>1696</v>
      </c>
      <c r="Q135" s="12" t="s">
        <v>1696</v>
      </c>
      <c r="R135" s="12" t="s">
        <v>1696</v>
      </c>
      <c r="S135" s="12" t="s">
        <v>1696</v>
      </c>
      <c r="T135" s="12" t="s">
        <v>1696</v>
      </c>
      <c r="U135" s="12" t="s">
        <v>1696</v>
      </c>
      <c r="V135" s="12" t="s">
        <v>1696</v>
      </c>
      <c r="W135" s="12" t="s">
        <v>1696</v>
      </c>
      <c r="X135" s="12" t="s">
        <v>1696</v>
      </c>
      <c r="Y135" s="12" t="s">
        <v>1696</v>
      </c>
      <c r="Z135" s="12" t="s">
        <v>1696</v>
      </c>
      <c r="AA135" s="12" t="s">
        <v>1696</v>
      </c>
      <c r="AB135" s="12" t="s">
        <v>1696</v>
      </c>
      <c r="AE135" s="29">
        <v>0.45833333333575865</v>
      </c>
      <c r="AF135" s="30" t="s">
        <v>349</v>
      </c>
      <c r="AG135" s="33" t="s">
        <v>350</v>
      </c>
      <c r="AH135" s="33" t="str">
        <f>HYPERLINK("https://docs.google.com/document/d/1FoCPEaVaT4-aS9Qr0r4nW6zlRTuDNZoJ3QoyHDTqm4A/edit?usp=drivesdk","Pam Marcum - 8/23/2018 11:00 AM")</f>
        <v>Pam Marcum - 8/23/2018 11:00 AM</v>
      </c>
      <c r="AI135" s="30" t="s">
        <v>351</v>
      </c>
    </row>
    <row r="136">
      <c r="A136" s="26">
        <v>43335.92170368056</v>
      </c>
      <c r="B136" s="12" t="s">
        <v>1797</v>
      </c>
      <c r="C136" s="12" t="s">
        <v>2011</v>
      </c>
      <c r="D136" s="12" t="s">
        <v>1916</v>
      </c>
      <c r="E136" s="12" t="s">
        <v>1799</v>
      </c>
      <c r="F136" s="27">
        <v>43336.0</v>
      </c>
      <c r="G136" s="12" t="s">
        <v>2012</v>
      </c>
      <c r="H136" s="29">
        <v>0.5416666666642413</v>
      </c>
      <c r="I136" s="26">
        <v>43336.64583333333</v>
      </c>
      <c r="J136" s="12" t="s">
        <v>1658</v>
      </c>
      <c r="L136" s="12" t="s">
        <v>1720</v>
      </c>
      <c r="M136" s="12" t="s">
        <v>1918</v>
      </c>
      <c r="N136" s="12" t="s">
        <v>2013</v>
      </c>
      <c r="O136" s="12" t="s">
        <v>1797</v>
      </c>
      <c r="P136" s="12" t="s">
        <v>1696</v>
      </c>
      <c r="Q136" s="12" t="s">
        <v>1696</v>
      </c>
      <c r="R136" s="12" t="s">
        <v>1696</v>
      </c>
      <c r="S136" s="12" t="s">
        <v>1696</v>
      </c>
      <c r="T136" s="12" t="s">
        <v>1696</v>
      </c>
      <c r="U136" s="12" t="s">
        <v>1696</v>
      </c>
      <c r="V136" s="12" t="s">
        <v>1696</v>
      </c>
      <c r="W136" s="12" t="s">
        <v>1696</v>
      </c>
      <c r="X136" s="12" t="s">
        <v>1696</v>
      </c>
      <c r="Y136" s="12" t="s">
        <v>1696</v>
      </c>
      <c r="Z136" s="12" t="s">
        <v>1696</v>
      </c>
      <c r="AA136" s="12" t="s">
        <v>1696</v>
      </c>
      <c r="AB136" s="12" t="s">
        <v>1696</v>
      </c>
      <c r="AE136" s="29">
        <v>0.4375</v>
      </c>
      <c r="AF136" s="30" t="s">
        <v>352</v>
      </c>
      <c r="AG136" s="33" t="s">
        <v>353</v>
      </c>
      <c r="AH136" s="33" t="str">
        <f>HYPERLINK("https://docs.google.com/document/d/1XqXDCS49mMlYjyDJhRRyb2rd--vYYMQZl9cTt1SyJXY/edit?usp=drivesdk","Shannon Dunnigan - 8/24/2018 10:30 AM")</f>
        <v>Shannon Dunnigan - 8/24/2018 10:30 AM</v>
      </c>
      <c r="AI136" s="30" t="s">
        <v>354</v>
      </c>
    </row>
    <row r="137">
      <c r="A137" s="26">
        <v>43340.68483427083</v>
      </c>
      <c r="B137" s="12" t="s">
        <v>1713</v>
      </c>
      <c r="C137" s="12" t="s">
        <v>1808</v>
      </c>
      <c r="D137" s="12" t="s">
        <v>1622</v>
      </c>
      <c r="E137" s="12" t="s">
        <v>1843</v>
      </c>
      <c r="F137" s="27">
        <v>43341.0</v>
      </c>
      <c r="G137" s="12" t="s">
        <v>2014</v>
      </c>
      <c r="H137" s="29">
        <v>0.625</v>
      </c>
      <c r="I137" s="26">
        <v>43341.65277777778</v>
      </c>
      <c r="J137" s="12" t="s">
        <v>1658</v>
      </c>
      <c r="L137" s="12" t="s">
        <v>1720</v>
      </c>
      <c r="M137" s="12" t="s">
        <v>1824</v>
      </c>
      <c r="N137" s="12" t="s">
        <v>1817</v>
      </c>
      <c r="O137" s="12" t="s">
        <v>1826</v>
      </c>
      <c r="P137" s="12" t="s">
        <v>1696</v>
      </c>
      <c r="Q137" s="12" t="s">
        <v>1696</v>
      </c>
      <c r="R137" s="12" t="s">
        <v>1696</v>
      </c>
      <c r="S137" s="12" t="s">
        <v>1696</v>
      </c>
      <c r="T137" s="12" t="s">
        <v>1696</v>
      </c>
      <c r="U137" s="12" t="s">
        <v>1696</v>
      </c>
      <c r="V137" s="12" t="s">
        <v>1696</v>
      </c>
      <c r="W137" s="12" t="s">
        <v>1696</v>
      </c>
      <c r="X137" s="12" t="s">
        <v>1696</v>
      </c>
      <c r="Y137" s="12" t="s">
        <v>1696</v>
      </c>
      <c r="Z137" s="12" t="s">
        <v>1696</v>
      </c>
      <c r="AA137" s="12" t="s">
        <v>1696</v>
      </c>
      <c r="AB137" s="12" t="s">
        <v>1696</v>
      </c>
      <c r="AE137" s="29">
        <v>0.42708333333575865</v>
      </c>
      <c r="AF137" s="30" t="s">
        <v>355</v>
      </c>
      <c r="AG137" s="33" t="s">
        <v>356</v>
      </c>
      <c r="AH137" s="33" t="str">
        <f>HYPERLINK("https://docs.google.com/document/d/12qKaqDTA40f8qxQAUU_wtTRdEwjpjOsa3wmJ7Cm-CR0/edit?usp=drivesdk","Ben Mowbray - 8/29/2018 10:15 AM")</f>
        <v>Ben Mowbray - 8/29/2018 10:15 AM</v>
      </c>
      <c r="AI137" s="30" t="s">
        <v>357</v>
      </c>
    </row>
    <row r="138">
      <c r="A138" s="26">
        <v>43342.405627210646</v>
      </c>
      <c r="B138" s="12" t="s">
        <v>1726</v>
      </c>
      <c r="C138" s="12" t="s">
        <v>1727</v>
      </c>
      <c r="D138" s="12" t="s">
        <v>1728</v>
      </c>
      <c r="E138" s="12" t="s">
        <v>2015</v>
      </c>
      <c r="F138" s="27">
        <v>43342.0</v>
      </c>
      <c r="G138" s="12" t="s">
        <v>1763</v>
      </c>
      <c r="H138" s="29">
        <v>0.6666666666642413</v>
      </c>
      <c r="J138" s="12" t="s">
        <v>1704</v>
      </c>
      <c r="L138" s="12" t="s">
        <v>1626</v>
      </c>
      <c r="M138" s="12" t="s">
        <v>1785</v>
      </c>
      <c r="N138" s="12" t="s">
        <v>2016</v>
      </c>
      <c r="O138" s="12" t="s">
        <v>1735</v>
      </c>
      <c r="P138" s="12" t="s">
        <v>1696</v>
      </c>
      <c r="Q138" s="12" t="s">
        <v>1696</v>
      </c>
      <c r="R138" s="12" t="s">
        <v>1696</v>
      </c>
      <c r="S138" s="12" t="s">
        <v>1696</v>
      </c>
      <c r="T138" s="12" t="s">
        <v>1696</v>
      </c>
      <c r="U138" s="12" t="s">
        <v>1696</v>
      </c>
      <c r="V138" s="12" t="s">
        <v>1696</v>
      </c>
      <c r="W138" s="12" t="s">
        <v>1696</v>
      </c>
      <c r="X138" s="12" t="s">
        <v>1696</v>
      </c>
      <c r="Y138" s="12" t="s">
        <v>1696</v>
      </c>
      <c r="Z138" s="12" t="s">
        <v>1696</v>
      </c>
      <c r="AA138" s="12" t="s">
        <v>1696</v>
      </c>
      <c r="AB138" s="12" t="s">
        <v>1696</v>
      </c>
      <c r="AE138" s="29">
        <v>0.41666666666424135</v>
      </c>
      <c r="AF138" s="30" t="s">
        <v>358</v>
      </c>
      <c r="AG138" s="33" t="s">
        <v>359</v>
      </c>
      <c r="AH138" s="33" t="str">
        <f>HYPERLINK("https://docs.google.com/document/d/1n6ckOJjtT5Kbqv-5GwvO7IK8Y_xs2-jWe9dPvarxoEo/edit?usp=drivesdk","James Tomazinis - 8/30/2018 10:00 AM")</f>
        <v>James Tomazinis - 8/30/2018 10:00 AM</v>
      </c>
      <c r="AI138" s="30" t="s">
        <v>360</v>
      </c>
    </row>
    <row r="139">
      <c r="A139" s="26">
        <v>43347.344824988424</v>
      </c>
      <c r="B139" s="12" t="s">
        <v>1713</v>
      </c>
      <c r="C139" s="12" t="s">
        <v>1808</v>
      </c>
      <c r="D139" s="12" t="s">
        <v>1622</v>
      </c>
      <c r="E139" s="12" t="s">
        <v>1836</v>
      </c>
      <c r="F139" s="27">
        <v>43347.0</v>
      </c>
      <c r="G139" s="12" t="s">
        <v>1823</v>
      </c>
      <c r="H139" s="29">
        <v>0.6458333333357587</v>
      </c>
      <c r="I139" s="26">
        <v>43347.6875</v>
      </c>
      <c r="J139" s="12" t="s">
        <v>1658</v>
      </c>
      <c r="L139" s="12" t="s">
        <v>2017</v>
      </c>
      <c r="M139" s="12" t="s">
        <v>1824</v>
      </c>
      <c r="N139" s="12" t="s">
        <v>2018</v>
      </c>
      <c r="O139" s="12" t="s">
        <v>1826</v>
      </c>
      <c r="P139" s="12" t="s">
        <v>1696</v>
      </c>
      <c r="Q139" s="12" t="s">
        <v>1696</v>
      </c>
      <c r="R139" s="12" t="s">
        <v>1696</v>
      </c>
      <c r="S139" s="12" t="s">
        <v>1696</v>
      </c>
      <c r="T139" s="12" t="s">
        <v>1696</v>
      </c>
      <c r="U139" s="12" t="s">
        <v>1696</v>
      </c>
      <c r="V139" s="12" t="s">
        <v>1696</v>
      </c>
      <c r="W139" s="12" t="s">
        <v>1696</v>
      </c>
      <c r="X139" s="12" t="s">
        <v>1696</v>
      </c>
      <c r="Y139" s="12" t="s">
        <v>1696</v>
      </c>
      <c r="Z139" s="12" t="s">
        <v>1696</v>
      </c>
      <c r="AA139" s="12" t="s">
        <v>1696</v>
      </c>
      <c r="AB139" s="12" t="s">
        <v>1696</v>
      </c>
      <c r="AE139" s="29">
        <v>0.40277777778101154</v>
      </c>
      <c r="AF139" s="30" t="s">
        <v>361</v>
      </c>
      <c r="AG139" s="33" t="s">
        <v>362</v>
      </c>
      <c r="AH139" s="33" t="str">
        <f>HYPERLINK("https://docs.google.com/document/d/1Lmr6ukcytK5A4BRLAWOczZ0_erfF7eQyrndmyQl55_4/edit?usp=drivesdk","Ben Mowbray - 9/4/2018 9:40 AM")</f>
        <v>Ben Mowbray - 9/4/2018 9:40 AM</v>
      </c>
      <c r="AI139" s="30" t="s">
        <v>363</v>
      </c>
    </row>
    <row r="140">
      <c r="A140" s="26">
        <v>43347.660692743055</v>
      </c>
      <c r="B140" s="12" t="s">
        <v>1726</v>
      </c>
      <c r="C140" s="12" t="s">
        <v>1727</v>
      </c>
      <c r="D140" s="12" t="s">
        <v>1728</v>
      </c>
      <c r="E140" s="12" t="s">
        <v>1809</v>
      </c>
      <c r="F140" s="27">
        <v>43348.0</v>
      </c>
      <c r="G140" s="12" t="s">
        <v>2019</v>
      </c>
      <c r="H140" s="29">
        <v>0.5416666666642413</v>
      </c>
      <c r="J140" s="12" t="s">
        <v>1704</v>
      </c>
      <c r="L140" s="12" t="s">
        <v>1720</v>
      </c>
      <c r="M140" s="12" t="s">
        <v>1940</v>
      </c>
      <c r="N140" s="12" t="s">
        <v>1779</v>
      </c>
      <c r="O140" s="12" t="s">
        <v>1735</v>
      </c>
      <c r="P140" s="12" t="s">
        <v>1696</v>
      </c>
      <c r="Q140" s="12" t="s">
        <v>1696</v>
      </c>
      <c r="R140" s="12" t="s">
        <v>1696</v>
      </c>
      <c r="S140" s="12" t="s">
        <v>1696</v>
      </c>
      <c r="T140" s="12" t="s">
        <v>1696</v>
      </c>
      <c r="U140" s="12" t="s">
        <v>1696</v>
      </c>
      <c r="V140" s="12" t="s">
        <v>1696</v>
      </c>
      <c r="W140" s="12" t="s">
        <v>1696</v>
      </c>
      <c r="X140" s="12" t="s">
        <v>1696</v>
      </c>
      <c r="Y140" s="12" t="s">
        <v>1696</v>
      </c>
      <c r="Z140" s="12" t="s">
        <v>1696</v>
      </c>
      <c r="AA140" s="12" t="s">
        <v>1696</v>
      </c>
      <c r="AB140" s="12" t="s">
        <v>1696</v>
      </c>
      <c r="AE140" s="29">
        <v>0.27083333333575865</v>
      </c>
      <c r="AF140" s="30" t="s">
        <v>364</v>
      </c>
      <c r="AG140" s="33" t="s">
        <v>365</v>
      </c>
      <c r="AH140" s="33" t="str">
        <f>HYPERLINK("https://docs.google.com/document/d/1O7zNwJ7tD7cHfDAv1vY8YMgIs28bfzrPCLqAZVh0D54/edit?usp=drivesdk","James Tomazinis - 9/5/2018 6:30 AM")</f>
        <v>James Tomazinis - 9/5/2018 6:30 AM</v>
      </c>
      <c r="AI140" s="30" t="s">
        <v>366</v>
      </c>
    </row>
    <row r="141">
      <c r="A141" s="26">
        <v>43348.31595107639</v>
      </c>
      <c r="B141" s="12" t="s">
        <v>1699</v>
      </c>
      <c r="C141" s="12" t="s">
        <v>1710</v>
      </c>
      <c r="D141" s="12" t="s">
        <v>1916</v>
      </c>
      <c r="E141" s="12" t="s">
        <v>1851</v>
      </c>
      <c r="F141" s="27">
        <v>43348.0</v>
      </c>
      <c r="G141" s="12" t="s">
        <v>2020</v>
      </c>
      <c r="H141" s="29">
        <v>0.625</v>
      </c>
      <c r="I141" s="26">
        <v>43348.66666666667</v>
      </c>
      <c r="J141" s="12" t="s">
        <v>1693</v>
      </c>
      <c r="L141" s="12" t="s">
        <v>1626</v>
      </c>
      <c r="M141" s="12" t="s">
        <v>1706</v>
      </c>
      <c r="N141" s="12" t="s">
        <v>2021</v>
      </c>
      <c r="O141" s="12" t="s">
        <v>1699</v>
      </c>
      <c r="P141" s="12" t="s">
        <v>1696</v>
      </c>
      <c r="Q141" s="12" t="s">
        <v>1696</v>
      </c>
      <c r="R141" s="12" t="s">
        <v>1696</v>
      </c>
      <c r="S141" s="12" t="s">
        <v>1696</v>
      </c>
      <c r="T141" s="12" t="s">
        <v>1696</v>
      </c>
      <c r="U141" s="12" t="s">
        <v>1696</v>
      </c>
      <c r="V141" s="12" t="s">
        <v>1696</v>
      </c>
      <c r="W141" s="12" t="s">
        <v>1696</v>
      </c>
      <c r="X141" s="12" t="s">
        <v>1696</v>
      </c>
      <c r="Y141" s="12" t="s">
        <v>1696</v>
      </c>
      <c r="Z141" s="12" t="s">
        <v>1696</v>
      </c>
      <c r="AA141" s="12" t="s">
        <v>1696</v>
      </c>
      <c r="AB141" s="12" t="s">
        <v>1696</v>
      </c>
      <c r="AE141" s="29">
        <v>0.39583333333575865</v>
      </c>
      <c r="AF141" s="30" t="s">
        <v>367</v>
      </c>
      <c r="AG141" s="33" t="s">
        <v>368</v>
      </c>
      <c r="AH141" s="33" t="str">
        <f>HYPERLINK("https://docs.google.com/document/d/1kJHcvyhgyIpKw8P9mBqauadO_E-MGaX1yx9HngVDcEU/edit?usp=drivesdk","Pamela Marcum - 9/5/2018 9:30 AM")</f>
        <v>Pamela Marcum - 9/5/2018 9:30 AM</v>
      </c>
      <c r="AI141" s="30" t="s">
        <v>369</v>
      </c>
    </row>
    <row r="142">
      <c r="A142" s="26">
        <v>43348.33764722222</v>
      </c>
      <c r="B142" s="12" t="s">
        <v>1713</v>
      </c>
      <c r="C142" s="12" t="s">
        <v>1808</v>
      </c>
      <c r="D142" s="12" t="s">
        <v>1622</v>
      </c>
      <c r="E142" s="12" t="s">
        <v>1623</v>
      </c>
      <c r="F142" s="27">
        <v>43348.0</v>
      </c>
      <c r="G142" s="12" t="s">
        <v>2022</v>
      </c>
      <c r="H142" s="29">
        <v>0.5625</v>
      </c>
      <c r="I142" s="26">
        <v>43348.59027777778</v>
      </c>
      <c r="J142" s="12" t="s">
        <v>1658</v>
      </c>
      <c r="L142" s="12" t="s">
        <v>2017</v>
      </c>
      <c r="M142" s="12" t="s">
        <v>1824</v>
      </c>
      <c r="N142" s="12" t="s">
        <v>2023</v>
      </c>
      <c r="O142" s="12" t="s">
        <v>1826</v>
      </c>
      <c r="P142" s="12" t="s">
        <v>1696</v>
      </c>
      <c r="Q142" s="12" t="s">
        <v>1696</v>
      </c>
      <c r="R142" s="12" t="s">
        <v>1696</v>
      </c>
      <c r="S142" s="12" t="s">
        <v>1696</v>
      </c>
      <c r="T142" s="12" t="s">
        <v>1696</v>
      </c>
      <c r="U142" s="12" t="s">
        <v>1696</v>
      </c>
      <c r="V142" s="12" t="s">
        <v>1696</v>
      </c>
      <c r="W142" s="12" t="s">
        <v>1696</v>
      </c>
      <c r="X142" s="12" t="s">
        <v>1696</v>
      </c>
      <c r="Y142" s="12" t="s">
        <v>1696</v>
      </c>
      <c r="Z142" s="12" t="s">
        <v>1696</v>
      </c>
      <c r="AA142" s="12" t="s">
        <v>1696</v>
      </c>
      <c r="AB142" s="12" t="s">
        <v>1696</v>
      </c>
      <c r="AE142" s="29">
        <v>0.38888888889050577</v>
      </c>
      <c r="AF142" s="30" t="s">
        <v>370</v>
      </c>
      <c r="AG142" s="33" t="s">
        <v>371</v>
      </c>
      <c r="AH142" s="33" t="str">
        <f>HYPERLINK("https://docs.google.com/document/d/1hlaZ7sS4mysE6nV8d7dJ53WrBvYx2rjjVBaLtrkEUXE/edit?usp=drivesdk","Ben Mowbray - 9/5/2018 9:20 AM")</f>
        <v>Ben Mowbray - 9/5/2018 9:20 AM</v>
      </c>
      <c r="AI142" s="30" t="s">
        <v>372</v>
      </c>
    </row>
    <row r="143">
      <c r="A143" s="26">
        <v>43348.60891362268</v>
      </c>
      <c r="B143" s="12" t="s">
        <v>1733</v>
      </c>
      <c r="C143" s="12" t="s">
        <v>1727</v>
      </c>
      <c r="D143" s="12" t="s">
        <v>1728</v>
      </c>
      <c r="E143" s="12" t="s">
        <v>1683</v>
      </c>
      <c r="F143" s="27">
        <v>43349.0</v>
      </c>
      <c r="G143" s="12" t="s">
        <v>2024</v>
      </c>
      <c r="H143" s="29">
        <v>0.375</v>
      </c>
      <c r="J143" s="12" t="s">
        <v>1730</v>
      </c>
      <c r="L143" s="12" t="s">
        <v>1788</v>
      </c>
      <c r="M143" s="12" t="s">
        <v>1785</v>
      </c>
      <c r="N143" s="12" t="s">
        <v>1832</v>
      </c>
      <c r="O143" s="12" t="s">
        <v>1735</v>
      </c>
      <c r="P143" s="12" t="s">
        <v>1696</v>
      </c>
      <c r="Q143" s="12" t="s">
        <v>1696</v>
      </c>
      <c r="R143" s="12" t="s">
        <v>1696</v>
      </c>
      <c r="S143" s="12" t="s">
        <v>1696</v>
      </c>
      <c r="T143" s="12" t="s">
        <v>1696</v>
      </c>
      <c r="U143" s="12" t="s">
        <v>1696</v>
      </c>
      <c r="V143" s="12" t="s">
        <v>1696</v>
      </c>
      <c r="W143" s="12" t="s">
        <v>1696</v>
      </c>
      <c r="X143" s="12" t="s">
        <v>1696</v>
      </c>
      <c r="Y143" s="12" t="s">
        <v>1696</v>
      </c>
      <c r="Z143" s="12" t="s">
        <v>1696</v>
      </c>
      <c r="AA143" s="12" t="s">
        <v>1696</v>
      </c>
      <c r="AB143" s="12" t="s">
        <v>1696</v>
      </c>
      <c r="AE143" s="29">
        <v>0.30208333333575865</v>
      </c>
      <c r="AF143" s="30" t="s">
        <v>373</v>
      </c>
      <c r="AG143" s="33" t="s">
        <v>374</v>
      </c>
      <c r="AH143" s="33" t="str">
        <f>HYPERLINK("https://docs.google.com/document/d/1uWaH_X62R2Liuv1Udb-7AgjTcZgYdkQkjrG1FW0qql4/edit?usp=drivesdk","Jimmy Tomazinis - 9/6/2018 7:15 AM")</f>
        <v>Jimmy Tomazinis - 9/6/2018 7:15 AM</v>
      </c>
      <c r="AI143" s="30" t="s">
        <v>375</v>
      </c>
    </row>
    <row r="144">
      <c r="A144" s="26">
        <v>43349.33683384259</v>
      </c>
      <c r="B144" s="12" t="s">
        <v>1713</v>
      </c>
      <c r="C144" s="12" t="s">
        <v>1979</v>
      </c>
      <c r="D144" s="12" t="s">
        <v>1622</v>
      </c>
      <c r="E144" s="12" t="s">
        <v>2025</v>
      </c>
      <c r="F144" s="27">
        <v>43349.0</v>
      </c>
      <c r="G144" s="12" t="s">
        <v>2026</v>
      </c>
      <c r="H144" s="29">
        <v>0.5833333333357587</v>
      </c>
      <c r="I144" s="26">
        <v>43349.625</v>
      </c>
      <c r="J144" s="12" t="s">
        <v>1704</v>
      </c>
      <c r="L144" s="12" t="s">
        <v>1720</v>
      </c>
      <c r="M144" s="12" t="s">
        <v>1824</v>
      </c>
      <c r="N144" s="12" t="s">
        <v>1981</v>
      </c>
      <c r="O144" s="12" t="s">
        <v>1826</v>
      </c>
      <c r="P144" s="12" t="s">
        <v>1696</v>
      </c>
      <c r="Q144" s="12" t="s">
        <v>1696</v>
      </c>
      <c r="R144" s="12" t="s">
        <v>1696</v>
      </c>
      <c r="S144" s="12" t="s">
        <v>1696</v>
      </c>
      <c r="T144" s="12" t="s">
        <v>1696</v>
      </c>
      <c r="U144" s="12" t="s">
        <v>1696</v>
      </c>
      <c r="V144" s="12" t="s">
        <v>1696</v>
      </c>
      <c r="W144" s="12" t="s">
        <v>1696</v>
      </c>
      <c r="X144" s="12" t="s">
        <v>1696</v>
      </c>
      <c r="Y144" s="12" t="s">
        <v>1696</v>
      </c>
      <c r="Z144" s="12" t="s">
        <v>1696</v>
      </c>
      <c r="AA144" s="12" t="s">
        <v>1696</v>
      </c>
      <c r="AB144" s="12" t="s">
        <v>1696</v>
      </c>
      <c r="AE144" s="29">
        <v>0.38888888889050577</v>
      </c>
      <c r="AF144" s="30" t="s">
        <v>376</v>
      </c>
      <c r="AG144" s="33" t="s">
        <v>377</v>
      </c>
      <c r="AH144" s="33" t="str">
        <f>HYPERLINK("https://docs.google.com/document/d/1yedKFixA69V0VtSDY7-I0SVCLPtcIuBrNsPWlFA5t0Q/edit?usp=drivesdk","Ben Mowbray - 9/6/2018 9:20 AM")</f>
        <v>Ben Mowbray - 9/6/2018 9:20 AM</v>
      </c>
      <c r="AI144" s="30" t="s">
        <v>378</v>
      </c>
    </row>
    <row r="145">
      <c r="A145" s="26">
        <v>43349.379244537035</v>
      </c>
      <c r="B145" s="12" t="s">
        <v>1699</v>
      </c>
      <c r="C145" s="12" t="s">
        <v>1700</v>
      </c>
      <c r="D145" s="12" t="s">
        <v>1916</v>
      </c>
      <c r="E145" s="12" t="s">
        <v>1851</v>
      </c>
      <c r="F145" s="27">
        <v>43349.0</v>
      </c>
      <c r="G145" s="12" t="s">
        <v>2027</v>
      </c>
      <c r="H145" s="29">
        <v>0.625</v>
      </c>
      <c r="I145" s="26">
        <v>43348.66666666667</v>
      </c>
      <c r="J145" s="12" t="s">
        <v>1693</v>
      </c>
      <c r="L145" s="12" t="s">
        <v>1626</v>
      </c>
      <c r="M145" s="12" t="s">
        <v>1706</v>
      </c>
      <c r="N145" s="12" t="s">
        <v>2028</v>
      </c>
      <c r="O145" s="12" t="s">
        <v>1699</v>
      </c>
      <c r="P145" s="12" t="s">
        <v>1696</v>
      </c>
      <c r="Q145" s="12" t="s">
        <v>1696</v>
      </c>
      <c r="R145" s="12" t="s">
        <v>1696</v>
      </c>
      <c r="S145" s="12" t="s">
        <v>1696</v>
      </c>
      <c r="T145" s="12" t="s">
        <v>1696</v>
      </c>
      <c r="U145" s="12" t="s">
        <v>1696</v>
      </c>
      <c r="V145" s="12" t="s">
        <v>1696</v>
      </c>
      <c r="W145" s="12" t="s">
        <v>1696</v>
      </c>
      <c r="X145" s="12" t="s">
        <v>1696</v>
      </c>
      <c r="Y145" s="12" t="s">
        <v>1696</v>
      </c>
      <c r="Z145" s="12" t="s">
        <v>1696</v>
      </c>
      <c r="AA145" s="12" t="s">
        <v>1696</v>
      </c>
      <c r="AB145" s="12" t="s">
        <v>1696</v>
      </c>
      <c r="AE145" s="29">
        <v>0.4375</v>
      </c>
      <c r="AF145" s="30" t="s">
        <v>379</v>
      </c>
      <c r="AG145" s="33" t="s">
        <v>380</v>
      </c>
      <c r="AH145" s="33" t="str">
        <f>HYPERLINK("https://docs.google.com/document/d/17DVNObsevh1PglvOtUWG2_f9xR1DhwO97Kb9C_lXeyg/edit?usp=drivesdk","Pamela Marcum - 9/6/2018 10:30 AM")</f>
        <v>Pamela Marcum - 9/6/2018 10:30 AM</v>
      </c>
      <c r="AI145" s="30" t="s">
        <v>381</v>
      </c>
    </row>
    <row r="146">
      <c r="A146" s="26">
        <v>43350.373606030094</v>
      </c>
      <c r="B146" s="12" t="s">
        <v>1713</v>
      </c>
      <c r="C146" s="12" t="s">
        <v>1808</v>
      </c>
      <c r="D146" s="12" t="s">
        <v>1622</v>
      </c>
      <c r="E146" s="12" t="s">
        <v>2029</v>
      </c>
      <c r="F146" s="27">
        <v>43350.0</v>
      </c>
      <c r="G146" s="12" t="s">
        <v>2030</v>
      </c>
      <c r="H146" s="29">
        <v>0.5416666666642413</v>
      </c>
      <c r="I146" s="26">
        <v>43350.569444444445</v>
      </c>
      <c r="J146" s="12" t="s">
        <v>1704</v>
      </c>
      <c r="L146" s="12" t="s">
        <v>1720</v>
      </c>
      <c r="M146" s="12" t="s">
        <v>1824</v>
      </c>
      <c r="N146" s="12" t="s">
        <v>2031</v>
      </c>
      <c r="O146" s="12" t="s">
        <v>1826</v>
      </c>
      <c r="P146" s="12" t="s">
        <v>1696</v>
      </c>
      <c r="Q146" s="12" t="s">
        <v>1696</v>
      </c>
      <c r="R146" s="12" t="s">
        <v>1696</v>
      </c>
      <c r="S146" s="12" t="s">
        <v>1696</v>
      </c>
      <c r="T146" s="12" t="s">
        <v>1696</v>
      </c>
      <c r="U146" s="12" t="s">
        <v>1696</v>
      </c>
      <c r="V146" s="12" t="s">
        <v>1696</v>
      </c>
      <c r="W146" s="12" t="s">
        <v>1696</v>
      </c>
      <c r="X146" s="12" t="s">
        <v>1696</v>
      </c>
      <c r="Y146" s="12" t="s">
        <v>1696</v>
      </c>
      <c r="Z146" s="12" t="s">
        <v>1696</v>
      </c>
      <c r="AA146" s="12" t="s">
        <v>1696</v>
      </c>
      <c r="AB146" s="12" t="s">
        <v>1696</v>
      </c>
      <c r="AE146" s="29">
        <v>0.4375</v>
      </c>
      <c r="AF146" s="30" t="s">
        <v>382</v>
      </c>
      <c r="AG146" s="33" t="s">
        <v>383</v>
      </c>
      <c r="AH146" s="33" t="str">
        <f>HYPERLINK("https://docs.google.com/document/d/1vK2OVKgBHmbnDyydJiI28-r72XA9d-1diz04IeBEKo4/edit?usp=drivesdk","Ben Mowbray - 9/7/2018 10:30 AM")</f>
        <v>Ben Mowbray - 9/7/2018 10:30 AM</v>
      </c>
      <c r="AI146" s="30" t="s">
        <v>384</v>
      </c>
    </row>
    <row r="147">
      <c r="A147" s="26">
        <v>43350.48477306713</v>
      </c>
      <c r="B147" s="12" t="s">
        <v>1744</v>
      </c>
      <c r="C147" s="12" t="s">
        <v>1966</v>
      </c>
      <c r="D147" s="12" t="s">
        <v>1916</v>
      </c>
      <c r="E147" s="12" t="s">
        <v>2032</v>
      </c>
      <c r="F147" s="27">
        <v>43350.0</v>
      </c>
      <c r="G147" s="12" t="s">
        <v>2033</v>
      </c>
      <c r="H147" s="29">
        <v>0.625</v>
      </c>
      <c r="I147" s="26">
        <v>43350.66666666667</v>
      </c>
      <c r="J147" s="12" t="s">
        <v>1693</v>
      </c>
      <c r="L147" s="12" t="s">
        <v>1626</v>
      </c>
      <c r="M147" s="12" t="s">
        <v>1706</v>
      </c>
      <c r="N147" s="12" t="s">
        <v>2034</v>
      </c>
      <c r="O147" s="12" t="s">
        <v>1708</v>
      </c>
      <c r="P147" s="12" t="s">
        <v>1696</v>
      </c>
      <c r="Q147" s="12" t="s">
        <v>1696</v>
      </c>
      <c r="R147" s="12" t="s">
        <v>1696</v>
      </c>
      <c r="S147" s="12" t="s">
        <v>1696</v>
      </c>
      <c r="T147" s="12" t="s">
        <v>1696</v>
      </c>
      <c r="U147" s="12" t="s">
        <v>1696</v>
      </c>
      <c r="V147" s="12" t="s">
        <v>1696</v>
      </c>
      <c r="W147" s="12" t="s">
        <v>1696</v>
      </c>
      <c r="X147" s="12" t="s">
        <v>1696</v>
      </c>
      <c r="Y147" s="12" t="s">
        <v>1696</v>
      </c>
      <c r="Z147" s="12" t="s">
        <v>1696</v>
      </c>
      <c r="AA147" s="12" t="s">
        <v>1696</v>
      </c>
      <c r="AB147" s="12" t="s">
        <v>1696</v>
      </c>
      <c r="AE147" s="29">
        <v>0.47916666666424135</v>
      </c>
      <c r="AF147" s="30" t="s">
        <v>385</v>
      </c>
      <c r="AG147" s="33" t="s">
        <v>386</v>
      </c>
      <c r="AH147" s="33" t="str">
        <f>HYPERLINK("https://docs.google.com/document/d/1pOCINOcEnSuc-joWQ1QIg6quFm4xBtL_1Iljg7H-ldU/edit?usp=drivesdk","Pam Marcum - 9/7/2018 11:30 AM")</f>
        <v>Pam Marcum - 9/7/2018 11:30 AM</v>
      </c>
      <c r="AI147" s="30" t="s">
        <v>387</v>
      </c>
    </row>
    <row r="148">
      <c r="A148" s="26">
        <v>43352.41985236111</v>
      </c>
      <c r="B148" s="12" t="s">
        <v>1744</v>
      </c>
      <c r="C148" s="12" t="s">
        <v>1710</v>
      </c>
      <c r="D148" s="12" t="s">
        <v>1916</v>
      </c>
      <c r="E148" s="12" t="s">
        <v>2035</v>
      </c>
      <c r="F148" s="27">
        <v>43352.0</v>
      </c>
      <c r="G148" s="12" t="s">
        <v>2036</v>
      </c>
      <c r="H148" s="29">
        <v>0.7916666666642413</v>
      </c>
      <c r="I148" s="26">
        <v>43352.83333333333</v>
      </c>
      <c r="J148" s="12" t="s">
        <v>1730</v>
      </c>
      <c r="L148" s="12" t="s">
        <v>1788</v>
      </c>
      <c r="M148" s="12" t="s">
        <v>1706</v>
      </c>
      <c r="N148" s="12" t="s">
        <v>2037</v>
      </c>
      <c r="O148" s="12" t="s">
        <v>1708</v>
      </c>
      <c r="P148" s="12" t="s">
        <v>1696</v>
      </c>
      <c r="Q148" s="12" t="s">
        <v>1696</v>
      </c>
      <c r="R148" s="12" t="s">
        <v>1696</v>
      </c>
      <c r="S148" s="12" t="s">
        <v>1696</v>
      </c>
      <c r="T148" s="12" t="s">
        <v>1696</v>
      </c>
      <c r="U148" s="12" t="s">
        <v>1696</v>
      </c>
      <c r="V148" s="12" t="s">
        <v>1696</v>
      </c>
      <c r="W148" s="12" t="s">
        <v>1696</v>
      </c>
      <c r="X148" s="12" t="s">
        <v>1696</v>
      </c>
      <c r="Y148" s="12" t="s">
        <v>1696</v>
      </c>
      <c r="Z148" s="12" t="s">
        <v>1696</v>
      </c>
      <c r="AA148" s="12" t="s">
        <v>1696</v>
      </c>
      <c r="AB148" s="12" t="s">
        <v>1696</v>
      </c>
      <c r="AE148" s="29">
        <v>0.5416666666642413</v>
      </c>
      <c r="AF148" s="30" t="s">
        <v>388</v>
      </c>
      <c r="AG148" s="33" t="s">
        <v>389</v>
      </c>
      <c r="AH148" s="33" t="str">
        <f>HYPERLINK("https://docs.google.com/document/d/1horU_i0hM4yRqRXVdDj8o-byRvvnkNKOrgAhhkzyH94/edit?usp=drivesdk","Pam Marcum - 9/9/2018 1:00 PM")</f>
        <v>Pam Marcum - 9/9/2018 1:00 PM</v>
      </c>
      <c r="AI148" s="30" t="s">
        <v>390</v>
      </c>
    </row>
    <row r="149">
      <c r="A149" s="26">
        <v>43352.5349496875</v>
      </c>
      <c r="B149" s="12" t="s">
        <v>1713</v>
      </c>
      <c r="C149" s="12" t="s">
        <v>1808</v>
      </c>
      <c r="D149" s="12" t="s">
        <v>1916</v>
      </c>
      <c r="E149" s="12" t="s">
        <v>2038</v>
      </c>
      <c r="F149" s="27">
        <v>43352.0</v>
      </c>
      <c r="G149" s="12" t="s">
        <v>2039</v>
      </c>
      <c r="H149" s="29">
        <v>0.75</v>
      </c>
      <c r="I149" s="26">
        <v>43352.79166666667</v>
      </c>
      <c r="J149" s="12" t="s">
        <v>1658</v>
      </c>
      <c r="L149" s="12" t="s">
        <v>1720</v>
      </c>
      <c r="M149" s="12" t="s">
        <v>1824</v>
      </c>
      <c r="N149" s="12" t="s">
        <v>2040</v>
      </c>
      <c r="O149" s="12" t="s">
        <v>1826</v>
      </c>
      <c r="P149" s="12" t="s">
        <v>1696</v>
      </c>
      <c r="Q149" s="12" t="s">
        <v>1696</v>
      </c>
      <c r="R149" s="12" t="s">
        <v>1696</v>
      </c>
      <c r="S149" s="12" t="s">
        <v>1696</v>
      </c>
      <c r="T149" s="12" t="s">
        <v>1696</v>
      </c>
      <c r="U149" s="12" t="s">
        <v>1696</v>
      </c>
      <c r="V149" s="12" t="s">
        <v>1696</v>
      </c>
      <c r="W149" s="12" t="s">
        <v>1696</v>
      </c>
      <c r="X149" s="12" t="s">
        <v>1696</v>
      </c>
      <c r="Y149" s="12" t="s">
        <v>1696</v>
      </c>
      <c r="Z149" s="12" t="s">
        <v>1696</v>
      </c>
      <c r="AA149" s="12" t="s">
        <v>1696</v>
      </c>
      <c r="AB149" s="12" t="s">
        <v>1696</v>
      </c>
      <c r="AE149" s="29">
        <v>0.5833333333357587</v>
      </c>
      <c r="AF149" s="30" t="s">
        <v>391</v>
      </c>
      <c r="AG149" s="33" t="s">
        <v>392</v>
      </c>
      <c r="AH149" s="33" t="str">
        <f>HYPERLINK("https://docs.google.com/document/d/1cwuPEokQaH8ROzsr7i8PtwhzKFzoCSG6aC6VvMPnr4c/edit?usp=drivesdk","Ben Mowbray - 9/9/2018 2:00 PM")</f>
        <v>Ben Mowbray - 9/9/2018 2:00 PM</v>
      </c>
      <c r="AI149" s="30" t="s">
        <v>393</v>
      </c>
    </row>
    <row r="150">
      <c r="A150" s="26">
        <v>43353.46825475694</v>
      </c>
      <c r="B150" s="12" t="s">
        <v>1713</v>
      </c>
      <c r="C150" s="12" t="s">
        <v>1808</v>
      </c>
      <c r="D150" s="12" t="s">
        <v>1916</v>
      </c>
      <c r="E150" s="12" t="s">
        <v>1857</v>
      </c>
      <c r="F150" s="27">
        <v>43353.0</v>
      </c>
      <c r="G150" s="12" t="s">
        <v>2041</v>
      </c>
      <c r="H150" s="29">
        <v>0.7916666666642413</v>
      </c>
      <c r="I150" s="26">
        <v>43353.83333333333</v>
      </c>
      <c r="J150" s="12" t="s">
        <v>1704</v>
      </c>
      <c r="L150" s="12" t="s">
        <v>1720</v>
      </c>
      <c r="M150" s="12" t="s">
        <v>1816</v>
      </c>
      <c r="N150" s="12" t="s">
        <v>2042</v>
      </c>
      <c r="O150" s="12" t="s">
        <v>1708</v>
      </c>
      <c r="P150" s="12" t="s">
        <v>1696</v>
      </c>
      <c r="Q150" s="12" t="s">
        <v>1696</v>
      </c>
      <c r="R150" s="12" t="s">
        <v>1696</v>
      </c>
      <c r="S150" s="12" t="s">
        <v>1696</v>
      </c>
      <c r="T150" s="12" t="s">
        <v>1696</v>
      </c>
      <c r="U150" s="12" t="s">
        <v>1696</v>
      </c>
      <c r="V150" s="12" t="s">
        <v>1696</v>
      </c>
      <c r="W150" s="12" t="s">
        <v>1696</v>
      </c>
      <c r="X150" s="12" t="s">
        <v>1696</v>
      </c>
      <c r="Y150" s="12" t="s">
        <v>1696</v>
      </c>
      <c r="Z150" s="12" t="s">
        <v>1696</v>
      </c>
      <c r="AA150" s="12" t="s">
        <v>1696</v>
      </c>
      <c r="AB150" s="12" t="s">
        <v>1696</v>
      </c>
      <c r="AE150" s="29">
        <v>0.5555555555547471</v>
      </c>
      <c r="AF150" s="30" t="s">
        <v>394</v>
      </c>
      <c r="AG150" s="33" t="s">
        <v>395</v>
      </c>
      <c r="AH150" s="33" t="str">
        <f>HYPERLINK("https://docs.google.com/document/d/18a8HUQtBa0oDSzts9fdeoJSPbEzLp3lUXgyOK0PBc3I/edit?usp=drivesdk","Ben Mowbray - 9/10/2018 1:20 PM")</f>
        <v>Ben Mowbray - 9/10/2018 1:20 PM</v>
      </c>
      <c r="AI150" s="30" t="s">
        <v>396</v>
      </c>
    </row>
    <row r="151">
      <c r="A151" s="26">
        <v>43353.549159016206</v>
      </c>
      <c r="B151" s="12" t="s">
        <v>1699</v>
      </c>
      <c r="C151" s="12" t="s">
        <v>1710</v>
      </c>
      <c r="D151" s="12" t="s">
        <v>1916</v>
      </c>
      <c r="E151" s="12" t="s">
        <v>1926</v>
      </c>
      <c r="F151" s="27">
        <v>43353.0</v>
      </c>
      <c r="G151" s="12" t="s">
        <v>2043</v>
      </c>
      <c r="H151" s="29">
        <v>0.75</v>
      </c>
      <c r="I151" s="26">
        <v>43353.79166666667</v>
      </c>
      <c r="J151" s="12" t="s">
        <v>1704</v>
      </c>
      <c r="L151" s="12" t="s">
        <v>1720</v>
      </c>
      <c r="M151" s="12" t="s">
        <v>1816</v>
      </c>
      <c r="N151" s="12" t="s">
        <v>2044</v>
      </c>
      <c r="O151" s="12" t="s">
        <v>1744</v>
      </c>
      <c r="P151" s="12" t="s">
        <v>1696</v>
      </c>
      <c r="Q151" s="12" t="s">
        <v>1696</v>
      </c>
      <c r="R151" s="12" t="s">
        <v>1696</v>
      </c>
      <c r="S151" s="12" t="s">
        <v>1696</v>
      </c>
      <c r="T151" s="12" t="s">
        <v>1696</v>
      </c>
      <c r="U151" s="12" t="s">
        <v>1696</v>
      </c>
      <c r="V151" s="12" t="s">
        <v>1696</v>
      </c>
      <c r="W151" s="12" t="s">
        <v>1696</v>
      </c>
      <c r="X151" s="12" t="s">
        <v>1696</v>
      </c>
      <c r="Y151" s="12" t="s">
        <v>1696</v>
      </c>
      <c r="Z151" s="12" t="s">
        <v>1696</v>
      </c>
      <c r="AA151" s="12" t="s">
        <v>1696</v>
      </c>
      <c r="AB151" s="12" t="s">
        <v>1696</v>
      </c>
      <c r="AE151" s="29">
        <v>0.5833333333357587</v>
      </c>
      <c r="AF151" s="30" t="s">
        <v>397</v>
      </c>
      <c r="AG151" s="33" t="s">
        <v>398</v>
      </c>
      <c r="AH151" s="33" t="str">
        <f>HYPERLINK("https://docs.google.com/document/d/1o5u6URG4eEL0bZO7Pcc_tA0H2uas6Y_qmD-HJgPbqg4/edit?usp=drivesdk","Pamela Marcum - 9/10/2018 2:00 PM")</f>
        <v>Pamela Marcum - 9/10/2018 2:00 PM</v>
      </c>
      <c r="AI151" s="30" t="s">
        <v>399</v>
      </c>
    </row>
    <row r="152">
      <c r="A152" s="26">
        <v>43354.26965054398</v>
      </c>
      <c r="B152" s="12" t="s">
        <v>1744</v>
      </c>
      <c r="C152" s="12" t="s">
        <v>2045</v>
      </c>
      <c r="D152" s="12" t="s">
        <v>1916</v>
      </c>
      <c r="E152" s="12" t="s">
        <v>1714</v>
      </c>
      <c r="F152" s="27">
        <v>43354.0</v>
      </c>
      <c r="G152" s="12" t="s">
        <v>2036</v>
      </c>
      <c r="H152" s="29">
        <v>0.35416666666424135</v>
      </c>
      <c r="I152" s="26">
        <v>43354.41666666667</v>
      </c>
      <c r="J152" s="12" t="s">
        <v>1704</v>
      </c>
      <c r="L152" s="12" t="s">
        <v>1720</v>
      </c>
      <c r="M152" s="12" t="s">
        <v>1706</v>
      </c>
      <c r="N152" s="12" t="s">
        <v>2046</v>
      </c>
      <c r="O152" s="12" t="s">
        <v>1708</v>
      </c>
      <c r="P152" s="12" t="s">
        <v>1696</v>
      </c>
      <c r="Q152" s="12" t="s">
        <v>1696</v>
      </c>
      <c r="R152" s="12" t="s">
        <v>1696</v>
      </c>
      <c r="S152" s="12" t="s">
        <v>1696</v>
      </c>
      <c r="T152" s="12" t="s">
        <v>1696</v>
      </c>
      <c r="U152" s="12" t="s">
        <v>1696</v>
      </c>
      <c r="V152" s="12" t="s">
        <v>1696</v>
      </c>
      <c r="W152" s="12" t="s">
        <v>1696</v>
      </c>
      <c r="X152" s="12" t="s">
        <v>1696</v>
      </c>
      <c r="Y152" s="12" t="s">
        <v>1696</v>
      </c>
      <c r="Z152" s="12" t="s">
        <v>1696</v>
      </c>
      <c r="AA152" s="12" t="s">
        <v>1696</v>
      </c>
      <c r="AB152" s="12" t="s">
        <v>1696</v>
      </c>
      <c r="AE152" s="29">
        <v>0.28125</v>
      </c>
      <c r="AF152" s="30" t="s">
        <v>400</v>
      </c>
      <c r="AG152" s="33" t="s">
        <v>401</v>
      </c>
      <c r="AH152" s="33" t="str">
        <f>HYPERLINK("https://docs.google.com/document/d/13cBA5zcD8QJszQ_sgnLYt3r_hQFmNxCM9ctlDrF2yaI/edit?usp=drivesdk","Pam Marcum - 9/11/2018 6:45 AM")</f>
        <v>Pam Marcum - 9/11/2018 6:45 AM</v>
      </c>
      <c r="AI152" s="30" t="s">
        <v>402</v>
      </c>
    </row>
    <row r="153">
      <c r="A153" s="26">
        <v>43354.45976626157</v>
      </c>
      <c r="B153" s="12" t="s">
        <v>1797</v>
      </c>
      <c r="C153" s="12" t="s">
        <v>2047</v>
      </c>
      <c r="D153" s="12" t="s">
        <v>1916</v>
      </c>
      <c r="E153" s="12" t="s">
        <v>2015</v>
      </c>
      <c r="F153" s="27">
        <v>43355.0</v>
      </c>
      <c r="G153" s="12" t="s">
        <v>2048</v>
      </c>
      <c r="H153" s="29">
        <v>0.625</v>
      </c>
      <c r="I153" s="26">
        <v>43355.6875</v>
      </c>
      <c r="J153" s="12" t="s">
        <v>1658</v>
      </c>
      <c r="L153" s="12" t="s">
        <v>1626</v>
      </c>
      <c r="M153" s="12" t="s">
        <v>1801</v>
      </c>
      <c r="N153" s="12" t="s">
        <v>2049</v>
      </c>
      <c r="O153" s="12" t="s">
        <v>2050</v>
      </c>
      <c r="P153" s="12" t="s">
        <v>1696</v>
      </c>
      <c r="Q153" s="12" t="s">
        <v>1696</v>
      </c>
      <c r="R153" s="12" t="s">
        <v>1696</v>
      </c>
      <c r="S153" s="12" t="s">
        <v>1696</v>
      </c>
      <c r="T153" s="12" t="s">
        <v>1696</v>
      </c>
      <c r="U153" s="12" t="s">
        <v>1696</v>
      </c>
      <c r="V153" s="12" t="s">
        <v>1696</v>
      </c>
      <c r="W153" s="12" t="s">
        <v>1696</v>
      </c>
      <c r="X153" s="12" t="s">
        <v>1696</v>
      </c>
      <c r="Y153" s="12" t="s">
        <v>1696</v>
      </c>
      <c r="Z153" s="12" t="s">
        <v>1696</v>
      </c>
      <c r="AA153" s="12" t="s">
        <v>1696</v>
      </c>
      <c r="AB153" s="12" t="s">
        <v>1696</v>
      </c>
      <c r="AE153" s="29">
        <v>0.48958333333575865</v>
      </c>
      <c r="AF153" s="30" t="s">
        <v>403</v>
      </c>
      <c r="AG153" s="33" t="s">
        <v>404</v>
      </c>
      <c r="AH153" s="33" t="str">
        <f>HYPERLINK("https://docs.google.com/document/d/1LQqlIwHGCF52aRRtJim0ILCgeeS8U4NH2xgD9iHPfTc/edit?usp=drivesdk","Shannon Dunnigan - 9/12/2018 11:45 AM")</f>
        <v>Shannon Dunnigan - 9/12/2018 11:45 AM</v>
      </c>
      <c r="AI153" s="30" t="s">
        <v>405</v>
      </c>
    </row>
    <row r="154">
      <c r="A154" s="26">
        <v>43354.49469997685</v>
      </c>
      <c r="B154" s="12" t="s">
        <v>1713</v>
      </c>
      <c r="C154" s="12" t="s">
        <v>1808</v>
      </c>
      <c r="D154" s="12" t="s">
        <v>1622</v>
      </c>
      <c r="E154" s="12" t="s">
        <v>1843</v>
      </c>
      <c r="F154" s="27">
        <v>43354.0</v>
      </c>
      <c r="G154" s="12" t="s">
        <v>1975</v>
      </c>
      <c r="H154" s="29">
        <v>0.6041666666642413</v>
      </c>
      <c r="I154" s="26">
        <v>43354.64583333333</v>
      </c>
      <c r="J154" s="12" t="s">
        <v>1658</v>
      </c>
      <c r="L154" s="12" t="s">
        <v>1626</v>
      </c>
      <c r="M154" s="12" t="s">
        <v>1824</v>
      </c>
      <c r="N154" s="12" t="s">
        <v>2051</v>
      </c>
      <c r="O154" s="12" t="s">
        <v>1826</v>
      </c>
      <c r="P154" s="12" t="s">
        <v>1696</v>
      </c>
      <c r="Q154" s="12" t="s">
        <v>1696</v>
      </c>
      <c r="R154" s="12" t="s">
        <v>1696</v>
      </c>
      <c r="S154" s="12" t="s">
        <v>1696</v>
      </c>
      <c r="T154" s="12" t="s">
        <v>1696</v>
      </c>
      <c r="U154" s="12" t="s">
        <v>1696</v>
      </c>
      <c r="V154" s="12" t="s">
        <v>1696</v>
      </c>
      <c r="W154" s="12" t="s">
        <v>1696</v>
      </c>
      <c r="X154" s="12" t="s">
        <v>1696</v>
      </c>
      <c r="Y154" s="12" t="s">
        <v>1696</v>
      </c>
      <c r="Z154" s="12" t="s">
        <v>1696</v>
      </c>
      <c r="AA154" s="12" t="s">
        <v>1696</v>
      </c>
      <c r="AB154" s="12" t="s">
        <v>1696</v>
      </c>
      <c r="AE154" s="29">
        <v>0.39583333333575865</v>
      </c>
      <c r="AF154" s="30" t="s">
        <v>406</v>
      </c>
      <c r="AG154" s="33" t="s">
        <v>407</v>
      </c>
      <c r="AH154" s="33" t="str">
        <f>HYPERLINK("https://docs.google.com/document/d/19gtAry6vLFmaQvsDWVMoI53O_6Z53p6xfjK01wQTQ_Y/edit?usp=drivesdk","Ben Mowbray - 9/11/2018 9:30 AM")</f>
        <v>Ben Mowbray - 9/11/2018 9:30 AM</v>
      </c>
      <c r="AI154" s="30" t="s">
        <v>408</v>
      </c>
    </row>
    <row r="155">
      <c r="A155" s="26">
        <v>43354.50310383102</v>
      </c>
      <c r="B155" s="12" t="s">
        <v>1744</v>
      </c>
      <c r="C155" s="12" t="s">
        <v>1710</v>
      </c>
      <c r="D155" s="12" t="s">
        <v>1916</v>
      </c>
      <c r="E155" s="12" t="s">
        <v>1623</v>
      </c>
      <c r="F155" s="27">
        <v>43354.0</v>
      </c>
      <c r="G155" s="12" t="s">
        <v>1746</v>
      </c>
      <c r="H155" s="29">
        <v>0.8333333333357587</v>
      </c>
      <c r="I155" s="26">
        <v>43354.85416666667</v>
      </c>
      <c r="J155" s="12" t="s">
        <v>1704</v>
      </c>
      <c r="L155" s="12" t="s">
        <v>1720</v>
      </c>
      <c r="M155" s="12" t="s">
        <v>2052</v>
      </c>
      <c r="N155" s="12" t="s">
        <v>2053</v>
      </c>
      <c r="O155" s="12" t="s">
        <v>1708</v>
      </c>
      <c r="P155" s="12" t="s">
        <v>1696</v>
      </c>
      <c r="Q155" s="12" t="s">
        <v>1696</v>
      </c>
      <c r="R155" s="12" t="s">
        <v>1696</v>
      </c>
      <c r="S155" s="12" t="s">
        <v>1696</v>
      </c>
      <c r="T155" s="12" t="s">
        <v>1696</v>
      </c>
      <c r="U155" s="12" t="s">
        <v>1696</v>
      </c>
      <c r="V155" s="12" t="s">
        <v>1696</v>
      </c>
      <c r="W155" s="12" t="s">
        <v>1696</v>
      </c>
      <c r="X155" s="12" t="s">
        <v>1696</v>
      </c>
      <c r="Y155" s="12" t="s">
        <v>1696</v>
      </c>
      <c r="Z155" s="12" t="s">
        <v>1696</v>
      </c>
      <c r="AA155" s="12" t="s">
        <v>1696</v>
      </c>
      <c r="AB155" s="12" t="s">
        <v>1696</v>
      </c>
      <c r="AE155" s="29">
        <v>0.5833333333357587</v>
      </c>
      <c r="AF155" s="30" t="s">
        <v>409</v>
      </c>
      <c r="AG155" s="33" t="s">
        <v>410</v>
      </c>
      <c r="AH155" s="33" t="str">
        <f>HYPERLINK("https://docs.google.com/document/d/1cwjqEBUaX4TZ2uiNweLlEFnrIqkIxDij-KCrl3jgdSs/edit?usp=drivesdk","Pam Marcum - 9/11/2018 2:00 PM")</f>
        <v>Pam Marcum - 9/11/2018 2:00 PM</v>
      </c>
      <c r="AI155" s="30" t="s">
        <v>411</v>
      </c>
    </row>
    <row r="156">
      <c r="A156" s="26">
        <v>43355.342063055556</v>
      </c>
      <c r="B156" s="12" t="s">
        <v>1717</v>
      </c>
      <c r="C156" s="12" t="s">
        <v>1718</v>
      </c>
      <c r="D156" s="12" t="s">
        <v>1916</v>
      </c>
      <c r="E156" s="12" t="s">
        <v>1791</v>
      </c>
      <c r="F156" s="27">
        <v>43355.0</v>
      </c>
      <c r="G156" s="12" t="s">
        <v>2054</v>
      </c>
      <c r="H156" s="29">
        <v>0.5729166666642413</v>
      </c>
      <c r="I156" s="26">
        <v>43355.59375</v>
      </c>
      <c r="J156" s="12" t="s">
        <v>1704</v>
      </c>
      <c r="L156" s="12" t="s">
        <v>1720</v>
      </c>
      <c r="M156" s="12" t="s">
        <v>1781</v>
      </c>
      <c r="N156" s="12" t="s">
        <v>1832</v>
      </c>
      <c r="O156" s="12" t="s">
        <v>1717</v>
      </c>
      <c r="P156" s="12" t="s">
        <v>1696</v>
      </c>
      <c r="Q156" s="12" t="s">
        <v>1696</v>
      </c>
      <c r="R156" s="12" t="s">
        <v>1696</v>
      </c>
      <c r="S156" s="12" t="s">
        <v>1696</v>
      </c>
      <c r="T156" s="12" t="s">
        <v>1696</v>
      </c>
      <c r="U156" s="12" t="s">
        <v>1696</v>
      </c>
      <c r="V156" s="12" t="s">
        <v>1696</v>
      </c>
      <c r="W156" s="12" t="s">
        <v>1696</v>
      </c>
      <c r="X156" s="12" t="s">
        <v>1696</v>
      </c>
      <c r="Y156" s="12" t="s">
        <v>1696</v>
      </c>
      <c r="Z156" s="12" t="s">
        <v>1696</v>
      </c>
      <c r="AA156" s="12" t="s">
        <v>1696</v>
      </c>
      <c r="AB156" s="12" t="s">
        <v>1696</v>
      </c>
      <c r="AE156" s="29">
        <v>0.42708333333575865</v>
      </c>
      <c r="AF156" s="30" t="s">
        <v>412</v>
      </c>
      <c r="AG156" s="33" t="s">
        <v>413</v>
      </c>
      <c r="AH156" s="33" t="str">
        <f>HYPERLINK("https://docs.google.com/document/d/1dbUQc-0YRcUCWv4ZLuAiuh-szs2P71qMm4cR0NVclQw/edit?usp=drivesdk","Silas Tanner - 9/12/2018 10:15 AM")</f>
        <v>Silas Tanner - 9/12/2018 10:15 AM</v>
      </c>
      <c r="AI156" s="30" t="s">
        <v>414</v>
      </c>
    </row>
    <row r="157">
      <c r="A157" s="26">
        <v>43356.70110957176</v>
      </c>
      <c r="B157" s="12" t="s">
        <v>1726</v>
      </c>
      <c r="C157" s="12" t="s">
        <v>1783</v>
      </c>
      <c r="D157" s="12" t="s">
        <v>1728</v>
      </c>
      <c r="E157" s="12" t="s">
        <v>2055</v>
      </c>
      <c r="F157" s="27">
        <v>43357.0</v>
      </c>
      <c r="G157" s="12" t="s">
        <v>2056</v>
      </c>
      <c r="H157" s="29">
        <v>0.5416666666642413</v>
      </c>
      <c r="J157" s="12" t="s">
        <v>1693</v>
      </c>
      <c r="L157" s="12" t="s">
        <v>1626</v>
      </c>
      <c r="M157" s="12" t="s">
        <v>1785</v>
      </c>
      <c r="N157" s="12" t="s">
        <v>2057</v>
      </c>
      <c r="O157" s="12" t="s">
        <v>1735</v>
      </c>
      <c r="P157" s="12" t="s">
        <v>1696</v>
      </c>
      <c r="Q157" s="12" t="s">
        <v>1696</v>
      </c>
      <c r="R157" s="12" t="s">
        <v>1696</v>
      </c>
      <c r="S157" s="12" t="s">
        <v>1696</v>
      </c>
      <c r="T157" s="12" t="s">
        <v>1696</v>
      </c>
      <c r="U157" s="12" t="s">
        <v>1696</v>
      </c>
      <c r="V157" s="12" t="s">
        <v>1696</v>
      </c>
      <c r="W157" s="12" t="s">
        <v>1696</v>
      </c>
      <c r="X157" s="12" t="s">
        <v>1696</v>
      </c>
      <c r="Y157" s="12" t="s">
        <v>1696</v>
      </c>
      <c r="Z157" s="12" t="s">
        <v>1696</v>
      </c>
      <c r="AA157" s="12" t="s">
        <v>1696</v>
      </c>
      <c r="AB157" s="12" t="s">
        <v>1696</v>
      </c>
      <c r="AE157" s="29">
        <v>0.40277777778101154</v>
      </c>
      <c r="AF157" s="30" t="s">
        <v>415</v>
      </c>
      <c r="AG157" s="33" t="s">
        <v>416</v>
      </c>
      <c r="AH157" s="33" t="str">
        <f>HYPERLINK("https://docs.google.com/document/d/1vSRqTWP7CmpWxXBMw2pni-Z1VXWQUibiRPAhtbpU00M/edit?usp=drivesdk","James Tomazinis - 9/14/2018 9:40 AM")</f>
        <v>James Tomazinis - 9/14/2018 9:40 AM</v>
      </c>
      <c r="AI157" s="30" t="s">
        <v>417</v>
      </c>
    </row>
    <row r="158">
      <c r="A158" s="26">
        <v>43360.49762334491</v>
      </c>
      <c r="B158" s="12" t="s">
        <v>1891</v>
      </c>
      <c r="C158" s="12" t="s">
        <v>1892</v>
      </c>
      <c r="D158" s="12" t="s">
        <v>1916</v>
      </c>
      <c r="E158" s="12" t="s">
        <v>2058</v>
      </c>
      <c r="F158" s="27">
        <v>43360.0</v>
      </c>
      <c r="G158" s="12" t="s">
        <v>2059</v>
      </c>
      <c r="H158" s="29">
        <v>0.6041666666642413</v>
      </c>
      <c r="I158" s="26">
        <v>43360.125</v>
      </c>
      <c r="J158" s="12" t="s">
        <v>1658</v>
      </c>
      <c r="L158" s="12" t="s">
        <v>1720</v>
      </c>
      <c r="M158" s="12" t="s">
        <v>1786</v>
      </c>
      <c r="N158" s="12" t="s">
        <v>1817</v>
      </c>
      <c r="O158" s="12" t="s">
        <v>2060</v>
      </c>
      <c r="P158" s="12" t="s">
        <v>1696</v>
      </c>
      <c r="Q158" s="12" t="s">
        <v>1696</v>
      </c>
      <c r="R158" s="12" t="s">
        <v>1696</v>
      </c>
      <c r="S158" s="12" t="s">
        <v>1696</v>
      </c>
      <c r="T158" s="12" t="s">
        <v>1696</v>
      </c>
      <c r="U158" s="12" t="s">
        <v>1696</v>
      </c>
      <c r="V158" s="12" t="s">
        <v>1696</v>
      </c>
      <c r="W158" s="12" t="s">
        <v>1696</v>
      </c>
      <c r="X158" s="12" t="s">
        <v>1696</v>
      </c>
      <c r="Y158" s="12" t="s">
        <v>1696</v>
      </c>
      <c r="Z158" s="12" t="s">
        <v>1696</v>
      </c>
      <c r="AA158" s="12" t="s">
        <v>1696</v>
      </c>
      <c r="AB158" s="12" t="s">
        <v>1696</v>
      </c>
      <c r="AE158" s="29">
        <v>0.5208333333357587</v>
      </c>
      <c r="AF158" s="30" t="s">
        <v>418</v>
      </c>
      <c r="AG158" s="33" t="s">
        <v>419</v>
      </c>
      <c r="AH158" s="33" t="str">
        <f>HYPERLINK("https://docs.google.com/document/d/1L1Qa-gJZob4LNqDWn65q46mBvDTDwlLwU3zjXy1ncsw/edit?usp=drivesdk","Gabriela Canas - 9/17/2018 12:30 PM")</f>
        <v>Gabriela Canas - 9/17/2018 12:30 PM</v>
      </c>
      <c r="AI158" s="30" t="s">
        <v>420</v>
      </c>
    </row>
    <row r="159">
      <c r="A159" s="26">
        <v>43362.308713125</v>
      </c>
      <c r="B159" s="12" t="s">
        <v>1726</v>
      </c>
      <c r="C159" s="12" t="s">
        <v>1727</v>
      </c>
      <c r="D159" s="12" t="s">
        <v>1728</v>
      </c>
      <c r="E159" s="12" t="s">
        <v>2038</v>
      </c>
      <c r="F159" s="27">
        <v>43362.0</v>
      </c>
      <c r="G159" s="12" t="s">
        <v>2061</v>
      </c>
      <c r="H159" s="29">
        <v>0.5625</v>
      </c>
      <c r="J159" s="12" t="s">
        <v>1730</v>
      </c>
      <c r="L159" s="12" t="s">
        <v>2062</v>
      </c>
      <c r="M159" s="12" t="s">
        <v>1785</v>
      </c>
      <c r="N159" s="12" t="s">
        <v>2063</v>
      </c>
      <c r="O159" s="12" t="s">
        <v>1735</v>
      </c>
      <c r="P159" s="12" t="s">
        <v>1696</v>
      </c>
      <c r="Q159" s="12" t="s">
        <v>1696</v>
      </c>
      <c r="R159" s="12" t="s">
        <v>1696</v>
      </c>
      <c r="S159" s="12" t="s">
        <v>1696</v>
      </c>
      <c r="T159" s="12" t="s">
        <v>1696</v>
      </c>
      <c r="U159" s="12" t="s">
        <v>1696</v>
      </c>
      <c r="V159" s="12" t="s">
        <v>1696</v>
      </c>
      <c r="W159" s="12" t="s">
        <v>1696</v>
      </c>
      <c r="X159" s="12" t="s">
        <v>1696</v>
      </c>
      <c r="Y159" s="12" t="s">
        <v>1696</v>
      </c>
      <c r="Z159" s="12" t="s">
        <v>1696</v>
      </c>
      <c r="AA159" s="12" t="s">
        <v>1696</v>
      </c>
      <c r="AB159" s="12" t="s">
        <v>1696</v>
      </c>
      <c r="AE159" s="29">
        <v>0.375</v>
      </c>
      <c r="AF159" s="30" t="s">
        <v>421</v>
      </c>
      <c r="AG159" s="33" t="s">
        <v>422</v>
      </c>
      <c r="AH159" s="33" t="str">
        <f>HYPERLINK("https://docs.google.com/document/d/1BEemg3yUgKS4kZmHueWdHy0Eq3TwI6BuvwXCR9oCHpE/edit?usp=drivesdk","James Tomazinis - 9/19/2018 9:00 AM")</f>
        <v>James Tomazinis - 9/19/2018 9:00 AM</v>
      </c>
      <c r="AI159" s="30" t="s">
        <v>423</v>
      </c>
    </row>
    <row r="160">
      <c r="A160" s="26">
        <v>43362.39120690972</v>
      </c>
      <c r="B160" s="12" t="s">
        <v>1713</v>
      </c>
      <c r="C160" s="12" t="s">
        <v>1808</v>
      </c>
      <c r="D160" s="12" t="s">
        <v>1622</v>
      </c>
      <c r="E160" s="12" t="s">
        <v>2064</v>
      </c>
      <c r="F160" s="27">
        <v>43362.0</v>
      </c>
      <c r="G160" s="12" t="s">
        <v>2065</v>
      </c>
      <c r="H160" s="29">
        <v>0.625</v>
      </c>
      <c r="I160" s="26">
        <v>43362.66666666667</v>
      </c>
      <c r="J160" s="12" t="s">
        <v>1658</v>
      </c>
      <c r="L160" s="12" t="s">
        <v>1626</v>
      </c>
      <c r="M160" s="12" t="s">
        <v>1824</v>
      </c>
      <c r="N160" s="12" t="s">
        <v>1981</v>
      </c>
      <c r="O160" s="12" t="s">
        <v>1826</v>
      </c>
      <c r="P160" s="12" t="s">
        <v>1696</v>
      </c>
      <c r="Q160" s="12" t="s">
        <v>1696</v>
      </c>
      <c r="R160" s="12" t="s">
        <v>1696</v>
      </c>
      <c r="S160" s="12" t="s">
        <v>1696</v>
      </c>
      <c r="T160" s="12" t="s">
        <v>1696</v>
      </c>
      <c r="U160" s="12" t="s">
        <v>1696</v>
      </c>
      <c r="V160" s="12" t="s">
        <v>1696</v>
      </c>
      <c r="W160" s="12" t="s">
        <v>1696</v>
      </c>
      <c r="X160" s="12" t="s">
        <v>1696</v>
      </c>
      <c r="Y160" s="12" t="s">
        <v>1696</v>
      </c>
      <c r="Z160" s="12" t="s">
        <v>1696</v>
      </c>
      <c r="AA160" s="12" t="s">
        <v>1696</v>
      </c>
      <c r="AB160" s="12" t="s">
        <v>1696</v>
      </c>
      <c r="AE160" s="29">
        <v>0.40972222221898846</v>
      </c>
      <c r="AF160" s="30" t="s">
        <v>424</v>
      </c>
      <c r="AG160" s="33" t="s">
        <v>425</v>
      </c>
      <c r="AH160" s="33" t="str">
        <f>HYPERLINK("https://docs.google.com/document/d/13L1BLRxELDJtkWSeTmCGPwxwpJo_bGihEn16D1Ndh94/edit?usp=drivesdk","Ben Mowbray - 9/19/2018 9:50 AM")</f>
        <v>Ben Mowbray - 9/19/2018 9:50 AM</v>
      </c>
      <c r="AI160" s="30" t="s">
        <v>426</v>
      </c>
    </row>
    <row r="161">
      <c r="A161" s="26">
        <v>43362.8456943287</v>
      </c>
      <c r="B161" s="12" t="s">
        <v>1797</v>
      </c>
      <c r="C161" s="12" t="s">
        <v>2047</v>
      </c>
      <c r="D161" s="12" t="s">
        <v>1916</v>
      </c>
      <c r="E161" s="12" t="s">
        <v>2015</v>
      </c>
      <c r="F161" s="27">
        <v>43363.0</v>
      </c>
      <c r="G161" s="12" t="s">
        <v>2066</v>
      </c>
      <c r="H161" s="29">
        <v>0.45833333333575865</v>
      </c>
      <c r="I161" s="26">
        <v>43363.5625</v>
      </c>
      <c r="J161" s="12" t="s">
        <v>1658</v>
      </c>
      <c r="L161" s="12" t="s">
        <v>1626</v>
      </c>
      <c r="M161" s="12" t="s">
        <v>1918</v>
      </c>
      <c r="N161" s="12" t="s">
        <v>2067</v>
      </c>
      <c r="O161" s="12" t="s">
        <v>1797</v>
      </c>
      <c r="P161" s="12" t="s">
        <v>1696</v>
      </c>
      <c r="Q161" s="12" t="s">
        <v>1696</v>
      </c>
      <c r="R161" s="12" t="s">
        <v>1696</v>
      </c>
      <c r="S161" s="12" t="s">
        <v>1696</v>
      </c>
      <c r="T161" s="12" t="s">
        <v>1696</v>
      </c>
      <c r="U161" s="12" t="s">
        <v>1696</v>
      </c>
      <c r="V161" s="12" t="s">
        <v>1696</v>
      </c>
      <c r="W161" s="12" t="s">
        <v>1696</v>
      </c>
      <c r="X161" s="12" t="s">
        <v>1696</v>
      </c>
      <c r="Y161" s="12" t="s">
        <v>1696</v>
      </c>
      <c r="Z161" s="12" t="s">
        <v>1696</v>
      </c>
      <c r="AA161" s="12" t="s">
        <v>1696</v>
      </c>
      <c r="AB161" s="12" t="s">
        <v>1696</v>
      </c>
      <c r="AE161" s="29">
        <v>0.35416666666424135</v>
      </c>
      <c r="AF161" s="30" t="s">
        <v>427</v>
      </c>
      <c r="AG161" s="33" t="s">
        <v>428</v>
      </c>
      <c r="AH161" s="33" t="str">
        <f>HYPERLINK("https://docs.google.com/document/d/1XgPHyLVaetsiT9yAxWjsIn05pUXXzoUT6oXrjFlL0YY/edit?usp=drivesdk","Shannon Dunnigan - 9/20/2018 8:30 AM")</f>
        <v>Shannon Dunnigan - 9/20/2018 8:30 AM</v>
      </c>
      <c r="AI161" s="30" t="s">
        <v>429</v>
      </c>
    </row>
    <row r="162">
      <c r="A162" s="26">
        <v>43366.743190810186</v>
      </c>
      <c r="B162" s="12" t="s">
        <v>1717</v>
      </c>
      <c r="C162" s="12" t="s">
        <v>1718</v>
      </c>
      <c r="D162" s="12" t="s">
        <v>1916</v>
      </c>
      <c r="E162" s="12" t="s">
        <v>1924</v>
      </c>
      <c r="F162" s="27">
        <v>43367.0</v>
      </c>
      <c r="G162" s="12" t="s">
        <v>1856</v>
      </c>
      <c r="H162" s="29">
        <v>0.53125</v>
      </c>
      <c r="I162" s="26">
        <v>43367.54166666667</v>
      </c>
      <c r="J162" s="12" t="s">
        <v>1704</v>
      </c>
      <c r="L162" s="12" t="s">
        <v>1720</v>
      </c>
      <c r="M162" s="12" t="s">
        <v>1781</v>
      </c>
      <c r="N162" s="12" t="s">
        <v>2068</v>
      </c>
      <c r="O162" s="12" t="s">
        <v>1717</v>
      </c>
      <c r="P162" s="12" t="s">
        <v>1696</v>
      </c>
      <c r="Q162" s="12" t="s">
        <v>1696</v>
      </c>
      <c r="R162" s="12" t="s">
        <v>1696</v>
      </c>
      <c r="S162" s="12" t="s">
        <v>1696</v>
      </c>
      <c r="T162" s="12" t="s">
        <v>1696</v>
      </c>
      <c r="U162" s="12" t="s">
        <v>1696</v>
      </c>
      <c r="V162" s="12" t="s">
        <v>1696</v>
      </c>
      <c r="W162" s="12" t="s">
        <v>1696</v>
      </c>
      <c r="X162" s="12" t="s">
        <v>1696</v>
      </c>
      <c r="Y162" s="12" t="s">
        <v>1696</v>
      </c>
      <c r="Z162" s="12" t="s">
        <v>1696</v>
      </c>
      <c r="AA162" s="12" t="s">
        <v>1696</v>
      </c>
      <c r="AB162" s="12" t="s">
        <v>1696</v>
      </c>
      <c r="AE162" s="29">
        <v>0.36458333333575865</v>
      </c>
      <c r="AF162" s="30" t="s">
        <v>430</v>
      </c>
      <c r="AG162" s="33" t="s">
        <v>431</v>
      </c>
      <c r="AH162" s="33" t="str">
        <f>HYPERLINK("https://docs.google.com/document/d/19y2xBdaEYRCaUdOVOFVL8R13UVTXTgDmuMIsfnSUrpc/edit?usp=drivesdk","Silas Tanner - 9/24/2018 8:45 AM")</f>
        <v>Silas Tanner - 9/24/2018 8:45 AM</v>
      </c>
      <c r="AI162" s="30" t="s">
        <v>432</v>
      </c>
    </row>
    <row r="163">
      <c r="A163" s="26">
        <v>43367.632876539355</v>
      </c>
      <c r="B163" s="12" t="s">
        <v>1713</v>
      </c>
      <c r="C163" s="12" t="s">
        <v>1808</v>
      </c>
      <c r="D163" s="12" t="s">
        <v>1916</v>
      </c>
      <c r="E163" s="12" t="s">
        <v>1757</v>
      </c>
      <c r="F163" s="27">
        <v>43370.0</v>
      </c>
      <c r="G163" s="12" t="s">
        <v>2069</v>
      </c>
      <c r="H163" s="29">
        <v>0.5277777777810115</v>
      </c>
      <c r="I163" s="26">
        <v>43370.58333333333</v>
      </c>
      <c r="J163" s="12" t="s">
        <v>1658</v>
      </c>
      <c r="L163" s="12" t="s">
        <v>1720</v>
      </c>
      <c r="M163" s="12" t="s">
        <v>2070</v>
      </c>
      <c r="N163" s="12" t="s">
        <v>2071</v>
      </c>
      <c r="O163" s="12" t="s">
        <v>2072</v>
      </c>
      <c r="P163" s="12" t="s">
        <v>1696</v>
      </c>
      <c r="Q163" s="12" t="s">
        <v>1696</v>
      </c>
      <c r="R163" s="12" t="s">
        <v>1696</v>
      </c>
      <c r="S163" s="12" t="s">
        <v>1696</v>
      </c>
      <c r="T163" s="12" t="s">
        <v>1696</v>
      </c>
      <c r="U163" s="12" t="s">
        <v>1696</v>
      </c>
      <c r="V163" s="12" t="s">
        <v>1696</v>
      </c>
      <c r="W163" s="12" t="s">
        <v>1696</v>
      </c>
      <c r="X163" s="12" t="s">
        <v>1696</v>
      </c>
      <c r="Y163" s="12" t="s">
        <v>1696</v>
      </c>
      <c r="Z163" s="12" t="s">
        <v>1696</v>
      </c>
      <c r="AA163" s="12" t="s">
        <v>1696</v>
      </c>
      <c r="AB163" s="12" t="s">
        <v>1696</v>
      </c>
      <c r="AE163" s="29">
        <v>0.3055555555547471</v>
      </c>
      <c r="AF163" s="30" t="s">
        <v>433</v>
      </c>
      <c r="AG163" s="33" t="s">
        <v>434</v>
      </c>
      <c r="AH163" s="33" t="str">
        <f>HYPERLINK("https://docs.google.com/document/d/1cZCSPnwhRfGhAyk0zgxcNQFgvBFuINflyXPMCG46zK4/edit?usp=drivesdk","Ben Mowbray - 9/27/2018 7:20 AM")</f>
        <v>Ben Mowbray - 9/27/2018 7:20 AM</v>
      </c>
      <c r="AI163" s="30" t="s">
        <v>435</v>
      </c>
    </row>
    <row r="164">
      <c r="A164" s="26">
        <v>43367.635299421294</v>
      </c>
      <c r="B164" s="12" t="s">
        <v>1713</v>
      </c>
      <c r="C164" s="12" t="s">
        <v>1808</v>
      </c>
      <c r="D164" s="12" t="s">
        <v>1916</v>
      </c>
      <c r="E164" s="12" t="s">
        <v>2038</v>
      </c>
      <c r="F164" s="27">
        <v>43371.0</v>
      </c>
      <c r="G164" s="12" t="s">
        <v>2073</v>
      </c>
      <c r="H164" s="29">
        <v>0.5277777777810115</v>
      </c>
      <c r="I164" s="26">
        <v>43371.58333333333</v>
      </c>
      <c r="J164" s="12" t="s">
        <v>1658</v>
      </c>
      <c r="L164" s="12" t="s">
        <v>1720</v>
      </c>
      <c r="M164" s="12" t="s">
        <v>2070</v>
      </c>
      <c r="N164" s="12" t="s">
        <v>2074</v>
      </c>
      <c r="O164" s="12" t="s">
        <v>2072</v>
      </c>
      <c r="P164" s="12" t="s">
        <v>1696</v>
      </c>
      <c r="Q164" s="12" t="s">
        <v>1696</v>
      </c>
      <c r="R164" s="12" t="s">
        <v>1696</v>
      </c>
      <c r="S164" s="12" t="s">
        <v>1696</v>
      </c>
      <c r="T164" s="12" t="s">
        <v>1696</v>
      </c>
      <c r="U164" s="12" t="s">
        <v>1696</v>
      </c>
      <c r="V164" s="12" t="s">
        <v>1696</v>
      </c>
      <c r="W164" s="12" t="s">
        <v>1696</v>
      </c>
      <c r="X164" s="12" t="s">
        <v>1696</v>
      </c>
      <c r="Y164" s="12" t="s">
        <v>1696</v>
      </c>
      <c r="Z164" s="12" t="s">
        <v>1696</v>
      </c>
      <c r="AA164" s="12" t="s">
        <v>1696</v>
      </c>
      <c r="AB164" s="12" t="s">
        <v>1696</v>
      </c>
      <c r="AE164" s="29">
        <v>0.32638888889050577</v>
      </c>
      <c r="AF164" s="30" t="s">
        <v>436</v>
      </c>
      <c r="AG164" s="33" t="s">
        <v>437</v>
      </c>
      <c r="AH164" s="33" t="str">
        <f>HYPERLINK("https://docs.google.com/document/d/10rU4XDlqfzQWaY9r_oxgwKKaIF7s4-1zNcxL46nYc7c/edit?usp=drivesdk","Ben Mowbray - 9/28/2018 7:50 AM")</f>
        <v>Ben Mowbray - 9/28/2018 7:50 AM</v>
      </c>
      <c r="AI164" s="30" t="s">
        <v>438</v>
      </c>
    </row>
    <row r="165">
      <c r="A165" s="26">
        <v>43368.30057486111</v>
      </c>
      <c r="B165" s="12" t="s">
        <v>1717</v>
      </c>
      <c r="C165" s="12" t="s">
        <v>1449</v>
      </c>
      <c r="D165" s="12" t="s">
        <v>1916</v>
      </c>
      <c r="E165" s="12" t="s">
        <v>1924</v>
      </c>
      <c r="F165" s="27">
        <v>43368.0</v>
      </c>
      <c r="G165" s="12" t="s">
        <v>2075</v>
      </c>
      <c r="H165" s="29">
        <v>0.5104166666642413</v>
      </c>
      <c r="I165" s="26">
        <v>43368.52083333333</v>
      </c>
      <c r="J165" s="12" t="s">
        <v>1704</v>
      </c>
      <c r="L165" s="12" t="s">
        <v>1720</v>
      </c>
      <c r="M165" s="12" t="s">
        <v>1807</v>
      </c>
      <c r="O165" s="12" t="s">
        <v>1717</v>
      </c>
      <c r="P165" s="12" t="s">
        <v>1696</v>
      </c>
      <c r="Q165" s="12" t="s">
        <v>1696</v>
      </c>
      <c r="R165" s="12" t="s">
        <v>1696</v>
      </c>
      <c r="S165" s="12" t="s">
        <v>1696</v>
      </c>
      <c r="T165" s="12" t="s">
        <v>1696</v>
      </c>
      <c r="U165" s="12" t="s">
        <v>1696</v>
      </c>
      <c r="V165" s="12" t="s">
        <v>1696</v>
      </c>
      <c r="W165" s="12" t="s">
        <v>1696</v>
      </c>
      <c r="X165" s="12" t="s">
        <v>1696</v>
      </c>
      <c r="Y165" s="12" t="s">
        <v>1696</v>
      </c>
      <c r="Z165" s="12" t="s">
        <v>1696</v>
      </c>
      <c r="AA165" s="12" t="s">
        <v>1696</v>
      </c>
      <c r="AB165" s="12" t="s">
        <v>1696</v>
      </c>
      <c r="AE165" s="29">
        <v>0.34375</v>
      </c>
      <c r="AF165" s="30" t="s">
        <v>439</v>
      </c>
      <c r="AG165" s="33" t="s">
        <v>440</v>
      </c>
      <c r="AH165" s="33" t="str">
        <f>HYPERLINK("https://docs.google.com/document/d/1KDK2Lyv_0BANy_IEzxkUFIoBnnXj9uvp7TxHIpYvUyk/edit?usp=drivesdk","Silas Tanner - 9/25/2018 8:15 AM")</f>
        <v>Silas Tanner - 9/25/2018 8:15 AM</v>
      </c>
      <c r="AI165" s="30" t="s">
        <v>441</v>
      </c>
    </row>
    <row r="166">
      <c r="A166" s="26">
        <v>43369.38213182871</v>
      </c>
      <c r="B166" s="12" t="s">
        <v>1699</v>
      </c>
      <c r="C166" s="12" t="s">
        <v>1700</v>
      </c>
      <c r="D166" s="12" t="s">
        <v>1916</v>
      </c>
      <c r="E166" s="12" t="s">
        <v>1714</v>
      </c>
      <c r="F166" s="27">
        <v>43369.0</v>
      </c>
      <c r="G166" s="12" t="s">
        <v>2076</v>
      </c>
      <c r="H166" s="29">
        <v>0.625</v>
      </c>
      <c r="I166" s="26">
        <v>43369.66666666667</v>
      </c>
      <c r="J166" s="12" t="s">
        <v>1704</v>
      </c>
      <c r="L166" s="12" t="s">
        <v>1720</v>
      </c>
      <c r="M166" s="12" t="s">
        <v>1816</v>
      </c>
      <c r="N166" s="12" t="s">
        <v>2077</v>
      </c>
      <c r="O166" s="12" t="s">
        <v>1744</v>
      </c>
      <c r="P166" s="12" t="s">
        <v>1696</v>
      </c>
      <c r="Q166" s="12" t="s">
        <v>1696</v>
      </c>
      <c r="R166" s="12" t="s">
        <v>1696</v>
      </c>
      <c r="S166" s="12" t="s">
        <v>1696</v>
      </c>
      <c r="T166" s="12" t="s">
        <v>1696</v>
      </c>
      <c r="U166" s="12" t="s">
        <v>1696</v>
      </c>
      <c r="V166" s="12" t="s">
        <v>1696</v>
      </c>
      <c r="W166" s="12" t="s">
        <v>1696</v>
      </c>
      <c r="X166" s="12" t="s">
        <v>1696</v>
      </c>
      <c r="Y166" s="12" t="s">
        <v>1696</v>
      </c>
      <c r="Z166" s="12" t="s">
        <v>1696</v>
      </c>
      <c r="AA166" s="12" t="s">
        <v>1696</v>
      </c>
      <c r="AB166" s="12" t="s">
        <v>1696</v>
      </c>
      <c r="AE166" s="29">
        <v>0.4375</v>
      </c>
      <c r="AF166" s="30" t="s">
        <v>442</v>
      </c>
      <c r="AG166" s="33" t="s">
        <v>443</v>
      </c>
      <c r="AH166" s="33" t="str">
        <f>HYPERLINK("https://docs.google.com/document/d/1YbcgZerdP1LVsxnkBb1fZoOvlgu2Id6KK0LNMU632hw/edit?usp=drivesdk","Pamela Marcum - 9/26/2018 10:30 AM")</f>
        <v>Pamela Marcum - 9/26/2018 10:30 AM</v>
      </c>
      <c r="AI166" s="30" t="s">
        <v>444</v>
      </c>
    </row>
    <row r="167">
      <c r="A167" s="26">
        <v>43374.31260996527</v>
      </c>
      <c r="B167" s="12" t="s">
        <v>1713</v>
      </c>
      <c r="C167" s="12" t="s">
        <v>1808</v>
      </c>
      <c r="D167" s="12" t="s">
        <v>1622</v>
      </c>
      <c r="E167" s="12" t="s">
        <v>1836</v>
      </c>
      <c r="F167" s="27">
        <v>43374.0</v>
      </c>
      <c r="G167" s="12" t="s">
        <v>2078</v>
      </c>
      <c r="H167" s="29">
        <v>0.5625</v>
      </c>
      <c r="I167" s="26">
        <v>43374.58333333333</v>
      </c>
      <c r="J167" s="12" t="s">
        <v>1658</v>
      </c>
      <c r="L167" s="12" t="s">
        <v>1720</v>
      </c>
      <c r="M167" s="12" t="s">
        <v>2070</v>
      </c>
      <c r="N167" s="12" t="s">
        <v>1837</v>
      </c>
      <c r="O167" s="12" t="s">
        <v>2072</v>
      </c>
      <c r="P167" s="12" t="s">
        <v>1696</v>
      </c>
      <c r="Q167" s="12" t="s">
        <v>1696</v>
      </c>
      <c r="R167" s="12" t="s">
        <v>1696</v>
      </c>
      <c r="S167" s="12" t="s">
        <v>1696</v>
      </c>
      <c r="T167" s="12" t="s">
        <v>1696</v>
      </c>
      <c r="U167" s="12" t="s">
        <v>1696</v>
      </c>
      <c r="V167" s="12" t="s">
        <v>1696</v>
      </c>
      <c r="W167" s="12" t="s">
        <v>1696</v>
      </c>
      <c r="X167" s="12" t="s">
        <v>1696</v>
      </c>
      <c r="Y167" s="12" t="s">
        <v>1696</v>
      </c>
      <c r="Z167" s="12" t="s">
        <v>1696</v>
      </c>
      <c r="AA167" s="12" t="s">
        <v>1696</v>
      </c>
      <c r="AB167" s="12" t="s">
        <v>1696</v>
      </c>
      <c r="AE167" s="29">
        <v>0.35416666666424135</v>
      </c>
      <c r="AF167" s="30" t="s">
        <v>445</v>
      </c>
      <c r="AG167" s="33" t="s">
        <v>446</v>
      </c>
      <c r="AH167" s="33" t="str">
        <f>HYPERLINK("https://docs.google.com/document/d/10B-Y9mtzPJLK-Vl1R2A-xzT2AB0jOcgS4S3pnj8j_Ks/edit?usp=drivesdk","Ben Mowbray - 10/1/2018 8:30 AM")</f>
        <v>Ben Mowbray - 10/1/2018 8:30 AM</v>
      </c>
      <c r="AI167" s="30" t="s">
        <v>447</v>
      </c>
    </row>
    <row r="168">
      <c r="A168" s="26">
        <v>43375.23217944444</v>
      </c>
      <c r="B168" s="12" t="s">
        <v>1699</v>
      </c>
      <c r="C168" s="12" t="s">
        <v>1710</v>
      </c>
      <c r="D168" s="12" t="s">
        <v>1916</v>
      </c>
      <c r="E168" s="12" t="s">
        <v>1809</v>
      </c>
      <c r="F168" s="27">
        <v>43375.0</v>
      </c>
      <c r="G168" s="12" t="s">
        <v>2079</v>
      </c>
      <c r="H168" s="29">
        <v>0.45833333333575865</v>
      </c>
      <c r="I168" s="26">
        <v>43375.5</v>
      </c>
      <c r="J168" s="12" t="s">
        <v>1704</v>
      </c>
      <c r="L168" s="12" t="s">
        <v>1788</v>
      </c>
      <c r="M168" s="12" t="s">
        <v>1706</v>
      </c>
      <c r="N168" s="12" t="s">
        <v>2080</v>
      </c>
      <c r="O168" s="12" t="s">
        <v>1708</v>
      </c>
      <c r="P168" s="12" t="s">
        <v>1696</v>
      </c>
      <c r="Q168" s="12" t="s">
        <v>1696</v>
      </c>
      <c r="R168" s="12" t="s">
        <v>1696</v>
      </c>
      <c r="S168" s="12" t="s">
        <v>1696</v>
      </c>
      <c r="T168" s="12" t="s">
        <v>1696</v>
      </c>
      <c r="U168" s="12" t="s">
        <v>1696</v>
      </c>
      <c r="V168" s="12" t="s">
        <v>1696</v>
      </c>
      <c r="W168" s="12" t="s">
        <v>1696</v>
      </c>
      <c r="X168" s="12" t="s">
        <v>1696</v>
      </c>
      <c r="Y168" s="12" t="s">
        <v>1696</v>
      </c>
      <c r="Z168" s="12" t="s">
        <v>1696</v>
      </c>
      <c r="AA168" s="12" t="s">
        <v>1696</v>
      </c>
      <c r="AB168" s="12" t="s">
        <v>1696</v>
      </c>
      <c r="AE168" s="29">
        <v>0.27083333333575865</v>
      </c>
      <c r="AF168" s="30" t="s">
        <v>449</v>
      </c>
      <c r="AG168" s="33" t="s">
        <v>450</v>
      </c>
      <c r="AH168" s="33" t="str">
        <f>HYPERLINK("https://docs.google.com/document/d/1JqTnJCbGjhbLNmpNm8MVKYBsWfwqFc2Spby_NHY6YBU/edit?usp=drivesdk","Pamela Marcum - 10/2/2018 6:30 AM")</f>
        <v>Pamela Marcum - 10/2/2018 6:30 AM</v>
      </c>
      <c r="AI168" s="30" t="s">
        <v>451</v>
      </c>
    </row>
    <row r="169">
      <c r="A169" s="26">
        <v>43375.328114606484</v>
      </c>
      <c r="B169" s="12" t="s">
        <v>1826</v>
      </c>
      <c r="C169" s="12" t="s">
        <v>1808</v>
      </c>
      <c r="D169" s="12" t="s">
        <v>1622</v>
      </c>
      <c r="E169" s="12" t="s">
        <v>2081</v>
      </c>
      <c r="F169" s="27">
        <v>43375.0</v>
      </c>
      <c r="G169" s="12" t="s">
        <v>2082</v>
      </c>
      <c r="H169" s="29">
        <v>0.5416666666642413</v>
      </c>
      <c r="I169" s="26">
        <v>43375.569444444445</v>
      </c>
      <c r="J169" s="12" t="s">
        <v>1658</v>
      </c>
      <c r="L169" s="12" t="s">
        <v>1720</v>
      </c>
      <c r="M169" s="12" t="s">
        <v>2070</v>
      </c>
      <c r="N169" s="12" t="s">
        <v>2083</v>
      </c>
      <c r="O169" s="12" t="s">
        <v>1826</v>
      </c>
      <c r="P169" s="12" t="s">
        <v>1696</v>
      </c>
      <c r="Q169" s="12" t="s">
        <v>1696</v>
      </c>
      <c r="R169" s="12" t="s">
        <v>1696</v>
      </c>
      <c r="S169" s="12" t="s">
        <v>1696</v>
      </c>
      <c r="T169" s="12" t="s">
        <v>1696</v>
      </c>
      <c r="U169" s="12" t="s">
        <v>1696</v>
      </c>
      <c r="V169" s="12" t="s">
        <v>1696</v>
      </c>
      <c r="W169" s="12" t="s">
        <v>1696</v>
      </c>
      <c r="X169" s="12" t="s">
        <v>1696</v>
      </c>
      <c r="Y169" s="12" t="s">
        <v>1696</v>
      </c>
      <c r="Z169" s="12" t="s">
        <v>1696</v>
      </c>
      <c r="AA169" s="12" t="s">
        <v>1696</v>
      </c>
      <c r="AB169" s="12" t="s">
        <v>1696</v>
      </c>
      <c r="AE169" s="29">
        <v>0.35416666666424135</v>
      </c>
      <c r="AF169" s="30" t="s">
        <v>452</v>
      </c>
      <c r="AG169" s="33" t="s">
        <v>453</v>
      </c>
      <c r="AH169" s="33" t="str">
        <f>HYPERLINK("https://docs.google.com/document/d/1OeQTHLSFGSAT31agDkq7pmB0XfjKbGB3H-0rpdiqzEk/edit?usp=drivesdk","Ben - 10/2/2018 8:30 AM")</f>
        <v>Ben - 10/2/2018 8:30 AM</v>
      </c>
      <c r="AI169" s="30" t="s">
        <v>454</v>
      </c>
    </row>
    <row r="170">
      <c r="A170" s="26">
        <v>43376.259619097225</v>
      </c>
      <c r="B170" s="12" t="s">
        <v>1744</v>
      </c>
      <c r="C170" s="12" t="s">
        <v>1710</v>
      </c>
      <c r="D170" s="12" t="s">
        <v>1916</v>
      </c>
      <c r="E170" s="12" t="s">
        <v>1623</v>
      </c>
      <c r="F170" s="27">
        <v>43376.0</v>
      </c>
      <c r="G170" s="12" t="s">
        <v>2084</v>
      </c>
      <c r="H170" s="29">
        <v>0.5416666666642413</v>
      </c>
      <c r="I170" s="26">
        <v>43376.5625</v>
      </c>
      <c r="J170" s="12" t="s">
        <v>1704</v>
      </c>
      <c r="L170" s="12" t="s">
        <v>1788</v>
      </c>
      <c r="M170" s="12" t="s">
        <v>1706</v>
      </c>
      <c r="N170" s="12" t="s">
        <v>2085</v>
      </c>
      <c r="O170" s="12" t="s">
        <v>1708</v>
      </c>
      <c r="P170" s="12" t="s">
        <v>1696</v>
      </c>
      <c r="Q170" s="12" t="s">
        <v>1696</v>
      </c>
      <c r="R170" s="12" t="s">
        <v>1696</v>
      </c>
      <c r="S170" s="12" t="s">
        <v>1696</v>
      </c>
      <c r="T170" s="12" t="s">
        <v>1696</v>
      </c>
      <c r="U170" s="12" t="s">
        <v>1696</v>
      </c>
      <c r="V170" s="12" t="s">
        <v>1696</v>
      </c>
      <c r="W170" s="12" t="s">
        <v>1696</v>
      </c>
      <c r="X170" s="12" t="s">
        <v>1696</v>
      </c>
      <c r="Y170" s="12" t="s">
        <v>1696</v>
      </c>
      <c r="Z170" s="12" t="s">
        <v>1696</v>
      </c>
      <c r="AA170" s="12" t="s">
        <v>1696</v>
      </c>
      <c r="AB170" s="12" t="s">
        <v>1696</v>
      </c>
      <c r="AE170" s="29">
        <v>0.29166666666424135</v>
      </c>
      <c r="AF170" s="30" t="s">
        <v>455</v>
      </c>
      <c r="AG170" s="33" t="s">
        <v>456</v>
      </c>
      <c r="AH170" s="33" t="str">
        <f>HYPERLINK("https://docs.google.com/document/d/1h91QH6PngBZUaCNZ-MO08urM96IecrjSB_niSTukIOo/edit?usp=drivesdk","Pam Marcum - 10/3/2018 7:00 AM")</f>
        <v>Pam Marcum - 10/3/2018 7:00 AM</v>
      </c>
      <c r="AI170" s="30" t="s">
        <v>457</v>
      </c>
    </row>
    <row r="171">
      <c r="A171" s="26">
        <v>43376.3000109375</v>
      </c>
      <c r="B171" s="12" t="s">
        <v>1826</v>
      </c>
      <c r="C171" s="12" t="s">
        <v>2086</v>
      </c>
      <c r="D171" s="12" t="s">
        <v>1622</v>
      </c>
      <c r="E171" s="12" t="s">
        <v>1623</v>
      </c>
      <c r="F171" s="27">
        <v>43376.0</v>
      </c>
      <c r="G171" s="12" t="s">
        <v>2087</v>
      </c>
      <c r="H171" s="29">
        <v>0.5208333333357587</v>
      </c>
      <c r="I171" s="26">
        <v>43376.54166666667</v>
      </c>
      <c r="J171" s="12" t="s">
        <v>1658</v>
      </c>
      <c r="L171" s="12" t="s">
        <v>1720</v>
      </c>
      <c r="M171" s="12" t="s">
        <v>2070</v>
      </c>
      <c r="N171" s="12" t="s">
        <v>2088</v>
      </c>
      <c r="O171" s="12" t="s">
        <v>1826</v>
      </c>
      <c r="P171" s="12" t="s">
        <v>1696</v>
      </c>
      <c r="Q171" s="12" t="s">
        <v>1696</v>
      </c>
      <c r="R171" s="12" t="s">
        <v>1696</v>
      </c>
      <c r="S171" s="12" t="s">
        <v>1696</v>
      </c>
      <c r="T171" s="12" t="s">
        <v>1696</v>
      </c>
      <c r="U171" s="12" t="s">
        <v>1696</v>
      </c>
      <c r="V171" s="12" t="s">
        <v>1696</v>
      </c>
      <c r="W171" s="12" t="s">
        <v>1696</v>
      </c>
      <c r="X171" s="12" t="s">
        <v>1696</v>
      </c>
      <c r="Y171" s="12" t="s">
        <v>1696</v>
      </c>
      <c r="Z171" s="12" t="s">
        <v>1696</v>
      </c>
      <c r="AA171" s="12" t="s">
        <v>1696</v>
      </c>
      <c r="AB171" s="12" t="s">
        <v>1696</v>
      </c>
      <c r="AE171" s="29">
        <v>0.3194444444452529</v>
      </c>
      <c r="AF171" s="30" t="s">
        <v>458</v>
      </c>
      <c r="AG171" s="33" t="s">
        <v>459</v>
      </c>
      <c r="AH171" s="33" t="str">
        <f>HYPERLINK("https://docs.google.com/document/d/1JRlYA77vV_VIb-S6I2VOgzFmlAaoJSMri79y4krYTeg/edit?usp=drivesdk","Ben - 10/3/2018 7:40 AM")</f>
        <v>Ben - 10/3/2018 7:40 AM</v>
      </c>
      <c r="AI171" s="30" t="s">
        <v>460</v>
      </c>
    </row>
    <row r="172">
      <c r="A172" s="26">
        <v>43377.295364791666</v>
      </c>
      <c r="B172" s="12" t="s">
        <v>1699</v>
      </c>
      <c r="C172" s="12" t="s">
        <v>1710</v>
      </c>
      <c r="D172" s="12" t="s">
        <v>1916</v>
      </c>
      <c r="E172" s="12" t="s">
        <v>2089</v>
      </c>
      <c r="F172" s="27">
        <v>43377.0</v>
      </c>
      <c r="G172" s="12" t="s">
        <v>2090</v>
      </c>
      <c r="H172" s="29">
        <v>0.625</v>
      </c>
      <c r="I172" s="26">
        <v>43377.66666666667</v>
      </c>
      <c r="J172" s="12" t="s">
        <v>1658</v>
      </c>
      <c r="L172" s="12" t="s">
        <v>1788</v>
      </c>
      <c r="M172" s="12" t="s">
        <v>1706</v>
      </c>
      <c r="N172" s="12" t="s">
        <v>2091</v>
      </c>
      <c r="O172" s="12" t="s">
        <v>1708</v>
      </c>
      <c r="P172" s="12" t="s">
        <v>1696</v>
      </c>
      <c r="Q172" s="12" t="s">
        <v>1696</v>
      </c>
      <c r="R172" s="12" t="s">
        <v>1696</v>
      </c>
      <c r="S172" s="12" t="s">
        <v>1696</v>
      </c>
      <c r="T172" s="12" t="s">
        <v>1696</v>
      </c>
      <c r="U172" s="12" t="s">
        <v>1696</v>
      </c>
      <c r="V172" s="12" t="s">
        <v>1696</v>
      </c>
      <c r="W172" s="12" t="s">
        <v>1696</v>
      </c>
      <c r="X172" s="12" t="s">
        <v>1696</v>
      </c>
      <c r="Y172" s="12" t="s">
        <v>1696</v>
      </c>
      <c r="Z172" s="12" t="s">
        <v>1696</v>
      </c>
      <c r="AA172" s="12" t="s">
        <v>1696</v>
      </c>
      <c r="AB172" s="12" t="s">
        <v>1696</v>
      </c>
      <c r="AE172" s="29">
        <v>0.30208333333575865</v>
      </c>
      <c r="AF172" s="30" t="s">
        <v>461</v>
      </c>
      <c r="AG172" s="33" t="s">
        <v>462</v>
      </c>
      <c r="AH172" s="33" t="str">
        <f>HYPERLINK("https://docs.google.com/document/d/1jLef7WH1ZWvUDuCPO5cYBeyKUgeRQ04zAG93ZEtwINk/edit?usp=drivesdk","Pamela Marcum - 10/4/2018 7:15 AM")</f>
        <v>Pamela Marcum - 10/4/2018 7:15 AM</v>
      </c>
      <c r="AI172" s="30" t="s">
        <v>463</v>
      </c>
    </row>
    <row r="173">
      <c r="A173" s="26">
        <v>43377.31322123842</v>
      </c>
      <c r="B173" s="12" t="s">
        <v>1717</v>
      </c>
      <c r="C173" s="12" t="s">
        <v>1718</v>
      </c>
      <c r="D173" s="12" t="s">
        <v>1916</v>
      </c>
      <c r="E173" s="12" t="s">
        <v>1794</v>
      </c>
      <c r="F173" s="27">
        <v>43377.0</v>
      </c>
      <c r="G173" s="12" t="s">
        <v>2092</v>
      </c>
      <c r="H173" s="29">
        <v>0.5833333333357587</v>
      </c>
      <c r="I173" s="26">
        <v>43377.625</v>
      </c>
      <c r="J173" s="12" t="s">
        <v>1796</v>
      </c>
      <c r="K173" s="12">
        <v>2.0</v>
      </c>
      <c r="L173" s="12" t="s">
        <v>1720</v>
      </c>
      <c r="M173" s="12" t="s">
        <v>2070</v>
      </c>
      <c r="N173" s="12" t="s">
        <v>1832</v>
      </c>
      <c r="O173" s="12" t="s">
        <v>1717</v>
      </c>
      <c r="P173" s="12" t="s">
        <v>1696</v>
      </c>
      <c r="Q173" s="12" t="s">
        <v>1696</v>
      </c>
      <c r="R173" s="12" t="s">
        <v>1696</v>
      </c>
      <c r="S173" s="12" t="s">
        <v>1696</v>
      </c>
      <c r="T173" s="12" t="s">
        <v>1696</v>
      </c>
      <c r="U173" s="12" t="s">
        <v>1696</v>
      </c>
      <c r="V173" s="12" t="s">
        <v>1696</v>
      </c>
      <c r="W173" s="12" t="s">
        <v>1696</v>
      </c>
      <c r="X173" s="12" t="s">
        <v>1696</v>
      </c>
      <c r="Y173" s="12" t="s">
        <v>1696</v>
      </c>
      <c r="Z173" s="12" t="s">
        <v>1696</v>
      </c>
      <c r="AA173" s="12" t="s">
        <v>1696</v>
      </c>
      <c r="AB173" s="12" t="s">
        <v>1696</v>
      </c>
      <c r="AE173" s="29">
        <v>0.33333333333575865</v>
      </c>
      <c r="AF173" s="30" t="s">
        <v>464</v>
      </c>
      <c r="AG173" s="33" t="s">
        <v>465</v>
      </c>
      <c r="AH173" s="33" t="str">
        <f>HYPERLINK("https://docs.google.com/document/d/1LuCtXJrW5W_uDwtAy3HfcI7oOa4lD8iG7UzSamPCoDk/edit?usp=drivesdk","Silas Tanner - 10/4/2018 8:00 AM")</f>
        <v>Silas Tanner - 10/4/2018 8:00 AM</v>
      </c>
      <c r="AI173" s="30" t="s">
        <v>466</v>
      </c>
    </row>
    <row r="174">
      <c r="A174" s="26">
        <v>43377.3379065162</v>
      </c>
      <c r="B174" s="12" t="s">
        <v>1797</v>
      </c>
      <c r="C174" s="12" t="s">
        <v>2047</v>
      </c>
      <c r="D174" s="12" t="s">
        <v>1916</v>
      </c>
      <c r="E174" s="12" t="s">
        <v>2015</v>
      </c>
      <c r="F174" s="27">
        <v>43377.0</v>
      </c>
      <c r="G174" s="12" t="s">
        <v>1800</v>
      </c>
      <c r="H174" s="29">
        <v>0.0</v>
      </c>
      <c r="I174" s="26">
        <v>43377.5625</v>
      </c>
      <c r="J174" s="12" t="s">
        <v>1704</v>
      </c>
      <c r="L174" s="12" t="s">
        <v>1626</v>
      </c>
      <c r="M174" s="12" t="s">
        <v>1801</v>
      </c>
      <c r="N174" s="12" t="s">
        <v>2093</v>
      </c>
      <c r="O174" s="12" t="s">
        <v>1802</v>
      </c>
      <c r="P174" s="12" t="s">
        <v>1696</v>
      </c>
      <c r="Q174" s="12" t="s">
        <v>1696</v>
      </c>
      <c r="R174" s="12" t="s">
        <v>1696</v>
      </c>
      <c r="S174" s="12" t="s">
        <v>1696</v>
      </c>
      <c r="T174" s="12" t="s">
        <v>1696</v>
      </c>
      <c r="U174" s="12" t="s">
        <v>1696</v>
      </c>
      <c r="V174" s="12" t="s">
        <v>1696</v>
      </c>
      <c r="W174" s="12" t="s">
        <v>1696</v>
      </c>
      <c r="X174" s="12" t="s">
        <v>1696</v>
      </c>
      <c r="Y174" s="12" t="s">
        <v>1696</v>
      </c>
      <c r="Z174" s="12" t="s">
        <v>1696</v>
      </c>
      <c r="AA174" s="12" t="s">
        <v>1696</v>
      </c>
      <c r="AB174" s="12" t="s">
        <v>1696</v>
      </c>
      <c r="AE174" s="29">
        <v>0.38541666666424135</v>
      </c>
      <c r="AF174" s="30" t="s">
        <v>467</v>
      </c>
      <c r="AG174" s="33" t="s">
        <v>468</v>
      </c>
      <c r="AH174" s="33" t="str">
        <f>HYPERLINK("https://docs.google.com/document/d/165OlHMSD7QQspuLihMnA4iOz0DUxDdUqPxfmQ1cBeNs/edit?usp=drivesdk","Shannon Dunnigan - 10/4/2018 9:15 AM")</f>
        <v>Shannon Dunnigan - 10/4/2018 9:15 AM</v>
      </c>
      <c r="AI174" s="30" t="s">
        <v>469</v>
      </c>
    </row>
    <row r="175">
      <c r="A175" s="26">
        <v>43382.60240420139</v>
      </c>
      <c r="B175" s="12" t="s">
        <v>1717</v>
      </c>
      <c r="C175" s="12" t="s">
        <v>1718</v>
      </c>
      <c r="D175" s="12" t="s">
        <v>1916</v>
      </c>
      <c r="E175" s="12" t="s">
        <v>2094</v>
      </c>
      <c r="F175" s="27">
        <v>43383.0</v>
      </c>
      <c r="G175" s="12" t="s">
        <v>1856</v>
      </c>
      <c r="H175" s="29">
        <v>0.5006944444467081</v>
      </c>
      <c r="I175" s="26">
        <v>43383.51041666667</v>
      </c>
      <c r="J175" s="12" t="s">
        <v>1658</v>
      </c>
      <c r="L175" s="12" t="s">
        <v>1720</v>
      </c>
      <c r="M175" s="12" t="s">
        <v>1781</v>
      </c>
      <c r="N175" s="12" t="s">
        <v>1832</v>
      </c>
      <c r="O175" s="12" t="s">
        <v>2095</v>
      </c>
      <c r="P175" s="12" t="s">
        <v>1696</v>
      </c>
      <c r="Q175" s="12" t="s">
        <v>1696</v>
      </c>
      <c r="R175" s="12" t="s">
        <v>1696</v>
      </c>
      <c r="S175" s="12" t="s">
        <v>1696</v>
      </c>
      <c r="T175" s="12" t="s">
        <v>1696</v>
      </c>
      <c r="U175" s="12" t="s">
        <v>1696</v>
      </c>
      <c r="V175" s="12" t="s">
        <v>1696</v>
      </c>
      <c r="W175" s="12" t="s">
        <v>1696</v>
      </c>
      <c r="X175" s="12" t="s">
        <v>1696</v>
      </c>
      <c r="Y175" s="12" t="s">
        <v>1696</v>
      </c>
      <c r="Z175" s="12" t="s">
        <v>1696</v>
      </c>
      <c r="AA175" s="12" t="s">
        <v>1696</v>
      </c>
      <c r="AB175" s="12" t="s">
        <v>1696</v>
      </c>
      <c r="AE175" s="29">
        <v>0.3125</v>
      </c>
      <c r="AF175" s="30" t="s">
        <v>470</v>
      </c>
      <c r="AG175" s="33" t="s">
        <v>471</v>
      </c>
      <c r="AH175" s="33" t="str">
        <f>HYPERLINK("https://docs.google.com/document/d/1L1XIyzHuHRQHoWUjLZVh96I0pkX6GW-koS18WeV4S5A/edit?usp=drivesdk","Silas Tanner - 10/10/2018 7:30 AM")</f>
        <v>Silas Tanner - 10/10/2018 7:30 AM</v>
      </c>
      <c r="AI175" s="30" t="s">
        <v>472</v>
      </c>
    </row>
    <row r="176">
      <c r="A176" s="26">
        <v>43385.417226562495</v>
      </c>
      <c r="B176" s="12" t="s">
        <v>1713</v>
      </c>
      <c r="C176" s="12" t="s">
        <v>1808</v>
      </c>
      <c r="D176" s="12" t="s">
        <v>1916</v>
      </c>
      <c r="E176" s="12" t="s">
        <v>1714</v>
      </c>
      <c r="F176" s="27">
        <v>43385.0</v>
      </c>
      <c r="G176" s="12" t="s">
        <v>2096</v>
      </c>
      <c r="H176" s="29">
        <v>0.6666666666642413</v>
      </c>
      <c r="I176" s="26">
        <v>43385.71875</v>
      </c>
      <c r="J176" s="12" t="s">
        <v>1704</v>
      </c>
      <c r="L176" s="12" t="s">
        <v>1720</v>
      </c>
      <c r="M176" s="12" t="s">
        <v>1816</v>
      </c>
      <c r="O176" s="12" t="s">
        <v>1708</v>
      </c>
      <c r="P176" s="12" t="s">
        <v>1696</v>
      </c>
      <c r="Q176" s="12" t="s">
        <v>1696</v>
      </c>
      <c r="R176" s="12" t="s">
        <v>1696</v>
      </c>
      <c r="S176" s="12" t="s">
        <v>1696</v>
      </c>
      <c r="T176" s="12" t="s">
        <v>1696</v>
      </c>
      <c r="U176" s="12" t="s">
        <v>1696</v>
      </c>
      <c r="V176" s="12" t="s">
        <v>1696</v>
      </c>
      <c r="W176" s="12" t="s">
        <v>1696</v>
      </c>
      <c r="X176" s="12" t="s">
        <v>1696</v>
      </c>
      <c r="Y176" s="12" t="s">
        <v>1696</v>
      </c>
      <c r="Z176" s="12" t="s">
        <v>1696</v>
      </c>
      <c r="AA176" s="12" t="s">
        <v>1696</v>
      </c>
      <c r="AB176" s="12" t="s">
        <v>1696</v>
      </c>
      <c r="AE176" s="29">
        <v>0.46875</v>
      </c>
      <c r="AF176" s="30" t="s">
        <v>473</v>
      </c>
      <c r="AG176" s="33" t="s">
        <v>474</v>
      </c>
      <c r="AH176" s="33" t="str">
        <f>HYPERLINK("https://docs.google.com/document/d/1FPp7Ct0JiV_kWgKtlmLlCmGzPELIhER6zZ_PuQTEZXQ/edit?usp=drivesdk","Ben Mowbray - 10/12/2018 11:15 AM")</f>
        <v>Ben Mowbray - 10/12/2018 11:15 AM</v>
      </c>
      <c r="AI176" s="30" t="s">
        <v>475</v>
      </c>
    </row>
    <row r="177">
      <c r="A177" s="26">
        <v>43389.28323744213</v>
      </c>
      <c r="B177" s="12" t="s">
        <v>1699</v>
      </c>
      <c r="C177" s="12" t="s">
        <v>2097</v>
      </c>
      <c r="D177" s="12" t="s">
        <v>1916</v>
      </c>
      <c r="E177" s="12" t="s">
        <v>1623</v>
      </c>
      <c r="F177" s="27">
        <v>43389.0</v>
      </c>
      <c r="G177" s="12" t="s">
        <v>1746</v>
      </c>
      <c r="H177" s="29">
        <v>0.47916666666424135</v>
      </c>
      <c r="I177" s="26">
        <v>43389.5</v>
      </c>
      <c r="J177" s="12" t="s">
        <v>1658</v>
      </c>
      <c r="L177" s="12" t="s">
        <v>1720</v>
      </c>
      <c r="M177" s="12" t="s">
        <v>1816</v>
      </c>
      <c r="N177" s="12" t="s">
        <v>2098</v>
      </c>
      <c r="O177" s="12" t="s">
        <v>1708</v>
      </c>
      <c r="P177" s="12" t="s">
        <v>1696</v>
      </c>
      <c r="Q177" s="12" t="s">
        <v>1696</v>
      </c>
      <c r="R177" s="12" t="s">
        <v>1696</v>
      </c>
      <c r="S177" s="12" t="s">
        <v>1696</v>
      </c>
      <c r="T177" s="12" t="s">
        <v>1696</v>
      </c>
      <c r="U177" s="12" t="s">
        <v>1696</v>
      </c>
      <c r="V177" s="12" t="s">
        <v>1696</v>
      </c>
      <c r="W177" s="12" t="s">
        <v>1696</v>
      </c>
      <c r="X177" s="12" t="s">
        <v>1696</v>
      </c>
      <c r="Y177" s="12" t="s">
        <v>1696</v>
      </c>
      <c r="Z177" s="12" t="s">
        <v>1696</v>
      </c>
      <c r="AA177" s="12" t="s">
        <v>1696</v>
      </c>
      <c r="AB177" s="12" t="s">
        <v>1696</v>
      </c>
      <c r="AE177" s="29">
        <v>0.30208333333575865</v>
      </c>
      <c r="AF177" s="30" t="s">
        <v>476</v>
      </c>
      <c r="AG177" s="33" t="s">
        <v>477</v>
      </c>
      <c r="AH177" s="33" t="str">
        <f>HYPERLINK("https://docs.google.com/document/d/1JGMIP5SQ2ZMKd8eDucsvIls3aSK9Tt3z-nF29BgavLw/edit?usp=drivesdk","Pamela Marcum - 10/16/2018 7:15 AM")</f>
        <v>Pamela Marcum - 10/16/2018 7:15 AM</v>
      </c>
      <c r="AI177" s="30" t="s">
        <v>478</v>
      </c>
    </row>
    <row r="178">
      <c r="A178" s="26">
        <v>43391.58753949074</v>
      </c>
      <c r="B178" s="12" t="s">
        <v>1717</v>
      </c>
      <c r="C178" s="12" t="s">
        <v>1718</v>
      </c>
      <c r="D178" s="12" t="s">
        <v>1916</v>
      </c>
      <c r="E178" s="12" t="s">
        <v>1757</v>
      </c>
      <c r="F178" s="27">
        <v>43392.0</v>
      </c>
      <c r="G178" s="12" t="s">
        <v>1883</v>
      </c>
      <c r="H178" s="29">
        <v>0.47916666666424135</v>
      </c>
      <c r="I178" s="26">
        <v>43392.52083333333</v>
      </c>
      <c r="J178" s="12" t="s">
        <v>1658</v>
      </c>
      <c r="L178" s="12" t="s">
        <v>1626</v>
      </c>
      <c r="M178" s="12" t="s">
        <v>1918</v>
      </c>
      <c r="N178" s="12" t="s">
        <v>1890</v>
      </c>
      <c r="O178" s="12" t="s">
        <v>1797</v>
      </c>
      <c r="P178" s="12" t="s">
        <v>1696</v>
      </c>
      <c r="Q178" s="12" t="s">
        <v>1696</v>
      </c>
      <c r="R178" s="12" t="s">
        <v>1696</v>
      </c>
      <c r="S178" s="12" t="s">
        <v>1696</v>
      </c>
      <c r="T178" s="12" t="s">
        <v>1696</v>
      </c>
      <c r="U178" s="12" t="s">
        <v>1696</v>
      </c>
      <c r="V178" s="12" t="s">
        <v>1696</v>
      </c>
      <c r="W178" s="12" t="s">
        <v>1696</v>
      </c>
      <c r="X178" s="12" t="s">
        <v>1696</v>
      </c>
      <c r="Y178" s="12" t="s">
        <v>1696</v>
      </c>
      <c r="Z178" s="12" t="s">
        <v>1696</v>
      </c>
      <c r="AA178" s="12" t="s">
        <v>1696</v>
      </c>
      <c r="AB178" s="12" t="s">
        <v>1696</v>
      </c>
      <c r="AE178" s="29">
        <v>0.35416666666424135</v>
      </c>
      <c r="AF178" s="30" t="s">
        <v>479</v>
      </c>
      <c r="AG178" s="33" t="s">
        <v>480</v>
      </c>
      <c r="AH178" s="33" t="str">
        <f>HYPERLINK("https://docs.google.com/document/d/1RDmcLZdwMIRHDuujQWjczrbdq11SFvJ7BvyZZWaLJ_M/edit?usp=drivesdk","Silas Tanner - 10/19/2018 8:30 AM")</f>
        <v>Silas Tanner - 10/19/2018 8:30 AM</v>
      </c>
      <c r="AI178" s="30" t="s">
        <v>481</v>
      </c>
    </row>
    <row r="179">
      <c r="A179" s="26">
        <v>43395.33295216435</v>
      </c>
      <c r="B179" s="12" t="s">
        <v>1726</v>
      </c>
      <c r="C179" s="12" t="s">
        <v>1727</v>
      </c>
      <c r="D179" s="12" t="s">
        <v>1728</v>
      </c>
      <c r="E179" s="12" t="s">
        <v>1683</v>
      </c>
      <c r="F179" s="27">
        <v>43395.0</v>
      </c>
      <c r="G179" s="12" t="s">
        <v>2099</v>
      </c>
      <c r="H179" s="29">
        <v>0.41666666666424135</v>
      </c>
      <c r="J179" s="12" t="s">
        <v>1730</v>
      </c>
      <c r="L179" s="12" t="s">
        <v>1626</v>
      </c>
      <c r="M179" s="12" t="s">
        <v>1785</v>
      </c>
      <c r="N179" s="12" t="s">
        <v>1832</v>
      </c>
      <c r="O179" s="12" t="s">
        <v>1735</v>
      </c>
      <c r="P179" s="12" t="s">
        <v>1696</v>
      </c>
      <c r="Q179" s="12" t="s">
        <v>1696</v>
      </c>
      <c r="R179" s="12" t="s">
        <v>1696</v>
      </c>
      <c r="S179" s="12" t="s">
        <v>1696</v>
      </c>
      <c r="T179" s="12" t="s">
        <v>1696</v>
      </c>
      <c r="U179" s="12" t="s">
        <v>1696</v>
      </c>
      <c r="V179" s="12" t="s">
        <v>1696</v>
      </c>
      <c r="W179" s="12" t="s">
        <v>1696</v>
      </c>
      <c r="X179" s="12" t="s">
        <v>1696</v>
      </c>
      <c r="Y179" s="12" t="s">
        <v>1696</v>
      </c>
      <c r="Z179" s="12" t="s">
        <v>1696</v>
      </c>
      <c r="AA179" s="12" t="s">
        <v>1696</v>
      </c>
      <c r="AB179" s="12" t="s">
        <v>1696</v>
      </c>
      <c r="AE179" s="29">
        <v>0.35416666666424135</v>
      </c>
      <c r="AF179" s="30" t="s">
        <v>482</v>
      </c>
      <c r="AG179" s="33" t="s">
        <v>483</v>
      </c>
      <c r="AH179" s="33" t="str">
        <f>HYPERLINK("https://docs.google.com/document/d/1vhbaWsznObDXbxBjYZJm-c5mH0w0JZvCBOp-BzfpDKI/edit?usp=drivesdk","James Tomazinis - 10/22/2018 8:30 AM")</f>
        <v>James Tomazinis - 10/22/2018 8:30 AM</v>
      </c>
      <c r="AI179" s="30" t="s">
        <v>484</v>
      </c>
    </row>
    <row r="180">
      <c r="A180" s="26">
        <v>43395.561414131946</v>
      </c>
      <c r="B180" s="12" t="s">
        <v>1717</v>
      </c>
      <c r="C180" s="12" t="s">
        <v>1718</v>
      </c>
      <c r="D180" s="12" t="s">
        <v>1916</v>
      </c>
      <c r="E180" s="12" t="s">
        <v>1924</v>
      </c>
      <c r="F180" s="27">
        <v>43396.0</v>
      </c>
      <c r="G180" s="12" t="s">
        <v>1856</v>
      </c>
      <c r="H180" s="29">
        <v>0.5416666666642413</v>
      </c>
      <c r="I180" s="26">
        <v>43396.5625</v>
      </c>
      <c r="J180" s="12" t="s">
        <v>1658</v>
      </c>
      <c r="L180" s="12" t="s">
        <v>1626</v>
      </c>
      <c r="M180" s="12" t="s">
        <v>1793</v>
      </c>
      <c r="N180" s="12" t="s">
        <v>2100</v>
      </c>
      <c r="O180" s="12" t="s">
        <v>1717</v>
      </c>
      <c r="P180" s="12" t="s">
        <v>1696</v>
      </c>
      <c r="Q180" s="12" t="s">
        <v>1696</v>
      </c>
      <c r="R180" s="12" t="s">
        <v>1696</v>
      </c>
      <c r="S180" s="12" t="s">
        <v>1696</v>
      </c>
      <c r="T180" s="12" t="s">
        <v>1696</v>
      </c>
      <c r="U180" s="12" t="s">
        <v>1696</v>
      </c>
      <c r="V180" s="12" t="s">
        <v>1696</v>
      </c>
      <c r="W180" s="12" t="s">
        <v>1696</v>
      </c>
      <c r="X180" s="12" t="s">
        <v>1696</v>
      </c>
      <c r="Y180" s="12" t="s">
        <v>1696</v>
      </c>
      <c r="Z180" s="12" t="s">
        <v>1696</v>
      </c>
      <c r="AA180" s="12" t="s">
        <v>1696</v>
      </c>
      <c r="AB180" s="12" t="s">
        <v>1696</v>
      </c>
      <c r="AE180" s="29">
        <v>0.33333333333575865</v>
      </c>
      <c r="AF180" s="30" t="s">
        <v>485</v>
      </c>
      <c r="AG180" s="33" t="s">
        <v>486</v>
      </c>
      <c r="AH180" s="33" t="str">
        <f>HYPERLINK("https://docs.google.com/document/d/1ZNjLR5XjuWTsIS-2tFfq5tQYsgGh-MACWxn2ZoDEOuU/edit?usp=drivesdk","Silas Tanner - 10/23/2018 8:00 AM")</f>
        <v>Silas Tanner - 10/23/2018 8:00 AM</v>
      </c>
      <c r="AI180" s="30" t="s">
        <v>487</v>
      </c>
    </row>
    <row r="181">
      <c r="A181" s="26">
        <v>43402.26821903935</v>
      </c>
      <c r="B181" s="12" t="s">
        <v>1699</v>
      </c>
      <c r="C181" s="12" t="s">
        <v>1700</v>
      </c>
      <c r="D181" s="12" t="s">
        <v>1916</v>
      </c>
      <c r="E181" s="12" t="s">
        <v>1836</v>
      </c>
      <c r="F181" s="27">
        <v>43402.0</v>
      </c>
      <c r="G181" s="12" t="s">
        <v>1732</v>
      </c>
      <c r="H181" s="29">
        <v>0.5416666666642413</v>
      </c>
      <c r="I181" s="26">
        <v>43402.5625</v>
      </c>
      <c r="J181" s="12" t="s">
        <v>1658</v>
      </c>
      <c r="L181" s="12" t="s">
        <v>1626</v>
      </c>
      <c r="M181" s="12" t="s">
        <v>1706</v>
      </c>
      <c r="N181" s="12" t="s">
        <v>2101</v>
      </c>
      <c r="O181" s="12" t="s">
        <v>1744</v>
      </c>
      <c r="P181" s="12" t="s">
        <v>1696</v>
      </c>
      <c r="Q181" s="12" t="s">
        <v>1696</v>
      </c>
      <c r="R181" s="12" t="s">
        <v>1696</v>
      </c>
      <c r="S181" s="12" t="s">
        <v>1696</v>
      </c>
      <c r="T181" s="12" t="s">
        <v>1696</v>
      </c>
      <c r="U181" s="12" t="s">
        <v>1696</v>
      </c>
      <c r="V181" s="12" t="s">
        <v>1696</v>
      </c>
      <c r="W181" s="12" t="s">
        <v>1696</v>
      </c>
      <c r="X181" s="12" t="s">
        <v>1696</v>
      </c>
      <c r="Y181" s="12" t="s">
        <v>1696</v>
      </c>
      <c r="Z181" s="12" t="s">
        <v>1696</v>
      </c>
      <c r="AA181" s="12" t="s">
        <v>1696</v>
      </c>
      <c r="AB181" s="12" t="s">
        <v>1696</v>
      </c>
      <c r="AE181" s="29">
        <v>0.29166666666424135</v>
      </c>
      <c r="AF181" s="30" t="s">
        <v>488</v>
      </c>
      <c r="AG181" s="33" t="s">
        <v>489</v>
      </c>
      <c r="AH181" s="33" t="str">
        <f>HYPERLINK("https://docs.google.com/document/d/1KDW4JIx-TDLtUs2oIxpu-004J3DLKclKRdUK1ysIZ4w/edit?usp=drivesdk","Pamela Marcum - 10/29/2018 7:00 AM")</f>
        <v>Pamela Marcum - 10/29/2018 7:00 AM</v>
      </c>
      <c r="AI181" s="30" t="s">
        <v>490</v>
      </c>
    </row>
    <row r="182">
      <c r="A182" s="26">
        <v>43403.26237045139</v>
      </c>
      <c r="B182" s="12" t="s">
        <v>1699</v>
      </c>
      <c r="C182" s="12" t="s">
        <v>1710</v>
      </c>
      <c r="D182" s="12" t="s">
        <v>1916</v>
      </c>
      <c r="E182" s="12" t="s">
        <v>2102</v>
      </c>
      <c r="F182" s="27">
        <v>43403.0</v>
      </c>
      <c r="G182" s="12" t="s">
        <v>1732</v>
      </c>
      <c r="H182" s="29">
        <v>0.5416666666642413</v>
      </c>
      <c r="I182" s="26">
        <v>43403.5625</v>
      </c>
      <c r="J182" s="12" t="s">
        <v>1658</v>
      </c>
      <c r="L182" s="12" t="s">
        <v>1626</v>
      </c>
      <c r="M182" s="12" t="s">
        <v>1706</v>
      </c>
      <c r="N182" s="12" t="s">
        <v>2103</v>
      </c>
      <c r="O182" s="12" t="s">
        <v>1708</v>
      </c>
      <c r="P182" s="12" t="s">
        <v>1696</v>
      </c>
      <c r="Q182" s="12" t="s">
        <v>1696</v>
      </c>
      <c r="R182" s="12" t="s">
        <v>1696</v>
      </c>
      <c r="S182" s="12" t="s">
        <v>1696</v>
      </c>
      <c r="T182" s="12" t="s">
        <v>1696</v>
      </c>
      <c r="U182" s="12" t="s">
        <v>1696</v>
      </c>
      <c r="V182" s="12" t="s">
        <v>1696</v>
      </c>
      <c r="W182" s="12" t="s">
        <v>1696</v>
      </c>
      <c r="X182" s="12" t="s">
        <v>1696</v>
      </c>
      <c r="Y182" s="12" t="s">
        <v>1696</v>
      </c>
      <c r="Z182" s="12" t="s">
        <v>1696</v>
      </c>
      <c r="AA182" s="12" t="s">
        <v>1696</v>
      </c>
      <c r="AB182" s="12" t="s">
        <v>1696</v>
      </c>
      <c r="AE182" s="29">
        <v>0.29166666666424135</v>
      </c>
      <c r="AF182" s="30" t="s">
        <v>491</v>
      </c>
      <c r="AG182" s="33" t="s">
        <v>492</v>
      </c>
      <c r="AH182" s="33" t="str">
        <f>HYPERLINK("https://docs.google.com/document/d/1Qu9mmZmTv01KNWghm6u4OGUV88UmBjkTWh1ifHFSkZg/edit?usp=drivesdk","Pamela Marcum - 10/30/2018 7:00 AM")</f>
        <v>Pamela Marcum - 10/30/2018 7:00 AM</v>
      </c>
      <c r="AI182" s="30" t="s">
        <v>493</v>
      </c>
    </row>
    <row r="183">
      <c r="A183" s="26">
        <v>43404.28307384259</v>
      </c>
      <c r="B183" s="12" t="s">
        <v>1699</v>
      </c>
      <c r="C183" s="12" t="s">
        <v>1710</v>
      </c>
      <c r="D183" s="12" t="s">
        <v>1916</v>
      </c>
      <c r="E183" s="12" t="s">
        <v>2102</v>
      </c>
      <c r="F183" s="27">
        <v>43404.0</v>
      </c>
      <c r="G183" s="12" t="s">
        <v>2104</v>
      </c>
      <c r="H183" s="29">
        <v>0.5833333333357587</v>
      </c>
      <c r="I183" s="26">
        <v>43404.60416666667</v>
      </c>
      <c r="J183" s="12" t="s">
        <v>1658</v>
      </c>
      <c r="L183" s="12" t="s">
        <v>1626</v>
      </c>
      <c r="M183" s="12" t="s">
        <v>1706</v>
      </c>
      <c r="N183" s="12" t="s">
        <v>1670</v>
      </c>
      <c r="O183" s="12" t="s">
        <v>1708</v>
      </c>
      <c r="P183" s="12" t="s">
        <v>1696</v>
      </c>
      <c r="Q183" s="12" t="s">
        <v>1696</v>
      </c>
      <c r="R183" s="12" t="s">
        <v>1696</v>
      </c>
      <c r="S183" s="12" t="s">
        <v>1696</v>
      </c>
      <c r="T183" s="12" t="s">
        <v>1696</v>
      </c>
      <c r="U183" s="12" t="s">
        <v>1696</v>
      </c>
      <c r="V183" s="12" t="s">
        <v>1696</v>
      </c>
      <c r="W183" s="12" t="s">
        <v>1696</v>
      </c>
      <c r="X183" s="12" t="s">
        <v>1696</v>
      </c>
      <c r="Y183" s="12" t="s">
        <v>1696</v>
      </c>
      <c r="Z183" s="12" t="s">
        <v>1696</v>
      </c>
      <c r="AA183" s="12" t="s">
        <v>1696</v>
      </c>
      <c r="AB183" s="12" t="s">
        <v>1696</v>
      </c>
      <c r="AE183" s="29">
        <v>0.3125</v>
      </c>
      <c r="AF183" s="30" t="s">
        <v>494</v>
      </c>
      <c r="AG183" s="33" t="s">
        <v>495</v>
      </c>
      <c r="AH183" s="33" t="str">
        <f>HYPERLINK("https://docs.google.com/document/d/1Piq9pUUSz179ys6kT1N1gc9p86TbMAxgV-Uv5HnwE5E/edit?usp=drivesdk","Pamela Marcum - 10/31/2018 7:30 AM")</f>
        <v>Pamela Marcum - 10/31/2018 7:30 AM</v>
      </c>
      <c r="AI183" s="30" t="s">
        <v>496</v>
      </c>
    </row>
    <row r="184">
      <c r="A184" s="26">
        <v>43404.284795844906</v>
      </c>
      <c r="B184" s="12" t="s">
        <v>1713</v>
      </c>
      <c r="C184" s="12" t="s">
        <v>1765</v>
      </c>
      <c r="D184" s="12" t="s">
        <v>1916</v>
      </c>
      <c r="E184" s="12" t="s">
        <v>2102</v>
      </c>
      <c r="F184" s="27">
        <v>43404.0</v>
      </c>
      <c r="G184" s="12" t="s">
        <v>2104</v>
      </c>
      <c r="H184" s="29">
        <v>0.5833333333357587</v>
      </c>
      <c r="I184" s="26">
        <v>43404.60416666667</v>
      </c>
      <c r="J184" s="12" t="s">
        <v>1693</v>
      </c>
      <c r="L184" s="12" t="s">
        <v>1788</v>
      </c>
      <c r="M184" s="12" t="s">
        <v>1824</v>
      </c>
      <c r="N184" s="12" t="s">
        <v>2105</v>
      </c>
      <c r="O184" s="12" t="s">
        <v>1826</v>
      </c>
      <c r="P184" s="12" t="s">
        <v>1696</v>
      </c>
      <c r="Q184" s="12" t="s">
        <v>1696</v>
      </c>
      <c r="R184" s="12" t="s">
        <v>1696</v>
      </c>
      <c r="S184" s="12" t="s">
        <v>1696</v>
      </c>
      <c r="T184" s="12" t="s">
        <v>1696</v>
      </c>
      <c r="U184" s="12" t="s">
        <v>1696</v>
      </c>
      <c r="V184" s="12" t="s">
        <v>1696</v>
      </c>
      <c r="W184" s="12" t="s">
        <v>1696</v>
      </c>
      <c r="X184" s="12" t="s">
        <v>1696</v>
      </c>
      <c r="Y184" s="12" t="s">
        <v>1696</v>
      </c>
      <c r="Z184" s="12" t="s">
        <v>1696</v>
      </c>
      <c r="AA184" s="12" t="s">
        <v>1696</v>
      </c>
      <c r="AB184" s="12" t="s">
        <v>1696</v>
      </c>
      <c r="AE184" s="29">
        <v>0.3125</v>
      </c>
      <c r="AF184" s="30" t="s">
        <v>497</v>
      </c>
      <c r="AG184" s="33" t="s">
        <v>498</v>
      </c>
      <c r="AH184" s="33" t="str">
        <f>HYPERLINK("https://docs.google.com/document/d/1yRmCu21DibXxTmzuabRnKsTEkg4ImN6YDeiFUo9b1mQ/edit?usp=drivesdk","Ben Mowbray - 10/31/2018 7:30 AM")</f>
        <v>Ben Mowbray - 10/31/2018 7:30 AM</v>
      </c>
      <c r="AI184" s="30" t="s">
        <v>499</v>
      </c>
    </row>
    <row r="185">
      <c r="A185" s="26">
        <v>43404.48634444445</v>
      </c>
      <c r="B185" s="12" t="s">
        <v>1717</v>
      </c>
      <c r="C185" s="12" t="s">
        <v>1718</v>
      </c>
      <c r="D185" s="12" t="s">
        <v>1916</v>
      </c>
      <c r="E185" s="12" t="s">
        <v>2106</v>
      </c>
      <c r="F185" s="27">
        <v>43404.0</v>
      </c>
      <c r="G185" s="12" t="s">
        <v>2107</v>
      </c>
      <c r="H185" s="29">
        <v>0.6875</v>
      </c>
      <c r="I185" s="26">
        <v>43404.70833333333</v>
      </c>
      <c r="J185" s="12" t="s">
        <v>1625</v>
      </c>
      <c r="L185" s="12" t="s">
        <v>1720</v>
      </c>
      <c r="M185" s="12" t="s">
        <v>1781</v>
      </c>
      <c r="N185" s="12" t="s">
        <v>2108</v>
      </c>
      <c r="O185" s="12" t="s">
        <v>1756</v>
      </c>
      <c r="P185" s="12" t="s">
        <v>1696</v>
      </c>
      <c r="Q185" s="12" t="s">
        <v>1696</v>
      </c>
      <c r="R185" s="12" t="s">
        <v>1696</v>
      </c>
      <c r="S185" s="12" t="s">
        <v>1696</v>
      </c>
      <c r="T185" s="12" t="s">
        <v>1696</v>
      </c>
      <c r="U185" s="12" t="s">
        <v>1696</v>
      </c>
      <c r="V185" s="12" t="s">
        <v>1696</v>
      </c>
      <c r="W185" s="12" t="s">
        <v>1696</v>
      </c>
      <c r="X185" s="12" t="s">
        <v>1696</v>
      </c>
      <c r="Y185" s="12" t="s">
        <v>1696</v>
      </c>
      <c r="Z185" s="12" t="s">
        <v>1696</v>
      </c>
      <c r="AA185" s="12" t="s">
        <v>1696</v>
      </c>
      <c r="AB185" s="12" t="s">
        <v>1696</v>
      </c>
      <c r="AE185" s="29">
        <v>0.5104166666642413</v>
      </c>
      <c r="AF185" s="30" t="s">
        <v>500</v>
      </c>
      <c r="AG185" s="33" t="s">
        <v>501</v>
      </c>
      <c r="AH185" s="33" t="str">
        <f>HYPERLINK("https://docs.google.com/document/d/1RX_gUfr2Cwzo06Md2uxfQ1lOEGgjQtJf8J9lleJZCOQ/edit?usp=drivesdk","Silas Tanner - 10/31/2018 12:15 PM")</f>
        <v>Silas Tanner - 10/31/2018 12:15 PM</v>
      </c>
      <c r="AI185" s="30" t="s">
        <v>502</v>
      </c>
    </row>
    <row r="186">
      <c r="A186" s="26">
        <v>43405.27696858796</v>
      </c>
      <c r="B186" s="12" t="s">
        <v>1713</v>
      </c>
      <c r="C186" s="12" t="s">
        <v>1808</v>
      </c>
      <c r="D186" s="12" t="s">
        <v>1916</v>
      </c>
      <c r="E186" s="12" t="s">
        <v>2109</v>
      </c>
      <c r="F186" s="27">
        <v>43405.0</v>
      </c>
      <c r="G186" s="12" t="s">
        <v>1823</v>
      </c>
      <c r="H186" s="29">
        <v>0.6041666666642413</v>
      </c>
      <c r="I186" s="26">
        <v>43405.65972222222</v>
      </c>
      <c r="J186" s="12" t="s">
        <v>1625</v>
      </c>
      <c r="L186" s="12" t="s">
        <v>1720</v>
      </c>
      <c r="M186" s="12" t="s">
        <v>1824</v>
      </c>
      <c r="N186" s="12" t="s">
        <v>2110</v>
      </c>
      <c r="O186" s="12" t="s">
        <v>1826</v>
      </c>
      <c r="P186" s="12" t="s">
        <v>1696</v>
      </c>
      <c r="Q186" s="12" t="s">
        <v>1696</v>
      </c>
      <c r="R186" s="12" t="s">
        <v>1696</v>
      </c>
      <c r="S186" s="12" t="s">
        <v>1696</v>
      </c>
      <c r="T186" s="12" t="s">
        <v>1696</v>
      </c>
      <c r="U186" s="12" t="s">
        <v>1696</v>
      </c>
      <c r="V186" s="12" t="s">
        <v>1696</v>
      </c>
      <c r="W186" s="12" t="s">
        <v>1696</v>
      </c>
      <c r="X186" s="12" t="s">
        <v>1696</v>
      </c>
      <c r="Y186" s="12" t="s">
        <v>1696</v>
      </c>
      <c r="Z186" s="12" t="s">
        <v>1696</v>
      </c>
      <c r="AA186" s="12" t="s">
        <v>1696</v>
      </c>
      <c r="AB186" s="12" t="s">
        <v>1696</v>
      </c>
      <c r="AE186" s="29">
        <v>0.3194444444452529</v>
      </c>
      <c r="AF186" s="30" t="s">
        <v>504</v>
      </c>
      <c r="AG186" s="33" t="s">
        <v>505</v>
      </c>
      <c r="AH186" s="33" t="str">
        <f>HYPERLINK("https://docs.google.com/document/d/1s3JiwQ-KWulWysULpBhqbwpxDkxCnkakIu_ciCP-aHE/edit?usp=drivesdk","Ben Mowbray - 11/1/2018 7:40 AM")</f>
        <v>Ben Mowbray - 11/1/2018 7:40 AM</v>
      </c>
      <c r="AI186" s="30" t="s">
        <v>506</v>
      </c>
    </row>
    <row r="187">
      <c r="A187" s="26">
        <v>43405.32542648148</v>
      </c>
      <c r="B187" s="12" t="s">
        <v>1699</v>
      </c>
      <c r="C187" s="12" t="s">
        <v>1700</v>
      </c>
      <c r="D187" s="12" t="s">
        <v>1916</v>
      </c>
      <c r="E187" s="12" t="s">
        <v>1623</v>
      </c>
      <c r="F187" s="27">
        <v>43405.0</v>
      </c>
      <c r="G187" s="12" t="s">
        <v>2111</v>
      </c>
      <c r="H187" s="29">
        <v>0.5416666666642413</v>
      </c>
      <c r="I187" s="26">
        <v>43405.5625</v>
      </c>
      <c r="J187" s="12" t="s">
        <v>1693</v>
      </c>
      <c r="L187" s="12" t="s">
        <v>1788</v>
      </c>
      <c r="M187" s="12" t="s">
        <v>1706</v>
      </c>
      <c r="N187" s="12" t="s">
        <v>2112</v>
      </c>
      <c r="O187" s="12" t="s">
        <v>1708</v>
      </c>
      <c r="P187" s="12" t="s">
        <v>1696</v>
      </c>
      <c r="Q187" s="12" t="s">
        <v>1696</v>
      </c>
      <c r="R187" s="12" t="s">
        <v>1696</v>
      </c>
      <c r="S187" s="12" t="s">
        <v>1696</v>
      </c>
      <c r="T187" s="12" t="s">
        <v>1696</v>
      </c>
      <c r="U187" s="12" t="s">
        <v>1696</v>
      </c>
      <c r="V187" s="12" t="s">
        <v>1696</v>
      </c>
      <c r="W187" s="12" t="s">
        <v>1696</v>
      </c>
      <c r="X187" s="12" t="s">
        <v>1696</v>
      </c>
      <c r="Y187" s="12" t="s">
        <v>1696</v>
      </c>
      <c r="Z187" s="12" t="s">
        <v>1696</v>
      </c>
      <c r="AA187" s="12" t="s">
        <v>1696</v>
      </c>
      <c r="AB187" s="12" t="s">
        <v>1696</v>
      </c>
      <c r="AE187" s="29">
        <v>0.33333333333575865</v>
      </c>
      <c r="AF187" s="30" t="s">
        <v>508</v>
      </c>
      <c r="AG187" s="33" t="s">
        <v>509</v>
      </c>
      <c r="AH187" s="33" t="str">
        <f>HYPERLINK("https://docs.google.com/document/d/1wHN4Cbsn47rCWCLLPwvhvv0RSpz-ejSy8O1YNICpliM/edit?usp=drivesdk","Pamela Marcum - 11/1/2018 8:00 AM")</f>
        <v>Pamela Marcum - 11/1/2018 8:00 AM</v>
      </c>
      <c r="AI187" s="30" t="s">
        <v>510</v>
      </c>
    </row>
    <row r="188">
      <c r="A188" s="26">
        <v>43405.34657351852</v>
      </c>
      <c r="B188" s="12" t="s">
        <v>1717</v>
      </c>
      <c r="C188" s="12" t="s">
        <v>2113</v>
      </c>
      <c r="D188" s="12" t="s">
        <v>1916</v>
      </c>
      <c r="E188" s="12" t="s">
        <v>1623</v>
      </c>
      <c r="F188" s="27">
        <v>43405.0</v>
      </c>
      <c r="G188" s="12" t="s">
        <v>2114</v>
      </c>
      <c r="H188" s="29">
        <v>0.6041666666642413</v>
      </c>
      <c r="I188" s="26">
        <v>43405.625</v>
      </c>
      <c r="J188" s="12" t="s">
        <v>1658</v>
      </c>
      <c r="L188" s="12" t="s">
        <v>1626</v>
      </c>
      <c r="M188" s="12" t="s">
        <v>1781</v>
      </c>
      <c r="N188" s="12" t="s">
        <v>2115</v>
      </c>
      <c r="O188" s="12" t="s">
        <v>1717</v>
      </c>
      <c r="P188" s="12" t="s">
        <v>1696</v>
      </c>
      <c r="Q188" s="12" t="s">
        <v>1696</v>
      </c>
      <c r="R188" s="12" t="s">
        <v>1696</v>
      </c>
      <c r="S188" s="12" t="s">
        <v>1696</v>
      </c>
      <c r="T188" s="12" t="s">
        <v>1696</v>
      </c>
      <c r="U188" s="12" t="s">
        <v>1696</v>
      </c>
      <c r="V188" s="12" t="s">
        <v>1696</v>
      </c>
      <c r="W188" s="12" t="s">
        <v>1696</v>
      </c>
      <c r="X188" s="12" t="s">
        <v>1696</v>
      </c>
      <c r="Y188" s="12" t="s">
        <v>1696</v>
      </c>
      <c r="Z188" s="12" t="s">
        <v>1696</v>
      </c>
      <c r="AA188" s="12" t="s">
        <v>1696</v>
      </c>
      <c r="AB188" s="12" t="s">
        <v>1696</v>
      </c>
      <c r="AE188" s="29">
        <v>0.35416666666424135</v>
      </c>
      <c r="AF188" s="30" t="s">
        <v>512</v>
      </c>
      <c r="AG188" s="33" t="s">
        <v>513</v>
      </c>
      <c r="AH188" s="33" t="str">
        <f>HYPERLINK("https://docs.google.com/document/d/1Rrrw9hXvd2dswIm7DTQzp7Bj3bZQddXoz6ZiVQaAymE/edit?usp=drivesdk","Silas Tanner - 11/1/2018 8:30 AM")</f>
        <v>Silas Tanner - 11/1/2018 8:30 AM</v>
      </c>
      <c r="AI188" s="30" t="s">
        <v>514</v>
      </c>
    </row>
    <row r="189">
      <c r="A189" s="26">
        <v>43406.327230243056</v>
      </c>
      <c r="B189" s="12" t="s">
        <v>1713</v>
      </c>
      <c r="C189" s="12" t="s">
        <v>1808</v>
      </c>
      <c r="D189" s="12" t="s">
        <v>1916</v>
      </c>
      <c r="E189" s="12" t="s">
        <v>2081</v>
      </c>
      <c r="F189" s="27">
        <v>43406.0</v>
      </c>
      <c r="G189" s="12" t="s">
        <v>2116</v>
      </c>
      <c r="H189" s="29">
        <v>0.5833333333357587</v>
      </c>
      <c r="I189" s="26">
        <v>43406.61111111111</v>
      </c>
      <c r="J189" s="12" t="s">
        <v>1625</v>
      </c>
      <c r="L189" s="12" t="s">
        <v>1720</v>
      </c>
      <c r="M189" s="12" t="s">
        <v>1824</v>
      </c>
      <c r="N189" s="12" t="s">
        <v>2117</v>
      </c>
      <c r="O189" s="12" t="s">
        <v>1826</v>
      </c>
      <c r="P189" s="12" t="s">
        <v>1696</v>
      </c>
      <c r="Q189" s="12" t="s">
        <v>1696</v>
      </c>
      <c r="R189" s="12" t="s">
        <v>1696</v>
      </c>
      <c r="S189" s="12" t="s">
        <v>1696</v>
      </c>
      <c r="T189" s="12" t="s">
        <v>1696</v>
      </c>
      <c r="U189" s="12" t="s">
        <v>1696</v>
      </c>
      <c r="V189" s="12" t="s">
        <v>1696</v>
      </c>
      <c r="W189" s="12" t="s">
        <v>1696</v>
      </c>
      <c r="X189" s="12" t="s">
        <v>1696</v>
      </c>
      <c r="Y189" s="12" t="s">
        <v>1696</v>
      </c>
      <c r="Z189" s="12" t="s">
        <v>1696</v>
      </c>
      <c r="AA189" s="12" t="s">
        <v>1696</v>
      </c>
      <c r="AB189" s="12" t="s">
        <v>1696</v>
      </c>
      <c r="AE189" s="29">
        <v>0.36111111110949423</v>
      </c>
      <c r="AF189" s="30" t="s">
        <v>515</v>
      </c>
      <c r="AG189" s="33" t="s">
        <v>516</v>
      </c>
      <c r="AH189" s="33" t="str">
        <f>HYPERLINK("https://docs.google.com/document/d/1HISdHTEExN4zHmyd24EnNJE9re7ldowomCTkQ-w64zU/edit?usp=drivesdk","Ben Mowbray - 11/2/2018 8:40 AM")</f>
        <v>Ben Mowbray - 11/2/2018 8:40 AM</v>
      </c>
      <c r="AI189" s="30" t="s">
        <v>517</v>
      </c>
    </row>
    <row r="190">
      <c r="A190" s="26">
        <v>43406.38157403935</v>
      </c>
      <c r="B190" s="12" t="s">
        <v>1699</v>
      </c>
      <c r="C190" s="12" t="s">
        <v>1710</v>
      </c>
      <c r="D190" s="12" t="s">
        <v>1916</v>
      </c>
      <c r="E190" s="12" t="s">
        <v>1623</v>
      </c>
      <c r="F190" s="27">
        <v>43406.0</v>
      </c>
      <c r="G190" s="12" t="s">
        <v>2104</v>
      </c>
      <c r="H190" s="29">
        <v>0.6041666666642413</v>
      </c>
      <c r="I190" s="26">
        <v>43406.625</v>
      </c>
      <c r="J190" s="12" t="s">
        <v>1658</v>
      </c>
      <c r="L190" s="12" t="s">
        <v>1626</v>
      </c>
      <c r="M190" s="12" t="s">
        <v>1770</v>
      </c>
      <c r="N190" s="12" t="s">
        <v>2118</v>
      </c>
      <c r="O190" s="12" t="s">
        <v>2072</v>
      </c>
      <c r="P190" s="12" t="s">
        <v>1696</v>
      </c>
      <c r="Q190" s="12" t="s">
        <v>1696</v>
      </c>
      <c r="R190" s="12" t="s">
        <v>1696</v>
      </c>
      <c r="S190" s="12" t="s">
        <v>1696</v>
      </c>
      <c r="T190" s="12" t="s">
        <v>1696</v>
      </c>
      <c r="U190" s="12" t="s">
        <v>1696</v>
      </c>
      <c r="V190" s="12" t="s">
        <v>1696</v>
      </c>
      <c r="W190" s="12" t="s">
        <v>1696</v>
      </c>
      <c r="X190" s="12" t="s">
        <v>1696</v>
      </c>
      <c r="Y190" s="12" t="s">
        <v>1696</v>
      </c>
      <c r="Z190" s="12" t="s">
        <v>1696</v>
      </c>
      <c r="AA190" s="12" t="s">
        <v>1696</v>
      </c>
      <c r="AB190" s="12" t="s">
        <v>1696</v>
      </c>
      <c r="AE190" s="29">
        <v>0.39583333333575865</v>
      </c>
      <c r="AF190" s="30" t="s">
        <v>518</v>
      </c>
      <c r="AG190" s="33" t="s">
        <v>519</v>
      </c>
      <c r="AH190" s="33" t="str">
        <f>HYPERLINK("https://docs.google.com/document/d/1Gx8Cm5JStNGnczb9BENMG9AfAMxlxOh8pLjeAEIKSJ8/edit?usp=drivesdk","Pamela Marcum - 11/2/2018 9:30 AM")</f>
        <v>Pamela Marcum - 11/2/2018 9:30 AM</v>
      </c>
      <c r="AI190" s="30" t="s">
        <v>520</v>
      </c>
    </row>
    <row r="191">
      <c r="A191" s="26">
        <v>43409.30797252315</v>
      </c>
      <c r="B191" s="12" t="s">
        <v>1717</v>
      </c>
      <c r="C191" s="12" t="s">
        <v>1718</v>
      </c>
      <c r="D191" s="12" t="s">
        <v>1916</v>
      </c>
      <c r="E191" s="12" t="s">
        <v>1924</v>
      </c>
      <c r="F191" s="27">
        <v>43410.0</v>
      </c>
      <c r="G191" s="12" t="s">
        <v>1792</v>
      </c>
      <c r="H191" s="29">
        <v>0.5416666666642413</v>
      </c>
      <c r="I191" s="26">
        <v>43410.5625</v>
      </c>
      <c r="J191" s="12" t="s">
        <v>1693</v>
      </c>
      <c r="L191" s="12" t="s">
        <v>1720</v>
      </c>
      <c r="M191" s="12" t="s">
        <v>1793</v>
      </c>
      <c r="N191" s="12" t="s">
        <v>2119</v>
      </c>
      <c r="O191" s="12" t="s">
        <v>1733</v>
      </c>
      <c r="P191" s="12" t="s">
        <v>1696</v>
      </c>
      <c r="Q191" s="12" t="s">
        <v>1696</v>
      </c>
      <c r="R191" s="12" t="s">
        <v>1696</v>
      </c>
      <c r="S191" s="12" t="s">
        <v>1696</v>
      </c>
      <c r="T191" s="12" t="s">
        <v>1696</v>
      </c>
      <c r="U191" s="12" t="s">
        <v>1696</v>
      </c>
      <c r="V191" s="12" t="s">
        <v>1696</v>
      </c>
      <c r="W191" s="12" t="s">
        <v>1696</v>
      </c>
      <c r="X191" s="12" t="s">
        <v>1696</v>
      </c>
      <c r="Y191" s="12" t="s">
        <v>1696</v>
      </c>
      <c r="Z191" s="12" t="s">
        <v>1696</v>
      </c>
      <c r="AA191" s="12" t="s">
        <v>1696</v>
      </c>
      <c r="AB191" s="12" t="s">
        <v>1696</v>
      </c>
      <c r="AE191" s="29">
        <v>0.34375</v>
      </c>
      <c r="AF191" s="30" t="s">
        <v>521</v>
      </c>
      <c r="AG191" s="33" t="s">
        <v>522</v>
      </c>
      <c r="AH191" s="33" t="str">
        <f>HYPERLINK("https://docs.google.com/document/d/17M5r-E0k9v_FKlTFq_QQgPbH7eVdZ0U53IGJR24U6D0/edit?usp=drivesdk","Silas Tanner - 11/6/2018 8:15 AM")</f>
        <v>Silas Tanner - 11/6/2018 8:15 AM</v>
      </c>
      <c r="AI191" s="30" t="s">
        <v>523</v>
      </c>
    </row>
    <row r="192">
      <c r="A192" s="26">
        <v>43409.51500508102</v>
      </c>
      <c r="B192" s="12" t="s">
        <v>1670</v>
      </c>
      <c r="C192" s="12" t="s">
        <v>2120</v>
      </c>
      <c r="D192" s="12" t="s">
        <v>1622</v>
      </c>
      <c r="E192" s="12" t="s">
        <v>1623</v>
      </c>
      <c r="F192" s="27">
        <v>43409.0</v>
      </c>
      <c r="G192" s="12" t="s">
        <v>2121</v>
      </c>
      <c r="H192" s="29">
        <v>0.6458333333357587</v>
      </c>
      <c r="I192" s="26">
        <v>43409.64583333333</v>
      </c>
      <c r="J192" s="12" t="s">
        <v>1658</v>
      </c>
      <c r="L192" s="12" t="s">
        <v>1788</v>
      </c>
      <c r="M192" s="12" t="s">
        <v>1824</v>
      </c>
      <c r="N192" s="12" t="s">
        <v>1670</v>
      </c>
      <c r="O192" s="12" t="s">
        <v>1713</v>
      </c>
      <c r="P192" s="12" t="s">
        <v>1696</v>
      </c>
      <c r="Q192" s="12" t="s">
        <v>1696</v>
      </c>
      <c r="R192" s="12" t="s">
        <v>1696</v>
      </c>
      <c r="S192" s="12" t="s">
        <v>1696</v>
      </c>
      <c r="T192" s="12" t="s">
        <v>1696</v>
      </c>
      <c r="U192" s="12" t="s">
        <v>1696</v>
      </c>
      <c r="V192" s="12" t="s">
        <v>1696</v>
      </c>
      <c r="W192" s="12" t="s">
        <v>1696</v>
      </c>
      <c r="X192" s="12" t="s">
        <v>1696</v>
      </c>
      <c r="Y192" s="12" t="s">
        <v>1696</v>
      </c>
      <c r="Z192" s="12" t="s">
        <v>1696</v>
      </c>
      <c r="AA192" s="12" t="s">
        <v>1696</v>
      </c>
      <c r="AB192" s="12" t="s">
        <v>1696</v>
      </c>
      <c r="AE192" s="29">
        <v>0.5208333333357587</v>
      </c>
      <c r="AF192" s="30" t="s">
        <v>524</v>
      </c>
      <c r="AG192" s="33" t="s">
        <v>525</v>
      </c>
      <c r="AH192" s="33" t="str">
        <f>HYPERLINK("https://docs.google.com/document/d/1Hfjuh-87HyMgDwCqQ1yxd7fH8nLij__YzoKp6Zt-A88/edit?usp=drivesdk","Emma Hanson - 11/5/2018 12:30 PM")</f>
        <v>Emma Hanson - 11/5/2018 12:30 PM</v>
      </c>
      <c r="AI192" s="30" t="s">
        <v>526</v>
      </c>
    </row>
    <row r="193">
      <c r="A193" s="26">
        <v>43410.51771856481</v>
      </c>
      <c r="B193" s="12" t="s">
        <v>1744</v>
      </c>
      <c r="C193" s="12" t="s">
        <v>1710</v>
      </c>
      <c r="D193" s="12" t="s">
        <v>1916</v>
      </c>
      <c r="E193" s="12" t="s">
        <v>1623</v>
      </c>
      <c r="F193" s="27">
        <v>43410.0</v>
      </c>
      <c r="G193" s="12" t="s">
        <v>2122</v>
      </c>
      <c r="H193" s="29">
        <v>0.7083333333357587</v>
      </c>
      <c r="I193" s="26">
        <v>43410.72916666667</v>
      </c>
      <c r="J193" s="12" t="s">
        <v>1658</v>
      </c>
      <c r="L193" s="12" t="s">
        <v>1788</v>
      </c>
      <c r="M193" s="12" t="s">
        <v>2123</v>
      </c>
      <c r="N193" s="12" t="s">
        <v>2124</v>
      </c>
      <c r="O193" s="12" t="s">
        <v>1708</v>
      </c>
      <c r="P193" s="12" t="s">
        <v>1696</v>
      </c>
      <c r="Q193" s="12" t="s">
        <v>1696</v>
      </c>
      <c r="R193" s="12" t="s">
        <v>1696</v>
      </c>
      <c r="S193" s="12" t="s">
        <v>1696</v>
      </c>
      <c r="T193" s="12" t="s">
        <v>1696</v>
      </c>
      <c r="U193" s="12" t="s">
        <v>1696</v>
      </c>
      <c r="V193" s="12" t="s">
        <v>1696</v>
      </c>
      <c r="W193" s="12" t="s">
        <v>1696</v>
      </c>
      <c r="X193" s="12" t="s">
        <v>1696</v>
      </c>
      <c r="Y193" s="12" t="s">
        <v>1696</v>
      </c>
      <c r="Z193" s="12" t="s">
        <v>1696</v>
      </c>
      <c r="AA193" s="12" t="s">
        <v>1696</v>
      </c>
      <c r="AB193" s="12" t="s">
        <v>1696</v>
      </c>
      <c r="AE193" s="29">
        <v>0.5416666666642413</v>
      </c>
      <c r="AF193" s="30" t="s">
        <v>527</v>
      </c>
      <c r="AG193" s="33" t="s">
        <v>528</v>
      </c>
      <c r="AH193" s="33" t="str">
        <f>HYPERLINK("https://docs.google.com/document/d/1OdROVKVnWNppbGnZBe8XQx4EcpL1Z_wheLxqjEAAvaY/edit?usp=drivesdk","Pam Marcum - 11/6/2018 1:00 PM")</f>
        <v>Pam Marcum - 11/6/2018 1:00 PM</v>
      </c>
      <c r="AI193" s="30" t="s">
        <v>529</v>
      </c>
    </row>
    <row r="194">
      <c r="A194" s="26">
        <v>43411.32920648148</v>
      </c>
      <c r="B194" s="12" t="s">
        <v>1726</v>
      </c>
      <c r="C194" s="12" t="s">
        <v>1727</v>
      </c>
      <c r="D194" s="12" t="s">
        <v>1728</v>
      </c>
      <c r="E194" s="12" t="s">
        <v>1683</v>
      </c>
      <c r="F194" s="27">
        <v>43411.0</v>
      </c>
      <c r="G194" s="12" t="s">
        <v>1984</v>
      </c>
      <c r="H194" s="29">
        <v>0.42708333333575865</v>
      </c>
      <c r="J194" s="12" t="s">
        <v>1730</v>
      </c>
      <c r="L194" s="12" t="s">
        <v>1626</v>
      </c>
      <c r="M194" s="12" t="s">
        <v>1785</v>
      </c>
      <c r="N194" s="12" t="s">
        <v>1781</v>
      </c>
      <c r="O194" s="12" t="s">
        <v>1735</v>
      </c>
      <c r="P194" s="12" t="s">
        <v>1696</v>
      </c>
      <c r="Q194" s="12" t="s">
        <v>1696</v>
      </c>
      <c r="R194" s="12" t="s">
        <v>1696</v>
      </c>
      <c r="S194" s="12" t="s">
        <v>1696</v>
      </c>
      <c r="T194" s="12" t="s">
        <v>1696</v>
      </c>
      <c r="U194" s="12" t="s">
        <v>1696</v>
      </c>
      <c r="V194" s="12" t="s">
        <v>1696</v>
      </c>
      <c r="W194" s="12" t="s">
        <v>1696</v>
      </c>
      <c r="X194" s="12" t="s">
        <v>1696</v>
      </c>
      <c r="Y194" s="12" t="s">
        <v>1696</v>
      </c>
      <c r="Z194" s="12" t="s">
        <v>1696</v>
      </c>
      <c r="AA194" s="12" t="s">
        <v>1696</v>
      </c>
      <c r="AB194" s="12" t="s">
        <v>1696</v>
      </c>
      <c r="AE194" s="29">
        <v>0.35416666666424135</v>
      </c>
      <c r="AF194" s="30" t="s">
        <v>530</v>
      </c>
      <c r="AG194" s="33" t="s">
        <v>531</v>
      </c>
      <c r="AH194" s="33" t="str">
        <f>HYPERLINK("https://docs.google.com/document/d/19Pl4hL-nT5KCVnZ4JEMGc1icTwYZpi4m7pzITqh2Uto/edit?usp=drivesdk","James Tomazinis - 11/7/2018 8:30 AM")</f>
        <v>James Tomazinis - 11/7/2018 8:30 AM</v>
      </c>
      <c r="AI194" s="30" t="s">
        <v>532</v>
      </c>
    </row>
    <row r="195">
      <c r="A195" s="26">
        <v>43412.719656030094</v>
      </c>
      <c r="B195" s="12" t="s">
        <v>1699</v>
      </c>
      <c r="C195" s="12" t="s">
        <v>1710</v>
      </c>
      <c r="D195" s="12" t="s">
        <v>1916</v>
      </c>
      <c r="E195" s="12" t="s">
        <v>2125</v>
      </c>
      <c r="F195" s="27">
        <v>43413.0</v>
      </c>
      <c r="G195" s="12" t="s">
        <v>2126</v>
      </c>
      <c r="H195" s="29">
        <v>0.5833333333357587</v>
      </c>
      <c r="I195" s="26">
        <v>43412.625</v>
      </c>
      <c r="J195" s="12" t="s">
        <v>1658</v>
      </c>
      <c r="L195" s="12" t="s">
        <v>1788</v>
      </c>
      <c r="M195" s="12" t="s">
        <v>1706</v>
      </c>
      <c r="N195" s="12" t="s">
        <v>2127</v>
      </c>
      <c r="O195" s="12" t="s">
        <v>1708</v>
      </c>
      <c r="P195" s="12" t="s">
        <v>1696</v>
      </c>
      <c r="Q195" s="12" t="s">
        <v>1696</v>
      </c>
      <c r="R195" s="12" t="s">
        <v>1696</v>
      </c>
      <c r="S195" s="12" t="s">
        <v>1696</v>
      </c>
      <c r="T195" s="12" t="s">
        <v>1696</v>
      </c>
      <c r="U195" s="12" t="s">
        <v>1696</v>
      </c>
      <c r="V195" s="12" t="s">
        <v>1696</v>
      </c>
      <c r="W195" s="12" t="s">
        <v>1696</v>
      </c>
      <c r="X195" s="12" t="s">
        <v>1696</v>
      </c>
      <c r="Y195" s="12" t="s">
        <v>1696</v>
      </c>
      <c r="Z195" s="12" t="s">
        <v>1696</v>
      </c>
      <c r="AA195" s="12" t="s">
        <v>1696</v>
      </c>
      <c r="AB195" s="12" t="s">
        <v>1696</v>
      </c>
      <c r="AE195" s="29">
        <v>0.33333333333575865</v>
      </c>
      <c r="AF195" s="30" t="s">
        <v>533</v>
      </c>
      <c r="AG195" s="33" t="s">
        <v>534</v>
      </c>
      <c r="AH195" s="33" t="str">
        <f>HYPERLINK("https://docs.google.com/document/d/1i7gzGMRtKsIfqsAqJWP2driUwJ2sHFfr9kkmwR3CAzc/edit?usp=drivesdk","Pamela Marcum - 11/9/2018 8:00 AM")</f>
        <v>Pamela Marcum - 11/9/2018 8:00 AM</v>
      </c>
      <c r="AI195" s="30" t="s">
        <v>535</v>
      </c>
    </row>
    <row r="196">
      <c r="A196" s="26">
        <v>43414.341224641204</v>
      </c>
      <c r="B196" s="12" t="s">
        <v>1713</v>
      </c>
      <c r="C196" s="12" t="s">
        <v>1808</v>
      </c>
      <c r="D196" s="12" t="s">
        <v>1916</v>
      </c>
      <c r="E196" s="12" t="s">
        <v>2038</v>
      </c>
      <c r="F196" s="27">
        <v>43414.0</v>
      </c>
      <c r="G196" s="12" t="s">
        <v>2128</v>
      </c>
      <c r="H196" s="29">
        <v>0.5</v>
      </c>
      <c r="I196" s="26">
        <v>43414.75</v>
      </c>
      <c r="J196" s="12" t="s">
        <v>1658</v>
      </c>
      <c r="L196" s="12" t="s">
        <v>1788</v>
      </c>
      <c r="M196" s="12" t="s">
        <v>1816</v>
      </c>
      <c r="O196" s="12" t="s">
        <v>1708</v>
      </c>
      <c r="P196" s="12" t="s">
        <v>1696</v>
      </c>
      <c r="Q196" s="12" t="s">
        <v>1696</v>
      </c>
      <c r="R196" s="12" t="s">
        <v>1696</v>
      </c>
      <c r="S196" s="12" t="s">
        <v>1696</v>
      </c>
      <c r="T196" s="12" t="s">
        <v>1696</v>
      </c>
      <c r="U196" s="12" t="s">
        <v>1696</v>
      </c>
      <c r="V196" s="12" t="s">
        <v>1696</v>
      </c>
      <c r="W196" s="12" t="s">
        <v>1696</v>
      </c>
      <c r="X196" s="12" t="s">
        <v>1696</v>
      </c>
      <c r="Y196" s="12" t="s">
        <v>1696</v>
      </c>
      <c r="Z196" s="12" t="s">
        <v>1696</v>
      </c>
      <c r="AA196" s="12" t="s">
        <v>1696</v>
      </c>
      <c r="AB196" s="12" t="s">
        <v>1696</v>
      </c>
      <c r="AE196" s="29">
        <v>0.41666666666424135</v>
      </c>
      <c r="AF196" s="30" t="s">
        <v>536</v>
      </c>
      <c r="AG196" s="33" t="s">
        <v>537</v>
      </c>
      <c r="AH196" s="33" t="str">
        <f>HYPERLINK("https://docs.google.com/document/d/1633f9rTaCMPyS4IZy7tFzPfoCMpeoOCM4AqFBr6ZdaU/edit?usp=drivesdk","Ben Mowbray - 11/10/2018 10:00 AM")</f>
        <v>Ben Mowbray - 11/10/2018 10:00 AM</v>
      </c>
      <c r="AI196" s="30" t="s">
        <v>538</v>
      </c>
    </row>
    <row r="197">
      <c r="A197" s="26">
        <v>43417.557462129625</v>
      </c>
      <c r="B197" s="12" t="s">
        <v>1699</v>
      </c>
      <c r="C197" s="12" t="s">
        <v>1710</v>
      </c>
      <c r="D197" s="12" t="s">
        <v>1916</v>
      </c>
      <c r="E197" s="12" t="s">
        <v>1623</v>
      </c>
      <c r="F197" s="27">
        <v>43417.0</v>
      </c>
      <c r="G197" s="12" t="s">
        <v>2129</v>
      </c>
      <c r="H197" s="29">
        <v>0.6458333333357587</v>
      </c>
      <c r="I197" s="26">
        <v>43417.66666666667</v>
      </c>
      <c r="J197" s="12" t="s">
        <v>1658</v>
      </c>
      <c r="L197" s="12" t="s">
        <v>1720</v>
      </c>
      <c r="M197" s="12" t="s">
        <v>1706</v>
      </c>
      <c r="N197" s="12" t="s">
        <v>2130</v>
      </c>
      <c r="O197" s="12" t="s">
        <v>1708</v>
      </c>
      <c r="P197" s="12" t="s">
        <v>1696</v>
      </c>
      <c r="Q197" s="12" t="s">
        <v>1696</v>
      </c>
      <c r="R197" s="12" t="s">
        <v>1696</v>
      </c>
      <c r="S197" s="12" t="s">
        <v>1696</v>
      </c>
      <c r="T197" s="12" t="s">
        <v>1696</v>
      </c>
      <c r="U197" s="12" t="s">
        <v>1696</v>
      </c>
      <c r="V197" s="12" t="s">
        <v>1696</v>
      </c>
      <c r="W197" s="12" t="s">
        <v>1696</v>
      </c>
      <c r="X197" s="12" t="s">
        <v>1696</v>
      </c>
      <c r="Y197" s="12" t="s">
        <v>1696</v>
      </c>
      <c r="Z197" s="12" t="s">
        <v>1696</v>
      </c>
      <c r="AA197" s="12" t="s">
        <v>1696</v>
      </c>
      <c r="AB197" s="12" t="s">
        <v>1696</v>
      </c>
      <c r="AE197" s="29">
        <v>0.5833333333357587</v>
      </c>
      <c r="AF197" s="30" t="s">
        <v>539</v>
      </c>
      <c r="AG197" s="33" t="s">
        <v>540</v>
      </c>
      <c r="AH197" s="33" t="str">
        <f>HYPERLINK("https://docs.google.com/document/d/1PL271tW_lqAUNom36USh5xQ5-3Fx9KBM5GmY4JnYfd4/edit?usp=drivesdk","Pamela Marcum - 11/13/2018 2:00 PM")</f>
        <v>Pamela Marcum - 11/13/2018 2:00 PM</v>
      </c>
      <c r="AI197" s="30" t="s">
        <v>541</v>
      </c>
    </row>
    <row r="198">
      <c r="A198" s="26">
        <v>43417.63059305555</v>
      </c>
      <c r="B198" s="12" t="s">
        <v>1717</v>
      </c>
      <c r="C198" s="12" t="s">
        <v>1718</v>
      </c>
      <c r="D198" s="12" t="s">
        <v>1916</v>
      </c>
      <c r="E198" s="12" t="s">
        <v>1924</v>
      </c>
      <c r="F198" s="27">
        <v>43418.0</v>
      </c>
      <c r="G198" s="12" t="s">
        <v>1792</v>
      </c>
      <c r="H198" s="29">
        <v>0.5833333333357587</v>
      </c>
      <c r="I198" s="26">
        <v>43418.59375</v>
      </c>
      <c r="J198" s="12" t="s">
        <v>1658</v>
      </c>
      <c r="L198" s="12" t="s">
        <v>1720</v>
      </c>
      <c r="M198" s="12" t="s">
        <v>1918</v>
      </c>
      <c r="N198" s="12" t="s">
        <v>2131</v>
      </c>
      <c r="O198" s="12" t="s">
        <v>2132</v>
      </c>
      <c r="P198" s="12" t="s">
        <v>1696</v>
      </c>
      <c r="Q198" s="12" t="s">
        <v>1696</v>
      </c>
      <c r="R198" s="12" t="s">
        <v>1696</v>
      </c>
      <c r="S198" s="12" t="s">
        <v>1696</v>
      </c>
      <c r="T198" s="12" t="s">
        <v>1696</v>
      </c>
      <c r="U198" s="12" t="s">
        <v>1696</v>
      </c>
      <c r="V198" s="12" t="s">
        <v>1696</v>
      </c>
      <c r="W198" s="12" t="s">
        <v>1696</v>
      </c>
      <c r="X198" s="12" t="s">
        <v>1696</v>
      </c>
      <c r="Y198" s="12" t="s">
        <v>1696</v>
      </c>
      <c r="Z198" s="12" t="s">
        <v>1696</v>
      </c>
      <c r="AA198" s="12" t="s">
        <v>1696</v>
      </c>
      <c r="AB198" s="12" t="s">
        <v>1696</v>
      </c>
      <c r="AE198" s="29">
        <v>0.4375</v>
      </c>
      <c r="AF198" s="30" t="s">
        <v>542</v>
      </c>
      <c r="AG198" s="33" t="s">
        <v>543</v>
      </c>
      <c r="AH198" s="33" t="str">
        <f>HYPERLINK("https://docs.google.com/document/d/1kbvT1CsqWVSgIaGJKDYhYIm_4ojgiC2OS4qGLdNc4tI/edit?usp=drivesdk","Silas Tanner - 11/14/2018 10:30 AM")</f>
        <v>Silas Tanner - 11/14/2018 10:30 AM</v>
      </c>
      <c r="AI198" s="30" t="s">
        <v>544</v>
      </c>
    </row>
    <row r="199">
      <c r="A199" s="26">
        <v>43419.43572765046</v>
      </c>
      <c r="B199" s="12" t="s">
        <v>1717</v>
      </c>
      <c r="C199" s="12" t="s">
        <v>1718</v>
      </c>
      <c r="D199" s="12" t="s">
        <v>1916</v>
      </c>
      <c r="E199" s="12" t="s">
        <v>1924</v>
      </c>
      <c r="F199" s="27">
        <v>43419.0</v>
      </c>
      <c r="G199" s="12" t="s">
        <v>1856</v>
      </c>
      <c r="H199" s="29">
        <v>0.625</v>
      </c>
      <c r="I199" s="26">
        <v>43419.63541666667</v>
      </c>
      <c r="J199" s="12" t="s">
        <v>1658</v>
      </c>
      <c r="L199" s="12" t="s">
        <v>1720</v>
      </c>
      <c r="M199" s="12" t="s">
        <v>1781</v>
      </c>
      <c r="N199" s="12" t="s">
        <v>2133</v>
      </c>
      <c r="O199" s="12" t="s">
        <v>2095</v>
      </c>
      <c r="P199" s="12" t="s">
        <v>1696</v>
      </c>
      <c r="Q199" s="12" t="s">
        <v>1696</v>
      </c>
      <c r="R199" s="12" t="s">
        <v>1696</v>
      </c>
      <c r="S199" s="12" t="s">
        <v>1696</v>
      </c>
      <c r="T199" s="12" t="s">
        <v>1696</v>
      </c>
      <c r="U199" s="12" t="s">
        <v>1696</v>
      </c>
      <c r="V199" s="12" t="s">
        <v>1696</v>
      </c>
      <c r="W199" s="12" t="s">
        <v>1696</v>
      </c>
      <c r="X199" s="12" t="s">
        <v>1696</v>
      </c>
      <c r="Y199" s="12" t="s">
        <v>1696</v>
      </c>
      <c r="Z199" s="12" t="s">
        <v>1696</v>
      </c>
      <c r="AA199" s="12" t="s">
        <v>1696</v>
      </c>
      <c r="AB199" s="12" t="s">
        <v>1696</v>
      </c>
      <c r="AE199" s="29">
        <v>0.45833333333575865</v>
      </c>
      <c r="AF199" s="30" t="s">
        <v>545</v>
      </c>
      <c r="AG199" s="33" t="s">
        <v>546</v>
      </c>
      <c r="AH199" s="33" t="str">
        <f>HYPERLINK("https://docs.google.com/document/d/1Ro8NJhnFBHEkHT8r9UkoHcGushyxmf7T7UxF2d3EPTo/edit?usp=drivesdk","Silas Tanner - 11/15/2018 11:00 AM")</f>
        <v>Silas Tanner - 11/15/2018 11:00 AM</v>
      </c>
      <c r="AI199" s="30" t="s">
        <v>547</v>
      </c>
    </row>
    <row r="200">
      <c r="A200" s="26">
        <v>43430.614870833335</v>
      </c>
      <c r="B200" s="12" t="s">
        <v>1713</v>
      </c>
      <c r="C200" s="12" t="s">
        <v>1808</v>
      </c>
      <c r="D200" s="12" t="s">
        <v>1622</v>
      </c>
      <c r="E200" s="12" t="s">
        <v>2081</v>
      </c>
      <c r="F200" s="27">
        <v>43431.0</v>
      </c>
      <c r="G200" s="12" t="s">
        <v>2134</v>
      </c>
      <c r="H200" s="29">
        <v>0.6805555555547471</v>
      </c>
      <c r="I200" s="26">
        <v>43431.70833333333</v>
      </c>
      <c r="J200" s="12" t="s">
        <v>1658</v>
      </c>
      <c r="L200" s="12" t="s">
        <v>1720</v>
      </c>
      <c r="M200" s="12" t="s">
        <v>1824</v>
      </c>
      <c r="N200" s="12" t="s">
        <v>2135</v>
      </c>
      <c r="O200" s="12" t="s">
        <v>1826</v>
      </c>
      <c r="P200" s="12" t="s">
        <v>1696</v>
      </c>
      <c r="Q200" s="12" t="s">
        <v>1696</v>
      </c>
      <c r="R200" s="12" t="s">
        <v>1696</v>
      </c>
      <c r="S200" s="12" t="s">
        <v>1696</v>
      </c>
      <c r="T200" s="12" t="s">
        <v>1696</v>
      </c>
      <c r="U200" s="12" t="s">
        <v>1696</v>
      </c>
      <c r="V200" s="12" t="s">
        <v>1696</v>
      </c>
      <c r="W200" s="12" t="s">
        <v>1696</v>
      </c>
      <c r="X200" s="12" t="s">
        <v>1696</v>
      </c>
      <c r="Y200" s="12" t="s">
        <v>1696</v>
      </c>
      <c r="Z200" s="12" t="s">
        <v>1696</v>
      </c>
      <c r="AA200" s="12" t="s">
        <v>1696</v>
      </c>
      <c r="AB200" s="12" t="s">
        <v>1696</v>
      </c>
      <c r="AE200" s="29">
        <v>0.6111111111094942</v>
      </c>
      <c r="AF200" s="30" t="s">
        <v>548</v>
      </c>
      <c r="AG200" s="33" t="s">
        <v>549</v>
      </c>
      <c r="AH200" s="33" t="str">
        <f>HYPERLINK("https://docs.google.com/document/d/1oCIbNyJwXRwNMINWHnLOK0AHi7aUYV5hxePSeCyfP2Q/edit?usp=drivesdk","Ben Mowbray - 11/27/2018 2:40 PM")</f>
        <v>Ben Mowbray - 11/27/2018 2:40 PM</v>
      </c>
      <c r="AI200" s="30" t="s">
        <v>550</v>
      </c>
    </row>
    <row r="201">
      <c r="A201" s="26">
        <v>43431.75820157408</v>
      </c>
      <c r="B201" s="12" t="s">
        <v>1713</v>
      </c>
      <c r="C201" s="12" t="s">
        <v>1808</v>
      </c>
      <c r="D201" s="12" t="s">
        <v>1916</v>
      </c>
      <c r="E201" s="12" t="s">
        <v>2136</v>
      </c>
      <c r="F201" s="27">
        <v>43431.0</v>
      </c>
      <c r="G201" s="12" t="s">
        <v>2137</v>
      </c>
      <c r="H201" s="29">
        <v>0.6666666666642413</v>
      </c>
      <c r="I201" s="26">
        <v>43431.72222222222</v>
      </c>
      <c r="J201" s="12" t="s">
        <v>1658</v>
      </c>
      <c r="L201" s="12" t="s">
        <v>1720</v>
      </c>
      <c r="M201" s="12" t="s">
        <v>1824</v>
      </c>
      <c r="N201" s="12" t="s">
        <v>2138</v>
      </c>
      <c r="O201" s="12" t="s">
        <v>1826</v>
      </c>
      <c r="P201" s="12" t="s">
        <v>1696</v>
      </c>
      <c r="Q201" s="12" t="s">
        <v>1696</v>
      </c>
      <c r="R201" s="12" t="s">
        <v>1696</v>
      </c>
      <c r="S201" s="12" t="s">
        <v>1696</v>
      </c>
      <c r="T201" s="12" t="s">
        <v>1696</v>
      </c>
      <c r="U201" s="12" t="s">
        <v>1696</v>
      </c>
      <c r="V201" s="12" t="s">
        <v>1696</v>
      </c>
      <c r="W201" s="12" t="s">
        <v>1696</v>
      </c>
      <c r="X201" s="12" t="s">
        <v>1696</v>
      </c>
      <c r="Y201" s="12" t="s">
        <v>1696</v>
      </c>
      <c r="Z201" s="12" t="s">
        <v>1696</v>
      </c>
      <c r="AA201" s="12" t="s">
        <v>1696</v>
      </c>
      <c r="AB201" s="12" t="s">
        <v>1696</v>
      </c>
      <c r="AE201" s="29">
        <v>0.40972222221898846</v>
      </c>
      <c r="AF201" s="30" t="s">
        <v>551</v>
      </c>
      <c r="AG201" s="33" t="s">
        <v>552</v>
      </c>
      <c r="AH201" s="33" t="str">
        <f>HYPERLINK("https://docs.google.com/document/d/1UytU1qoyfwDOxvXCNFzuyxYJSlOMrr0F6BOQspPMTz0/edit?usp=drivesdk","Ben Mowbray - 11/27/2018 9:50 AM")</f>
        <v>Ben Mowbray - 11/27/2018 9:50 AM</v>
      </c>
      <c r="AI201" s="30" t="s">
        <v>553</v>
      </c>
    </row>
    <row r="202">
      <c r="A202" s="26">
        <v>43433.29053157408</v>
      </c>
      <c r="B202" s="12" t="s">
        <v>1713</v>
      </c>
      <c r="C202" s="12" t="s">
        <v>1808</v>
      </c>
      <c r="D202" s="12" t="s">
        <v>1622</v>
      </c>
      <c r="E202" s="12" t="s">
        <v>2064</v>
      </c>
      <c r="F202" s="27">
        <v>43433.0</v>
      </c>
      <c r="G202" s="12" t="s">
        <v>2139</v>
      </c>
      <c r="H202" s="29">
        <v>0.5833333333357587</v>
      </c>
      <c r="I202" s="26">
        <v>43433.63888888889</v>
      </c>
      <c r="J202" s="12" t="s">
        <v>1658</v>
      </c>
      <c r="L202" s="12" t="s">
        <v>1720</v>
      </c>
      <c r="M202" s="12" t="s">
        <v>1824</v>
      </c>
      <c r="N202" s="12" t="s">
        <v>2140</v>
      </c>
      <c r="O202" s="12" t="s">
        <v>1826</v>
      </c>
      <c r="P202" s="12" t="s">
        <v>1696</v>
      </c>
      <c r="Q202" s="12" t="s">
        <v>1696</v>
      </c>
      <c r="R202" s="12" t="s">
        <v>1696</v>
      </c>
      <c r="S202" s="12" t="s">
        <v>1696</v>
      </c>
      <c r="T202" s="12" t="s">
        <v>1696</v>
      </c>
      <c r="U202" s="12" t="s">
        <v>1696</v>
      </c>
      <c r="V202" s="12" t="s">
        <v>1696</v>
      </c>
      <c r="W202" s="12" t="s">
        <v>1696</v>
      </c>
      <c r="X202" s="12" t="s">
        <v>1696</v>
      </c>
      <c r="Y202" s="12" t="s">
        <v>1696</v>
      </c>
      <c r="Z202" s="12" t="s">
        <v>1696</v>
      </c>
      <c r="AA202" s="12" t="s">
        <v>1696</v>
      </c>
      <c r="AB202" s="12" t="s">
        <v>1696</v>
      </c>
      <c r="AE202" s="29">
        <v>0.34722222221898846</v>
      </c>
      <c r="AF202" s="30" t="s">
        <v>554</v>
      </c>
      <c r="AG202" s="33" t="s">
        <v>555</v>
      </c>
      <c r="AH202" s="33" t="str">
        <f>HYPERLINK("https://docs.google.com/document/d/1WPXaA7dO7Ju4PLovG3d8P_hfoKL3mzHt2dO7NERh5Nc/edit?usp=drivesdk","Ben Mowbray - 11/29/2018 8:20 AM")</f>
        <v>Ben Mowbray - 11/29/2018 8:20 AM</v>
      </c>
      <c r="AI202" s="30" t="s">
        <v>556</v>
      </c>
    </row>
    <row r="203">
      <c r="A203" s="26">
        <v>43434.28727134259</v>
      </c>
      <c r="B203" s="12" t="s">
        <v>1713</v>
      </c>
      <c r="C203" s="12" t="s">
        <v>1808</v>
      </c>
      <c r="D203" s="12" t="s">
        <v>1916</v>
      </c>
      <c r="E203" s="12" t="s">
        <v>1623</v>
      </c>
      <c r="F203" s="27">
        <v>43434.0</v>
      </c>
      <c r="G203" s="12" t="s">
        <v>2141</v>
      </c>
      <c r="H203" s="29">
        <v>0.5138888888905058</v>
      </c>
      <c r="I203" s="26">
        <v>43434.54166666667</v>
      </c>
      <c r="J203" s="12" t="s">
        <v>1658</v>
      </c>
      <c r="L203" s="12" t="s">
        <v>1720</v>
      </c>
      <c r="M203" s="12" t="s">
        <v>1824</v>
      </c>
      <c r="N203" s="12" t="s">
        <v>2142</v>
      </c>
      <c r="O203" s="12" t="s">
        <v>1826</v>
      </c>
      <c r="P203" s="12" t="s">
        <v>1696</v>
      </c>
      <c r="Q203" s="12" t="s">
        <v>1696</v>
      </c>
      <c r="R203" s="12" t="s">
        <v>1696</v>
      </c>
      <c r="S203" s="12" t="s">
        <v>1696</v>
      </c>
      <c r="T203" s="12" t="s">
        <v>1696</v>
      </c>
      <c r="U203" s="12" t="s">
        <v>1696</v>
      </c>
      <c r="V203" s="12" t="s">
        <v>1696</v>
      </c>
      <c r="W203" s="12" t="s">
        <v>1696</v>
      </c>
      <c r="X203" s="12" t="s">
        <v>1696</v>
      </c>
      <c r="Y203" s="12" t="s">
        <v>1696</v>
      </c>
      <c r="Z203" s="12" t="s">
        <v>1696</v>
      </c>
      <c r="AA203" s="12" t="s">
        <v>1696</v>
      </c>
      <c r="AB203" s="12" t="s">
        <v>1696</v>
      </c>
      <c r="AE203" s="29">
        <v>0.3055555555547471</v>
      </c>
      <c r="AF203" s="30" t="s">
        <v>557</v>
      </c>
      <c r="AG203" s="33" t="s">
        <v>558</v>
      </c>
      <c r="AH203" s="33" t="str">
        <f>HYPERLINK("https://docs.google.com/document/d/1-6d6hvJWvO6BYtbO2WWaqb1in49kdbEkIdMZcbPaJuo/edit?usp=drivesdk","Ben Mowbray - 11/30/2018 7:20 AM")</f>
        <v>Ben Mowbray - 11/30/2018 7:20 AM</v>
      </c>
      <c r="AI203" s="30" t="s">
        <v>559</v>
      </c>
    </row>
    <row r="204">
      <c r="A204" s="26">
        <v>43434.296460011574</v>
      </c>
      <c r="B204" s="12" t="s">
        <v>1699</v>
      </c>
      <c r="C204" s="12" t="s">
        <v>1700</v>
      </c>
      <c r="D204" s="12" t="s">
        <v>1916</v>
      </c>
      <c r="E204" s="12" t="s">
        <v>2143</v>
      </c>
      <c r="F204" s="27">
        <v>43434.0</v>
      </c>
      <c r="G204" s="12" t="s">
        <v>2144</v>
      </c>
      <c r="H204" s="29">
        <v>0.5416666666642413</v>
      </c>
      <c r="I204" s="26">
        <v>43434.5625</v>
      </c>
      <c r="J204" s="12" t="s">
        <v>1625</v>
      </c>
      <c r="L204" s="12" t="s">
        <v>2145</v>
      </c>
      <c r="M204" s="12" t="s">
        <v>1706</v>
      </c>
      <c r="N204" s="12" t="s">
        <v>2146</v>
      </c>
      <c r="O204" s="12" t="s">
        <v>1708</v>
      </c>
      <c r="P204" s="12" t="s">
        <v>1696</v>
      </c>
      <c r="Q204" s="12" t="s">
        <v>1696</v>
      </c>
      <c r="R204" s="12" t="s">
        <v>1696</v>
      </c>
      <c r="S204" s="12" t="s">
        <v>1696</v>
      </c>
      <c r="T204" s="12" t="s">
        <v>1696</v>
      </c>
      <c r="U204" s="12" t="s">
        <v>1696</v>
      </c>
      <c r="V204" s="12" t="s">
        <v>1696</v>
      </c>
      <c r="W204" s="12" t="s">
        <v>1696</v>
      </c>
      <c r="X204" s="12" t="s">
        <v>1696</v>
      </c>
      <c r="Y204" s="12" t="s">
        <v>1696</v>
      </c>
      <c r="Z204" s="12" t="s">
        <v>1696</v>
      </c>
      <c r="AA204" s="12" t="s">
        <v>1696</v>
      </c>
      <c r="AB204" s="12" t="s">
        <v>1696</v>
      </c>
      <c r="AE204" s="29">
        <v>0.33333333333575865</v>
      </c>
      <c r="AF204" s="30" t="s">
        <v>561</v>
      </c>
      <c r="AG204" s="33" t="s">
        <v>562</v>
      </c>
      <c r="AH204" s="33" t="str">
        <f>HYPERLINK("https://docs.google.com/document/d/1GVAYZH_XWuygN1DJkmLahy2vWDXRXeAZcQd7hsb812o/edit?usp=drivesdk","Pamela Marcum - 11/30/2018 8:00 AM")</f>
        <v>Pamela Marcum - 11/30/2018 8:00 AM</v>
      </c>
      <c r="AI204" s="30" t="s">
        <v>563</v>
      </c>
    </row>
    <row r="205">
      <c r="A205" s="26">
        <v>43437.60707626157</v>
      </c>
      <c r="B205" s="12" t="s">
        <v>1717</v>
      </c>
      <c r="C205" s="12" t="s">
        <v>1718</v>
      </c>
      <c r="D205" s="12" t="s">
        <v>1916</v>
      </c>
      <c r="E205" s="12" t="s">
        <v>2147</v>
      </c>
      <c r="F205" s="27">
        <v>43438.0</v>
      </c>
      <c r="G205" s="12" t="s">
        <v>1792</v>
      </c>
      <c r="H205" s="29">
        <v>0.5625</v>
      </c>
      <c r="I205" s="26">
        <v>43438.58333333333</v>
      </c>
      <c r="J205" s="12" t="s">
        <v>1693</v>
      </c>
      <c r="L205" s="12" t="s">
        <v>1720</v>
      </c>
      <c r="M205" s="12" t="s">
        <v>1793</v>
      </c>
      <c r="N205" s="12" t="s">
        <v>1779</v>
      </c>
      <c r="O205" s="12" t="s">
        <v>2095</v>
      </c>
      <c r="P205" s="12" t="s">
        <v>1696</v>
      </c>
      <c r="Q205" s="12" t="s">
        <v>1696</v>
      </c>
      <c r="R205" s="12" t="s">
        <v>1696</v>
      </c>
      <c r="S205" s="12" t="s">
        <v>1696</v>
      </c>
      <c r="T205" s="12" t="s">
        <v>1696</v>
      </c>
      <c r="U205" s="12" t="s">
        <v>1696</v>
      </c>
      <c r="V205" s="12" t="s">
        <v>1696</v>
      </c>
      <c r="W205" s="12" t="s">
        <v>1696</v>
      </c>
      <c r="X205" s="12" t="s">
        <v>1696</v>
      </c>
      <c r="Y205" s="12" t="s">
        <v>1696</v>
      </c>
      <c r="Z205" s="12" t="s">
        <v>1696</v>
      </c>
      <c r="AA205" s="12" t="s">
        <v>1696</v>
      </c>
      <c r="AB205" s="12" t="s">
        <v>1696</v>
      </c>
      <c r="AE205" s="29">
        <v>0.3125</v>
      </c>
      <c r="AF205" s="30"/>
      <c r="AG205" s="30"/>
      <c r="AH205" s="30"/>
      <c r="AI205" s="30" t="s">
        <v>2148</v>
      </c>
    </row>
    <row r="206">
      <c r="A206" s="26">
        <v>43438.36863532408</v>
      </c>
      <c r="B206" s="12" t="s">
        <v>1713</v>
      </c>
      <c r="C206" s="12" t="s">
        <v>1808</v>
      </c>
      <c r="D206" s="12" t="s">
        <v>1916</v>
      </c>
      <c r="E206" s="12" t="s">
        <v>1623</v>
      </c>
      <c r="F206" s="27">
        <v>43438.0</v>
      </c>
      <c r="G206" s="12" t="s">
        <v>2149</v>
      </c>
      <c r="H206" s="29">
        <v>0.625</v>
      </c>
      <c r="I206" s="26">
        <v>43438.65277777778</v>
      </c>
      <c r="J206" s="12" t="s">
        <v>1658</v>
      </c>
      <c r="L206" s="12" t="s">
        <v>2150</v>
      </c>
      <c r="M206" s="12" t="s">
        <v>1824</v>
      </c>
      <c r="N206" s="12" t="s">
        <v>2140</v>
      </c>
      <c r="O206" s="12" t="s">
        <v>1826</v>
      </c>
      <c r="P206" s="12" t="s">
        <v>1696</v>
      </c>
      <c r="Q206" s="12" t="s">
        <v>1696</v>
      </c>
      <c r="R206" s="12" t="s">
        <v>1696</v>
      </c>
      <c r="S206" s="12" t="s">
        <v>1696</v>
      </c>
      <c r="T206" s="12" t="s">
        <v>1696</v>
      </c>
      <c r="U206" s="12" t="s">
        <v>1696</v>
      </c>
      <c r="V206" s="12" t="s">
        <v>1696</v>
      </c>
      <c r="W206" s="12" t="s">
        <v>1696</v>
      </c>
      <c r="X206" s="12" t="s">
        <v>1696</v>
      </c>
      <c r="Y206" s="12" t="s">
        <v>1696</v>
      </c>
      <c r="Z206" s="12" t="s">
        <v>1696</v>
      </c>
      <c r="AA206" s="12" t="s">
        <v>1696</v>
      </c>
      <c r="AB206" s="12" t="s">
        <v>1696</v>
      </c>
      <c r="AE206" s="29">
        <v>0.4305555555547471</v>
      </c>
      <c r="AF206" s="30" t="s">
        <v>564</v>
      </c>
      <c r="AG206" s="33" t="s">
        <v>565</v>
      </c>
      <c r="AH206" s="33" t="str">
        <f>HYPERLINK("https://docs.google.com/document/d/1A8RL1csPx-oiXdee1EdEvumxx2HabklDEO-iwGQ4XE4/edit?usp=drivesdk","Ben Mowbray - 12/4/2018 10:20 AM")</f>
        <v>Ben Mowbray - 12/4/2018 10:20 AM</v>
      </c>
      <c r="AI206" s="30" t="s">
        <v>566</v>
      </c>
    </row>
    <row r="207">
      <c r="A207" s="26">
        <v>43438.42740885417</v>
      </c>
      <c r="B207" s="12" t="s">
        <v>1699</v>
      </c>
      <c r="C207" s="12" t="s">
        <v>1710</v>
      </c>
      <c r="D207" s="12" t="s">
        <v>1916</v>
      </c>
      <c r="E207" s="12" t="s">
        <v>1714</v>
      </c>
      <c r="F207" s="27">
        <v>43438.0</v>
      </c>
      <c r="G207" s="12" t="s">
        <v>2151</v>
      </c>
      <c r="H207" s="29">
        <v>0.5833333333357587</v>
      </c>
      <c r="I207" s="26">
        <v>43438.625</v>
      </c>
      <c r="J207" s="12" t="s">
        <v>1704</v>
      </c>
      <c r="L207" s="12" t="s">
        <v>1788</v>
      </c>
      <c r="M207" s="12" t="s">
        <v>1706</v>
      </c>
      <c r="N207" s="12" t="s">
        <v>2152</v>
      </c>
      <c r="O207" s="12" t="s">
        <v>1708</v>
      </c>
      <c r="P207" s="12" t="s">
        <v>1696</v>
      </c>
      <c r="Q207" s="12" t="s">
        <v>1696</v>
      </c>
      <c r="R207" s="12" t="s">
        <v>1696</v>
      </c>
      <c r="S207" s="12" t="s">
        <v>1696</v>
      </c>
      <c r="T207" s="12" t="s">
        <v>1696</v>
      </c>
      <c r="U207" s="12" t="s">
        <v>1696</v>
      </c>
      <c r="V207" s="12" t="s">
        <v>1696</v>
      </c>
      <c r="W207" s="12" t="s">
        <v>1696</v>
      </c>
      <c r="X207" s="12" t="s">
        <v>1696</v>
      </c>
      <c r="Y207" s="12" t="s">
        <v>1696</v>
      </c>
      <c r="Z207" s="12" t="s">
        <v>1696</v>
      </c>
      <c r="AA207" s="12" t="s">
        <v>1696</v>
      </c>
      <c r="AB207" s="12" t="s">
        <v>1696</v>
      </c>
      <c r="AE207" s="29">
        <v>0.45833333333575865</v>
      </c>
      <c r="AF207" s="30" t="s">
        <v>567</v>
      </c>
      <c r="AG207" s="33" t="s">
        <v>568</v>
      </c>
      <c r="AH207" s="33" t="str">
        <f>HYPERLINK("https://docs.google.com/document/d/1oTcfsWZOgZYgI5Fy-XeM-Rzu-vTXU288StIZED4uEX8/edit?usp=drivesdk","Pamela Marcum - 12/4/2018 11:00 AM")</f>
        <v>Pamela Marcum - 12/4/2018 11:00 AM</v>
      </c>
      <c r="AI207" s="30" t="s">
        <v>569</v>
      </c>
    </row>
    <row r="208">
      <c r="A208" s="26">
        <v>43438.61326200231</v>
      </c>
      <c r="B208" s="12" t="s">
        <v>1726</v>
      </c>
      <c r="C208" s="12" t="s">
        <v>1727</v>
      </c>
      <c r="D208" s="12" t="s">
        <v>1728</v>
      </c>
      <c r="E208" s="12" t="s">
        <v>1683</v>
      </c>
      <c r="F208" s="27">
        <v>43439.0</v>
      </c>
      <c r="G208" s="12" t="s">
        <v>1984</v>
      </c>
      <c r="H208" s="29">
        <v>0.38541666666424135</v>
      </c>
      <c r="J208" s="12" t="s">
        <v>1730</v>
      </c>
      <c r="L208" s="12" t="s">
        <v>1626</v>
      </c>
      <c r="M208" s="12" t="s">
        <v>1785</v>
      </c>
      <c r="N208" s="12" t="s">
        <v>2153</v>
      </c>
      <c r="O208" s="12" t="s">
        <v>1735</v>
      </c>
      <c r="P208" s="12" t="s">
        <v>1696</v>
      </c>
      <c r="Q208" s="12" t="s">
        <v>1696</v>
      </c>
      <c r="R208" s="12" t="s">
        <v>1696</v>
      </c>
      <c r="S208" s="12" t="s">
        <v>1696</v>
      </c>
      <c r="T208" s="12" t="s">
        <v>1696</v>
      </c>
      <c r="U208" s="12" t="s">
        <v>1696</v>
      </c>
      <c r="V208" s="12" t="s">
        <v>1696</v>
      </c>
      <c r="W208" s="12" t="s">
        <v>1696</v>
      </c>
      <c r="X208" s="12" t="s">
        <v>1696</v>
      </c>
      <c r="Y208" s="12" t="s">
        <v>1696</v>
      </c>
      <c r="Z208" s="12" t="s">
        <v>1696</v>
      </c>
      <c r="AA208" s="12" t="s">
        <v>1696</v>
      </c>
      <c r="AB208" s="12" t="s">
        <v>1696</v>
      </c>
      <c r="AE208" s="29">
        <v>0.33333333333575865</v>
      </c>
      <c r="AF208" s="30" t="s">
        <v>570</v>
      </c>
      <c r="AG208" s="33" t="s">
        <v>571</v>
      </c>
      <c r="AH208" s="33" t="str">
        <f>HYPERLINK("https://docs.google.com/document/d/1hauw2vE5xdSX1EdBY3STcNLUeeUqh_H2hN1zo1cocKU/edit?usp=drivesdk","James Tomazinis - 12/5/2018 8:00 AM")</f>
        <v>James Tomazinis - 12/5/2018 8:00 AM</v>
      </c>
      <c r="AI208" s="30" t="s">
        <v>572</v>
      </c>
    </row>
    <row r="209">
      <c r="A209" s="26">
        <v>43439.37891410879</v>
      </c>
      <c r="B209" s="12" t="s">
        <v>1699</v>
      </c>
      <c r="C209" s="12" t="s">
        <v>1710</v>
      </c>
      <c r="D209" s="12" t="s">
        <v>1916</v>
      </c>
      <c r="E209" s="12" t="s">
        <v>1714</v>
      </c>
      <c r="F209" s="27">
        <v>43439.0</v>
      </c>
      <c r="G209" s="12" t="s">
        <v>1711</v>
      </c>
      <c r="H209" s="29">
        <v>0.5833333333357587</v>
      </c>
      <c r="I209" s="26">
        <v>43439.70833333333</v>
      </c>
      <c r="J209" s="12" t="s">
        <v>1704</v>
      </c>
      <c r="L209" s="12" t="s">
        <v>1788</v>
      </c>
      <c r="M209" s="12" t="s">
        <v>1706</v>
      </c>
      <c r="N209" s="12" t="s">
        <v>2154</v>
      </c>
      <c r="O209" s="12" t="s">
        <v>1708</v>
      </c>
      <c r="P209" s="12" t="s">
        <v>1696</v>
      </c>
      <c r="Q209" s="12" t="s">
        <v>1696</v>
      </c>
      <c r="R209" s="12" t="s">
        <v>1696</v>
      </c>
      <c r="S209" s="12" t="s">
        <v>1696</v>
      </c>
      <c r="T209" s="12" t="s">
        <v>1696</v>
      </c>
      <c r="U209" s="12" t="s">
        <v>1696</v>
      </c>
      <c r="V209" s="12" t="s">
        <v>1696</v>
      </c>
      <c r="W209" s="12" t="s">
        <v>1696</v>
      </c>
      <c r="X209" s="12" t="s">
        <v>1696</v>
      </c>
      <c r="Y209" s="12" t="s">
        <v>1696</v>
      </c>
      <c r="Z209" s="12" t="s">
        <v>1696</v>
      </c>
      <c r="AA209" s="12" t="s">
        <v>1696</v>
      </c>
      <c r="AB209" s="12" t="s">
        <v>1696</v>
      </c>
      <c r="AE209" s="29">
        <v>0.4375</v>
      </c>
      <c r="AF209" s="30" t="s">
        <v>573</v>
      </c>
      <c r="AG209" s="33" t="s">
        <v>574</v>
      </c>
      <c r="AH209" s="33" t="str">
        <f>HYPERLINK("https://docs.google.com/document/d/1uWbC2LTTPyzZ9D7G8dbN75G0kC0n3ExQXQUhFHsruTY/edit?usp=drivesdk","Pamela Marcum - 12/5/2018 10:30 AM")</f>
        <v>Pamela Marcum - 12/5/2018 10:30 AM</v>
      </c>
      <c r="AI209" s="30" t="s">
        <v>575</v>
      </c>
    </row>
    <row r="210">
      <c r="A210" s="26">
        <v>43444.34138909722</v>
      </c>
      <c r="B210" s="12" t="s">
        <v>1699</v>
      </c>
      <c r="C210" s="12" t="s">
        <v>1710</v>
      </c>
      <c r="D210" s="12" t="s">
        <v>1916</v>
      </c>
      <c r="E210" s="12" t="s">
        <v>1714</v>
      </c>
      <c r="F210" s="27">
        <v>43444.0</v>
      </c>
      <c r="G210" s="12" t="s">
        <v>1711</v>
      </c>
      <c r="H210" s="29">
        <v>0.625</v>
      </c>
      <c r="I210" s="26">
        <v>43444.66666666667</v>
      </c>
      <c r="J210" s="12" t="s">
        <v>1704</v>
      </c>
      <c r="L210" s="12" t="s">
        <v>1626</v>
      </c>
      <c r="M210" s="12" t="s">
        <v>1706</v>
      </c>
      <c r="N210" s="12" t="s">
        <v>2155</v>
      </c>
      <c r="O210" s="12" t="s">
        <v>1708</v>
      </c>
      <c r="P210" s="12" t="s">
        <v>1696</v>
      </c>
      <c r="Q210" s="12" t="s">
        <v>1696</v>
      </c>
      <c r="R210" s="12" t="s">
        <v>1696</v>
      </c>
      <c r="S210" s="12" t="s">
        <v>1696</v>
      </c>
      <c r="T210" s="12" t="s">
        <v>1696</v>
      </c>
      <c r="U210" s="12" t="s">
        <v>1696</v>
      </c>
      <c r="V210" s="12" t="s">
        <v>1696</v>
      </c>
      <c r="W210" s="12" t="s">
        <v>1696</v>
      </c>
      <c r="X210" s="12" t="s">
        <v>1696</v>
      </c>
      <c r="Y210" s="12" t="s">
        <v>1696</v>
      </c>
      <c r="Z210" s="12" t="s">
        <v>1696</v>
      </c>
      <c r="AA210" s="12" t="s">
        <v>1696</v>
      </c>
      <c r="AB210" s="12" t="s">
        <v>1696</v>
      </c>
      <c r="AE210" s="29">
        <v>0.4375</v>
      </c>
      <c r="AF210" s="30" t="s">
        <v>576</v>
      </c>
      <c r="AG210" s="33" t="s">
        <v>577</v>
      </c>
      <c r="AH210" s="33" t="str">
        <f>HYPERLINK("https://docs.google.com/document/d/1MdfvTIYnceoqzhRGfam7t0apLcYPKCV83LbdbuAQAkg/edit?usp=drivesdk","Pamela Marcum - 12/10/2018 10:30 AM")</f>
        <v>Pamela Marcum - 12/10/2018 10:30 AM</v>
      </c>
      <c r="AI210" s="30" t="s">
        <v>578</v>
      </c>
    </row>
    <row r="211">
      <c r="A211" s="26">
        <v>43445.34919153935</v>
      </c>
      <c r="B211" s="12" t="s">
        <v>1744</v>
      </c>
      <c r="C211" s="12" t="s">
        <v>1710</v>
      </c>
      <c r="D211" s="12" t="s">
        <v>1728</v>
      </c>
      <c r="E211" s="12" t="s">
        <v>1714</v>
      </c>
      <c r="F211" s="27">
        <v>43445.0</v>
      </c>
      <c r="G211" s="12" t="s">
        <v>2156</v>
      </c>
      <c r="H211" s="29">
        <v>0.625</v>
      </c>
      <c r="I211" s="26">
        <v>43446.375</v>
      </c>
      <c r="J211" s="12" t="s">
        <v>1704</v>
      </c>
      <c r="L211" s="12" t="s">
        <v>1626</v>
      </c>
      <c r="M211" s="12" t="s">
        <v>1706</v>
      </c>
      <c r="N211" s="12" t="s">
        <v>2157</v>
      </c>
      <c r="O211" s="12" t="s">
        <v>1708</v>
      </c>
      <c r="P211" s="12" t="s">
        <v>1696</v>
      </c>
      <c r="Q211" s="12" t="s">
        <v>1696</v>
      </c>
      <c r="R211" s="12" t="s">
        <v>1696</v>
      </c>
      <c r="S211" s="12" t="s">
        <v>1696</v>
      </c>
      <c r="T211" s="12" t="s">
        <v>1696</v>
      </c>
      <c r="U211" s="12" t="s">
        <v>1696</v>
      </c>
      <c r="V211" s="12" t="s">
        <v>1696</v>
      </c>
      <c r="W211" s="12" t="s">
        <v>1696</v>
      </c>
      <c r="X211" s="12" t="s">
        <v>1696</v>
      </c>
      <c r="Y211" s="12" t="s">
        <v>1696</v>
      </c>
      <c r="Z211" s="12" t="s">
        <v>1696</v>
      </c>
      <c r="AA211" s="12" t="s">
        <v>1696</v>
      </c>
      <c r="AB211" s="12" t="s">
        <v>1696</v>
      </c>
      <c r="AE211" s="29">
        <v>0.39583333333575865</v>
      </c>
      <c r="AF211" s="30" t="s">
        <v>579</v>
      </c>
      <c r="AG211" s="33" t="s">
        <v>580</v>
      </c>
      <c r="AH211" s="33" t="str">
        <f>HYPERLINK("https://docs.google.com/document/d/1h0R2PZU0rvgtqbs53JDBEKKuDogTM-nMHYHY7C7YB0Q/edit?usp=drivesdk","Pam Marcum - 12/11/2018 9:30 AM")</f>
        <v>Pam Marcum - 12/11/2018 9:30 AM</v>
      </c>
      <c r="AI211" s="30" t="s">
        <v>581</v>
      </c>
    </row>
    <row r="212">
      <c r="A212" s="26">
        <v>43447.3659006713</v>
      </c>
      <c r="B212" s="12" t="s">
        <v>1699</v>
      </c>
      <c r="C212" s="12" t="s">
        <v>1710</v>
      </c>
      <c r="D212" s="12" t="s">
        <v>1728</v>
      </c>
      <c r="E212" s="12" t="s">
        <v>1714</v>
      </c>
      <c r="F212" s="27">
        <v>43447.0</v>
      </c>
      <c r="G212" s="12" t="s">
        <v>1711</v>
      </c>
      <c r="H212" s="29">
        <v>0.625</v>
      </c>
      <c r="I212" s="26">
        <v>43447.6875</v>
      </c>
      <c r="J212" s="12" t="s">
        <v>1704</v>
      </c>
      <c r="L212" s="12" t="s">
        <v>1626</v>
      </c>
      <c r="M212" s="12" t="s">
        <v>1706</v>
      </c>
      <c r="N212" s="12" t="s">
        <v>2154</v>
      </c>
      <c r="O212" s="12" t="s">
        <v>1708</v>
      </c>
      <c r="P212" s="12" t="s">
        <v>1696</v>
      </c>
      <c r="Q212" s="12" t="s">
        <v>1696</v>
      </c>
      <c r="R212" s="12" t="s">
        <v>1696</v>
      </c>
      <c r="S212" s="12" t="s">
        <v>1696</v>
      </c>
      <c r="T212" s="12" t="s">
        <v>1696</v>
      </c>
      <c r="U212" s="12" t="s">
        <v>1696</v>
      </c>
      <c r="V212" s="12" t="s">
        <v>1696</v>
      </c>
      <c r="W212" s="12" t="s">
        <v>1696</v>
      </c>
      <c r="X212" s="12" t="s">
        <v>1696</v>
      </c>
      <c r="Y212" s="12" t="s">
        <v>1696</v>
      </c>
      <c r="Z212" s="12" t="s">
        <v>1696</v>
      </c>
      <c r="AA212" s="12" t="s">
        <v>1696</v>
      </c>
      <c r="AB212" s="12" t="s">
        <v>1696</v>
      </c>
      <c r="AE212" s="29">
        <v>0.4375</v>
      </c>
      <c r="AF212" s="30" t="s">
        <v>582</v>
      </c>
      <c r="AG212" s="33" t="s">
        <v>583</v>
      </c>
      <c r="AH212" s="33" t="str">
        <f>HYPERLINK("https://docs.google.com/document/d/1zstXvM6CwDhboX8ljkxSJeWbw2aJlIOMC9rK3xtsd2U/edit?usp=drivesdk","Pamela Marcum - 12/13/2018 10:30 AM")</f>
        <v>Pamela Marcum - 12/13/2018 10:30 AM</v>
      </c>
      <c r="AI212" s="30" t="s">
        <v>584</v>
      </c>
    </row>
    <row r="213">
      <c r="A213" s="26">
        <v>43451.33877928241</v>
      </c>
      <c r="B213" s="12" t="s">
        <v>2158</v>
      </c>
      <c r="C213" s="12" t="s">
        <v>1727</v>
      </c>
      <c r="D213" s="12" t="s">
        <v>1728</v>
      </c>
      <c r="E213" s="12" t="s">
        <v>2159</v>
      </c>
      <c r="F213" s="27">
        <v>43451.0</v>
      </c>
      <c r="G213" s="12" t="s">
        <v>2160</v>
      </c>
      <c r="H213" s="29">
        <v>0.6666666666642413</v>
      </c>
      <c r="J213" s="12" t="s">
        <v>1693</v>
      </c>
      <c r="L213" s="12" t="s">
        <v>1626</v>
      </c>
      <c r="M213" s="12" t="s">
        <v>2161</v>
      </c>
      <c r="N213" s="12" t="s">
        <v>2007</v>
      </c>
      <c r="O213" s="12" t="s">
        <v>1735</v>
      </c>
      <c r="P213" s="12" t="s">
        <v>1696</v>
      </c>
      <c r="Q213" s="12" t="s">
        <v>1696</v>
      </c>
      <c r="R213" s="12" t="s">
        <v>1696</v>
      </c>
      <c r="S213" s="12" t="s">
        <v>1696</v>
      </c>
      <c r="T213" s="12" t="s">
        <v>1696</v>
      </c>
      <c r="U213" s="12" t="s">
        <v>1696</v>
      </c>
      <c r="V213" s="12" t="s">
        <v>1696</v>
      </c>
      <c r="W213" s="12" t="s">
        <v>1696</v>
      </c>
      <c r="X213" s="12" t="s">
        <v>1696</v>
      </c>
      <c r="Y213" s="12" t="s">
        <v>1696</v>
      </c>
      <c r="Z213" s="12" t="s">
        <v>1696</v>
      </c>
      <c r="AA213" s="12" t="s">
        <v>1696</v>
      </c>
      <c r="AB213" s="12" t="s">
        <v>1696</v>
      </c>
      <c r="AE213" s="29">
        <v>0.40625</v>
      </c>
      <c r="AF213" s="30" t="s">
        <v>585</v>
      </c>
      <c r="AG213" s="33" t="s">
        <v>586</v>
      </c>
      <c r="AH213" s="33" t="str">
        <f>HYPERLINK("https://docs.google.com/document/d/1YjoS9sKmNES22k8xi23oxX83WayzKLWesHbnmpWte98/edit?usp=drivesdk","james tomazinis - 12/17/2018 9:45 AM")</f>
        <v>james tomazinis - 12/17/2018 9:45 AM</v>
      </c>
      <c r="AI213" s="30" t="s">
        <v>587</v>
      </c>
    </row>
    <row r="214">
      <c r="A214" s="26">
        <v>43453.28199550926</v>
      </c>
      <c r="B214" s="12" t="s">
        <v>1717</v>
      </c>
      <c r="C214" s="12" t="s">
        <v>1718</v>
      </c>
      <c r="D214" s="12" t="s">
        <v>1916</v>
      </c>
      <c r="E214" s="12" t="s">
        <v>2162</v>
      </c>
      <c r="F214" s="27">
        <v>43453.0</v>
      </c>
      <c r="G214" s="12" t="s">
        <v>1792</v>
      </c>
      <c r="H214" s="29">
        <v>0.53125</v>
      </c>
      <c r="I214" s="26">
        <v>43453.55208333333</v>
      </c>
      <c r="J214" s="12" t="s">
        <v>1658</v>
      </c>
      <c r="L214" s="12" t="s">
        <v>1720</v>
      </c>
      <c r="M214" s="12" t="s">
        <v>1781</v>
      </c>
      <c r="N214" s="12" t="s">
        <v>2007</v>
      </c>
      <c r="O214" s="12" t="s">
        <v>1756</v>
      </c>
      <c r="P214" s="12" t="s">
        <v>1696</v>
      </c>
      <c r="Q214" s="12" t="s">
        <v>1696</v>
      </c>
      <c r="R214" s="12" t="s">
        <v>1696</v>
      </c>
      <c r="S214" s="12" t="s">
        <v>1696</v>
      </c>
      <c r="T214" s="12" t="s">
        <v>1696</v>
      </c>
      <c r="U214" s="12" t="s">
        <v>1696</v>
      </c>
      <c r="V214" s="12" t="s">
        <v>1696</v>
      </c>
      <c r="W214" s="12" t="s">
        <v>1696</v>
      </c>
      <c r="X214" s="12" t="s">
        <v>1696</v>
      </c>
      <c r="Y214" s="12" t="s">
        <v>1696</v>
      </c>
      <c r="Z214" s="12" t="s">
        <v>1696</v>
      </c>
      <c r="AA214" s="12" t="s">
        <v>1696</v>
      </c>
      <c r="AB214" s="12" t="s">
        <v>1696</v>
      </c>
      <c r="AE214" s="29">
        <v>0.29861111110949423</v>
      </c>
      <c r="AF214" s="30" t="s">
        <v>588</v>
      </c>
      <c r="AG214" s="33" t="s">
        <v>589</v>
      </c>
      <c r="AH214" s="33" t="str">
        <f>HYPERLINK("https://docs.google.com/document/d/1YiWcFq3l08V3qBUS4JCJ18wDAAtAadOsJGTbNWJ7y0o/edit?usp=drivesdk","Silas Tanner - 12/19/2018 7:10 AM")</f>
        <v>Silas Tanner - 12/19/2018 7:10 AM</v>
      </c>
      <c r="AI214" s="30" t="s">
        <v>590</v>
      </c>
    </row>
    <row r="215">
      <c r="A215" s="26">
        <v>43460.40788493055</v>
      </c>
      <c r="B215" s="12" t="s">
        <v>1713</v>
      </c>
      <c r="C215" s="12" t="s">
        <v>1808</v>
      </c>
      <c r="D215" s="12" t="s">
        <v>1622</v>
      </c>
      <c r="E215" s="12" t="s">
        <v>2081</v>
      </c>
      <c r="F215" s="27">
        <v>43460.0</v>
      </c>
      <c r="G215" s="12" t="s">
        <v>2163</v>
      </c>
      <c r="H215" s="29">
        <v>0.6666666666642413</v>
      </c>
      <c r="I215" s="26">
        <v>43460.694444444445</v>
      </c>
      <c r="J215" s="12" t="s">
        <v>1693</v>
      </c>
      <c r="L215" s="12" t="s">
        <v>1720</v>
      </c>
      <c r="M215" s="12" t="s">
        <v>1824</v>
      </c>
      <c r="N215" s="12" t="s">
        <v>1817</v>
      </c>
      <c r="O215" s="12" t="s">
        <v>1826</v>
      </c>
      <c r="P215" s="12" t="s">
        <v>1696</v>
      </c>
      <c r="Q215" s="12" t="s">
        <v>1696</v>
      </c>
      <c r="R215" s="12" t="s">
        <v>1696</v>
      </c>
      <c r="S215" s="12" t="s">
        <v>1696</v>
      </c>
      <c r="T215" s="12" t="s">
        <v>1696</v>
      </c>
      <c r="U215" s="12" t="s">
        <v>1696</v>
      </c>
      <c r="V215" s="12" t="s">
        <v>1696</v>
      </c>
      <c r="W215" s="12" t="s">
        <v>1696</v>
      </c>
      <c r="X215" s="12" t="s">
        <v>1696</v>
      </c>
      <c r="Y215" s="12" t="s">
        <v>1696</v>
      </c>
      <c r="Z215" s="12" t="s">
        <v>1696</v>
      </c>
      <c r="AA215" s="12" t="s">
        <v>1696</v>
      </c>
      <c r="AB215" s="12" t="s">
        <v>1696</v>
      </c>
      <c r="AE215" s="29">
        <v>0.45833333333575865</v>
      </c>
      <c r="AF215" s="30" t="s">
        <v>591</v>
      </c>
      <c r="AG215" s="33" t="s">
        <v>592</v>
      </c>
      <c r="AH215" s="33" t="str">
        <f>HYPERLINK("https://docs.google.com/document/d/1urGKS6Hhgz61wxKnJxIwXPH6FT9q0n0PP04qBW5_huw/edit?usp=drivesdk","Ben Mowbray - 12/26/2018 11:00 AM")</f>
        <v>Ben Mowbray - 12/26/2018 11:00 AM</v>
      </c>
      <c r="AI215" s="30" t="s">
        <v>593</v>
      </c>
    </row>
    <row r="216">
      <c r="A216" s="26">
        <v>43467.384645405094</v>
      </c>
      <c r="B216" s="12" t="s">
        <v>1713</v>
      </c>
      <c r="C216" s="12" t="s">
        <v>1808</v>
      </c>
      <c r="D216" s="12" t="s">
        <v>1916</v>
      </c>
      <c r="E216" s="12" t="s">
        <v>1623</v>
      </c>
      <c r="F216" s="27">
        <v>43467.0</v>
      </c>
      <c r="G216" s="12" t="s">
        <v>1823</v>
      </c>
      <c r="H216" s="29">
        <v>0.625</v>
      </c>
      <c r="I216" s="26">
        <v>43467.65277777778</v>
      </c>
      <c r="J216" s="12" t="s">
        <v>1704</v>
      </c>
      <c r="L216" s="12" t="s">
        <v>1626</v>
      </c>
      <c r="M216" s="12" t="s">
        <v>1824</v>
      </c>
      <c r="N216" s="12" t="s">
        <v>2142</v>
      </c>
      <c r="O216" s="12" t="s">
        <v>1826</v>
      </c>
      <c r="P216" s="12" t="s">
        <v>1696</v>
      </c>
      <c r="Q216" s="12" t="s">
        <v>1696</v>
      </c>
      <c r="R216" s="12" t="s">
        <v>1696</v>
      </c>
      <c r="S216" s="12" t="s">
        <v>1696</v>
      </c>
      <c r="T216" s="12" t="s">
        <v>1696</v>
      </c>
      <c r="U216" s="12" t="s">
        <v>1696</v>
      </c>
      <c r="V216" s="12" t="s">
        <v>1696</v>
      </c>
      <c r="W216" s="12" t="s">
        <v>1696</v>
      </c>
      <c r="X216" s="12" t="s">
        <v>1696</v>
      </c>
      <c r="Y216" s="12" t="s">
        <v>1696</v>
      </c>
      <c r="Z216" s="12" t="s">
        <v>1696</v>
      </c>
      <c r="AA216" s="12" t="s">
        <v>1696</v>
      </c>
      <c r="AB216" s="12" t="s">
        <v>1696</v>
      </c>
      <c r="AE216" s="29">
        <v>0.41666666666424135</v>
      </c>
      <c r="AF216" s="30" t="s">
        <v>594</v>
      </c>
      <c r="AG216" s="33" t="s">
        <v>595</v>
      </c>
      <c r="AH216" s="33" t="str">
        <f>HYPERLINK("https://docs.google.com/document/d/1Uul-M4yHrQoQPnrQFZYN9DfqLTVHhiUvwWZpw-wNmWI/edit?usp=drivesdk","Ben Mowbray - 1/2/2019 10:00 AM")</f>
        <v>Ben Mowbray - 1/2/2019 10:00 AM</v>
      </c>
      <c r="AI216" s="30" t="s">
        <v>596</v>
      </c>
    </row>
    <row r="217">
      <c r="A217" s="26">
        <v>43467.40095329861</v>
      </c>
      <c r="B217" s="12" t="s">
        <v>1699</v>
      </c>
      <c r="C217" s="12" t="s">
        <v>1710</v>
      </c>
      <c r="D217" s="12" t="s">
        <v>1916</v>
      </c>
      <c r="E217" s="12" t="s">
        <v>2164</v>
      </c>
      <c r="F217" s="27">
        <v>43467.0</v>
      </c>
      <c r="G217" s="12" t="s">
        <v>2165</v>
      </c>
      <c r="H217" s="29">
        <v>0.7083333333357587</v>
      </c>
      <c r="I217" s="26">
        <v>43467.77083333333</v>
      </c>
      <c r="J217" s="12" t="s">
        <v>1658</v>
      </c>
      <c r="L217" s="12" t="s">
        <v>1788</v>
      </c>
      <c r="M217" s="12" t="s">
        <v>1712</v>
      </c>
      <c r="O217" s="12" t="s">
        <v>1708</v>
      </c>
      <c r="P217" s="12" t="s">
        <v>1696</v>
      </c>
      <c r="Q217" s="12" t="s">
        <v>1696</v>
      </c>
      <c r="R217" s="12" t="s">
        <v>1696</v>
      </c>
      <c r="S217" s="12" t="s">
        <v>1696</v>
      </c>
      <c r="T217" s="12" t="s">
        <v>1696</v>
      </c>
      <c r="U217" s="12" t="s">
        <v>1696</v>
      </c>
      <c r="V217" s="12" t="s">
        <v>1696</v>
      </c>
      <c r="W217" s="12" t="s">
        <v>1696</v>
      </c>
      <c r="X217" s="12" t="s">
        <v>1696</v>
      </c>
      <c r="Y217" s="12" t="s">
        <v>1696</v>
      </c>
      <c r="Z217" s="12" t="s">
        <v>1696</v>
      </c>
      <c r="AA217" s="12" t="s">
        <v>1696</v>
      </c>
      <c r="AB217" s="12" t="s">
        <v>1696</v>
      </c>
      <c r="AE217" s="29">
        <v>0.41666666666424135</v>
      </c>
      <c r="AF217" s="30" t="s">
        <v>597</v>
      </c>
      <c r="AG217" s="33" t="s">
        <v>598</v>
      </c>
      <c r="AH217" s="33" t="str">
        <f>HYPERLINK("https://docs.google.com/document/d/11wDe1iSta-uPiSj3aBwpM_PUcVB86619YC5CLL_mQ-I/edit?usp=drivesdk","Pamela Marcum - 1/2/2019 10:00 AM")</f>
        <v>Pamela Marcum - 1/2/2019 10:00 AM</v>
      </c>
      <c r="AI217" s="30" t="s">
        <v>599</v>
      </c>
    </row>
    <row r="218">
      <c r="A218" s="26">
        <v>43467.78624292824</v>
      </c>
      <c r="B218" s="12" t="s">
        <v>1699</v>
      </c>
      <c r="C218" s="12" t="s">
        <v>1710</v>
      </c>
      <c r="D218" s="12" t="s">
        <v>1916</v>
      </c>
      <c r="E218" s="12" t="s">
        <v>2166</v>
      </c>
      <c r="F218" s="27">
        <v>43468.0</v>
      </c>
      <c r="G218" s="12" t="s">
        <v>2167</v>
      </c>
      <c r="H218" s="29">
        <v>0.5625</v>
      </c>
      <c r="I218" s="26">
        <v>43468.58333333333</v>
      </c>
      <c r="J218" s="12" t="s">
        <v>1658</v>
      </c>
      <c r="L218" s="12" t="s">
        <v>1788</v>
      </c>
      <c r="M218" s="12" t="s">
        <v>1706</v>
      </c>
      <c r="N218" s="12" t="s">
        <v>2168</v>
      </c>
      <c r="O218" s="12" t="s">
        <v>1708</v>
      </c>
      <c r="P218" s="12" t="s">
        <v>1696</v>
      </c>
      <c r="Q218" s="12" t="s">
        <v>1696</v>
      </c>
      <c r="R218" s="12" t="s">
        <v>1696</v>
      </c>
      <c r="S218" s="12" t="s">
        <v>1696</v>
      </c>
      <c r="T218" s="12" t="s">
        <v>1696</v>
      </c>
      <c r="U218" s="12" t="s">
        <v>1696</v>
      </c>
      <c r="V218" s="12" t="s">
        <v>1696</v>
      </c>
      <c r="W218" s="12" t="s">
        <v>1696</v>
      </c>
      <c r="X218" s="12" t="s">
        <v>1696</v>
      </c>
      <c r="Y218" s="12" t="s">
        <v>1696</v>
      </c>
      <c r="Z218" s="12" t="s">
        <v>1696</v>
      </c>
      <c r="AA218" s="12" t="s">
        <v>1696</v>
      </c>
      <c r="AB218" s="12" t="s">
        <v>1696</v>
      </c>
      <c r="AE218" s="29">
        <v>0.39583333333575865</v>
      </c>
      <c r="AF218" s="30" t="s">
        <v>600</v>
      </c>
      <c r="AG218" s="33" t="s">
        <v>601</v>
      </c>
      <c r="AH218" s="33" t="str">
        <f>HYPERLINK("https://docs.google.com/document/d/16OYOj5TIsxB7aLpe8-WmMHmeLPl3WJceZcqhaNcR8ug/edit?usp=drivesdk","Pamela Marcum - 1/3/2019 9:30 AM")</f>
        <v>Pamela Marcum - 1/3/2019 9:30 AM</v>
      </c>
      <c r="AI218" s="30" t="s">
        <v>602</v>
      </c>
    </row>
    <row r="219">
      <c r="A219" s="26">
        <v>43469.34359679398</v>
      </c>
      <c r="B219" s="12" t="s">
        <v>1726</v>
      </c>
      <c r="C219" s="12" t="s">
        <v>1727</v>
      </c>
      <c r="D219" s="12" t="s">
        <v>1728</v>
      </c>
      <c r="E219" s="12" t="s">
        <v>1731</v>
      </c>
      <c r="F219" s="27">
        <v>43469.0</v>
      </c>
      <c r="G219" s="12" t="s">
        <v>2169</v>
      </c>
      <c r="H219" s="29">
        <v>0.5208333333357587</v>
      </c>
      <c r="J219" s="12" t="s">
        <v>1704</v>
      </c>
      <c r="L219" s="12" t="s">
        <v>1626</v>
      </c>
      <c r="M219" s="12" t="s">
        <v>2170</v>
      </c>
      <c r="N219" s="12" t="s">
        <v>2171</v>
      </c>
      <c r="O219" s="12" t="s">
        <v>1735</v>
      </c>
      <c r="P219" s="12" t="s">
        <v>1696</v>
      </c>
      <c r="Q219" s="12" t="s">
        <v>1696</v>
      </c>
      <c r="R219" s="12" t="s">
        <v>1696</v>
      </c>
      <c r="S219" s="12" t="s">
        <v>1696</v>
      </c>
      <c r="T219" s="12" t="s">
        <v>1696</v>
      </c>
      <c r="U219" s="12" t="s">
        <v>1696</v>
      </c>
      <c r="V219" s="12" t="s">
        <v>1696</v>
      </c>
      <c r="W219" s="12" t="s">
        <v>1696</v>
      </c>
      <c r="X219" s="12" t="s">
        <v>1696</v>
      </c>
      <c r="Y219" s="12" t="s">
        <v>1696</v>
      </c>
      <c r="Z219" s="12" t="s">
        <v>1696</v>
      </c>
      <c r="AA219" s="12" t="s">
        <v>1696</v>
      </c>
      <c r="AB219" s="12" t="s">
        <v>1696</v>
      </c>
      <c r="AE219" s="29">
        <v>0.375</v>
      </c>
      <c r="AF219" s="30" t="s">
        <v>603</v>
      </c>
      <c r="AG219" s="33" t="s">
        <v>604</v>
      </c>
      <c r="AH219" s="33" t="str">
        <f>HYPERLINK("https://docs.google.com/document/d/16SdYODC-uCZ2zFLn33qfp7Qjty_GYbog-ssGQaMREx8/edit?usp=drivesdk","James Tomazinis - 1/4/2019 9:00 AM")</f>
        <v>James Tomazinis - 1/4/2019 9:00 AM</v>
      </c>
      <c r="AI219" s="30" t="s">
        <v>605</v>
      </c>
    </row>
    <row r="220">
      <c r="A220" s="26">
        <v>43469.41420800926</v>
      </c>
      <c r="B220" s="12" t="s">
        <v>1699</v>
      </c>
      <c r="C220" s="12" t="s">
        <v>1710</v>
      </c>
      <c r="D220" s="12" t="s">
        <v>1916</v>
      </c>
      <c r="E220" s="12" t="s">
        <v>2172</v>
      </c>
      <c r="F220" s="27">
        <v>43469.0</v>
      </c>
      <c r="G220" s="12" t="s">
        <v>2173</v>
      </c>
      <c r="H220" s="29">
        <v>0.625</v>
      </c>
      <c r="I220" s="26">
        <v>43469.64583333333</v>
      </c>
      <c r="J220" s="12" t="s">
        <v>1658</v>
      </c>
      <c r="L220" s="12" t="s">
        <v>1788</v>
      </c>
      <c r="M220" s="12" t="s">
        <v>1706</v>
      </c>
      <c r="N220" s="12" t="s">
        <v>2174</v>
      </c>
      <c r="O220" s="12" t="s">
        <v>1708</v>
      </c>
      <c r="P220" s="12" t="s">
        <v>1696</v>
      </c>
      <c r="Q220" s="12" t="s">
        <v>1696</v>
      </c>
      <c r="R220" s="12" t="s">
        <v>1696</v>
      </c>
      <c r="S220" s="12" t="s">
        <v>1696</v>
      </c>
      <c r="T220" s="12" t="s">
        <v>1696</v>
      </c>
      <c r="U220" s="12" t="s">
        <v>1696</v>
      </c>
      <c r="V220" s="12" t="s">
        <v>1696</v>
      </c>
      <c r="W220" s="12" t="s">
        <v>1696</v>
      </c>
      <c r="X220" s="12" t="s">
        <v>1696</v>
      </c>
      <c r="Y220" s="12" t="s">
        <v>1696</v>
      </c>
      <c r="Z220" s="12" t="s">
        <v>1696</v>
      </c>
      <c r="AA220" s="12" t="s">
        <v>1696</v>
      </c>
      <c r="AB220" s="12" t="s">
        <v>1696</v>
      </c>
      <c r="AE220" s="29">
        <v>0.41666666666424135</v>
      </c>
      <c r="AF220" s="30" t="s">
        <v>606</v>
      </c>
      <c r="AG220" s="33" t="s">
        <v>607</v>
      </c>
      <c r="AH220" s="33" t="str">
        <f>HYPERLINK("https://docs.google.com/document/d/1p7s5sR34YXc9wg1z-_VVivHlRGZkuTUZxMHhBUHtCco/edit?usp=drivesdk","Pamela Marcum - 1/4/2019 10:00 AM")</f>
        <v>Pamela Marcum - 1/4/2019 10:00 AM</v>
      </c>
      <c r="AI220" s="30" t="s">
        <v>608</v>
      </c>
    </row>
    <row r="221">
      <c r="A221" s="26">
        <v>43472.65924579861</v>
      </c>
      <c r="B221" s="12" t="s">
        <v>1717</v>
      </c>
      <c r="C221" s="12" t="s">
        <v>1718</v>
      </c>
      <c r="D221" s="12" t="s">
        <v>1916</v>
      </c>
      <c r="E221" s="12" t="s">
        <v>2162</v>
      </c>
      <c r="F221" s="27">
        <v>43473.0</v>
      </c>
      <c r="G221" s="12" t="s">
        <v>2175</v>
      </c>
      <c r="H221" s="29">
        <v>0.53125</v>
      </c>
      <c r="I221" s="26">
        <v>43473.54166666667</v>
      </c>
      <c r="J221" s="12" t="s">
        <v>1658</v>
      </c>
      <c r="L221" s="12" t="s">
        <v>1720</v>
      </c>
      <c r="M221" s="12" t="s">
        <v>1807</v>
      </c>
      <c r="O221" s="12" t="s">
        <v>2095</v>
      </c>
      <c r="P221" s="12" t="s">
        <v>1696</v>
      </c>
      <c r="Q221" s="12" t="s">
        <v>1696</v>
      </c>
      <c r="R221" s="12" t="s">
        <v>1696</v>
      </c>
      <c r="S221" s="12" t="s">
        <v>1696</v>
      </c>
      <c r="T221" s="12" t="s">
        <v>1696</v>
      </c>
      <c r="U221" s="12" t="s">
        <v>1696</v>
      </c>
      <c r="V221" s="12" t="s">
        <v>1696</v>
      </c>
      <c r="W221" s="12" t="s">
        <v>1696</v>
      </c>
      <c r="X221" s="12" t="s">
        <v>1696</v>
      </c>
      <c r="Y221" s="12" t="s">
        <v>1696</v>
      </c>
      <c r="Z221" s="12" t="s">
        <v>1696</v>
      </c>
      <c r="AA221" s="12" t="s">
        <v>1696</v>
      </c>
      <c r="AB221" s="12" t="s">
        <v>1696</v>
      </c>
      <c r="AE221" s="29">
        <v>0.36458333333575865</v>
      </c>
      <c r="AF221" s="30" t="s">
        <v>609</v>
      </c>
      <c r="AG221" s="33" t="s">
        <v>610</v>
      </c>
      <c r="AH221" s="33" t="str">
        <f>HYPERLINK("https://docs.google.com/document/d/1w5yvrJDRg-YgyWDyeVMe6dpoKT5A2GMePvS1bvcmC00/edit?usp=drivesdk","Silas Tanner - 1/8/2019 8:45 AM")</f>
        <v>Silas Tanner - 1/8/2019 8:45 AM</v>
      </c>
      <c r="AI221" s="30" t="s">
        <v>611</v>
      </c>
    </row>
    <row r="222">
      <c r="A222" s="26">
        <v>43474.34273142361</v>
      </c>
      <c r="B222" s="12" t="s">
        <v>1726</v>
      </c>
      <c r="C222" s="12" t="s">
        <v>1727</v>
      </c>
      <c r="D222" s="12" t="s">
        <v>1728</v>
      </c>
      <c r="E222" s="12" t="s">
        <v>1809</v>
      </c>
      <c r="F222" s="27">
        <v>43474.0</v>
      </c>
      <c r="G222" s="12" t="s">
        <v>2176</v>
      </c>
      <c r="H222" s="29">
        <v>0.6979166666642413</v>
      </c>
      <c r="J222" s="12" t="s">
        <v>1704</v>
      </c>
      <c r="L222" s="12" t="s">
        <v>1626</v>
      </c>
      <c r="M222" s="12" t="s">
        <v>1785</v>
      </c>
      <c r="N222" s="12" t="s">
        <v>2177</v>
      </c>
      <c r="O222" s="12" t="s">
        <v>1735</v>
      </c>
      <c r="P222" s="12" t="s">
        <v>1696</v>
      </c>
      <c r="Q222" s="12" t="s">
        <v>1696</v>
      </c>
      <c r="R222" s="12" t="s">
        <v>1696</v>
      </c>
      <c r="S222" s="12" t="s">
        <v>1696</v>
      </c>
      <c r="T222" s="12" t="s">
        <v>1696</v>
      </c>
      <c r="U222" s="12" t="s">
        <v>1696</v>
      </c>
      <c r="V222" s="12" t="s">
        <v>1696</v>
      </c>
      <c r="W222" s="12" t="s">
        <v>1696</v>
      </c>
      <c r="X222" s="12" t="s">
        <v>1696</v>
      </c>
      <c r="Y222" s="12" t="s">
        <v>1696</v>
      </c>
      <c r="Z222" s="12" t="s">
        <v>1696</v>
      </c>
      <c r="AA222" s="12" t="s">
        <v>1696</v>
      </c>
      <c r="AB222" s="12" t="s">
        <v>1696</v>
      </c>
      <c r="AE222" s="29">
        <v>0.375</v>
      </c>
      <c r="AF222" s="30" t="s">
        <v>612</v>
      </c>
      <c r="AG222" s="33" t="s">
        <v>613</v>
      </c>
      <c r="AH222" s="33" t="str">
        <f>HYPERLINK("https://docs.google.com/document/d/1UTMHhAq_kXygMb9yCTHtxEDXQXCiJxKdNDQMS38t11M/edit?usp=drivesdk","James Tomazinis - 1/9/2019 9:00 AM")</f>
        <v>James Tomazinis - 1/9/2019 9:00 AM</v>
      </c>
      <c r="AI222" s="30" t="s">
        <v>614</v>
      </c>
    </row>
    <row r="223">
      <c r="A223" s="26">
        <v>43475.36164498843</v>
      </c>
      <c r="B223" s="12" t="s">
        <v>1717</v>
      </c>
      <c r="C223" s="12" t="s">
        <v>1718</v>
      </c>
      <c r="D223" s="12" t="s">
        <v>1916</v>
      </c>
      <c r="E223" s="12" t="s">
        <v>2015</v>
      </c>
      <c r="F223" s="27">
        <v>43475.0</v>
      </c>
      <c r="G223" s="12" t="s">
        <v>2178</v>
      </c>
      <c r="H223" s="29">
        <v>0.5416666666642413</v>
      </c>
      <c r="I223" s="26">
        <v>43475.66666666667</v>
      </c>
      <c r="J223" s="12" t="s">
        <v>1658</v>
      </c>
      <c r="L223" s="12" t="s">
        <v>1788</v>
      </c>
      <c r="M223" s="12" t="s">
        <v>1770</v>
      </c>
      <c r="N223" s="12" t="s">
        <v>2179</v>
      </c>
      <c r="O223" s="12" t="s">
        <v>1756</v>
      </c>
      <c r="P223" s="12" t="s">
        <v>1696</v>
      </c>
      <c r="Q223" s="12" t="s">
        <v>1696</v>
      </c>
      <c r="R223" s="12" t="s">
        <v>1696</v>
      </c>
      <c r="S223" s="12" t="s">
        <v>1696</v>
      </c>
      <c r="T223" s="12" t="s">
        <v>1696</v>
      </c>
      <c r="U223" s="12" t="s">
        <v>1696</v>
      </c>
      <c r="V223" s="12" t="s">
        <v>1696</v>
      </c>
      <c r="W223" s="12" t="s">
        <v>1696</v>
      </c>
      <c r="X223" s="12" t="s">
        <v>1696</v>
      </c>
      <c r="Y223" s="12" t="s">
        <v>1696</v>
      </c>
      <c r="Z223" s="12" t="s">
        <v>1696</v>
      </c>
      <c r="AA223" s="12" t="s">
        <v>1696</v>
      </c>
      <c r="AB223" s="12" t="s">
        <v>1696</v>
      </c>
      <c r="AE223" s="29">
        <v>0.36458333333575865</v>
      </c>
      <c r="AF223" s="30" t="s">
        <v>615</v>
      </c>
      <c r="AG223" s="33" t="s">
        <v>616</v>
      </c>
      <c r="AH223" s="33" t="str">
        <f>HYPERLINK("https://docs.google.com/document/d/1SXZqdzN-q45bqHiSwks60gp_1yChmg6o0A3CtR_bRFY/edit?usp=drivesdk","Silas Tanner - 1/10/2019 8:45 AM")</f>
        <v>Silas Tanner - 1/10/2019 8:45 AM</v>
      </c>
      <c r="AI223" s="30" t="s">
        <v>617</v>
      </c>
    </row>
    <row r="224">
      <c r="A224" s="26">
        <v>43475.36341305556</v>
      </c>
      <c r="B224" s="12" t="s">
        <v>1713</v>
      </c>
      <c r="C224" s="12" t="s">
        <v>1808</v>
      </c>
      <c r="D224" s="12" t="s">
        <v>1916</v>
      </c>
      <c r="E224" s="12" t="s">
        <v>1623</v>
      </c>
      <c r="F224" s="27">
        <v>43475.0</v>
      </c>
      <c r="G224" s="12" t="s">
        <v>1671</v>
      </c>
      <c r="H224" s="29">
        <v>0.6666666666642413</v>
      </c>
      <c r="I224" s="26">
        <v>43475.694444444445</v>
      </c>
      <c r="J224" s="12" t="s">
        <v>1693</v>
      </c>
      <c r="L224" s="12" t="s">
        <v>1720</v>
      </c>
      <c r="M224" s="12" t="s">
        <v>1824</v>
      </c>
      <c r="N224" s="12" t="s">
        <v>1786</v>
      </c>
      <c r="O224" s="12" t="s">
        <v>1826</v>
      </c>
      <c r="P224" s="12" t="s">
        <v>1696</v>
      </c>
      <c r="Q224" s="12" t="s">
        <v>1696</v>
      </c>
      <c r="R224" s="12" t="s">
        <v>1696</v>
      </c>
      <c r="S224" s="12" t="s">
        <v>1696</v>
      </c>
      <c r="T224" s="12" t="s">
        <v>1696</v>
      </c>
      <c r="U224" s="12" t="s">
        <v>1696</v>
      </c>
      <c r="V224" s="12" t="s">
        <v>1696</v>
      </c>
      <c r="W224" s="12" t="s">
        <v>1696</v>
      </c>
      <c r="X224" s="12" t="s">
        <v>1696</v>
      </c>
      <c r="Y224" s="12" t="s">
        <v>1696</v>
      </c>
      <c r="Z224" s="12" t="s">
        <v>1696</v>
      </c>
      <c r="AA224" s="12" t="s">
        <v>1696</v>
      </c>
      <c r="AB224" s="12" t="s">
        <v>1696</v>
      </c>
      <c r="AE224" s="29">
        <v>0.39583333333575865</v>
      </c>
      <c r="AF224" s="30" t="s">
        <v>618</v>
      </c>
      <c r="AG224" s="33" t="s">
        <v>619</v>
      </c>
      <c r="AH224" s="33" t="str">
        <f>HYPERLINK("https://docs.google.com/document/d/1gVI_jfcOWjzZEQMF4gbfgFQynt0Z5DO6MONlYJj8nUU/edit?usp=drivesdk","Ben Mowbray - 1/10/2019 9:30 AM")</f>
        <v>Ben Mowbray - 1/10/2019 9:30 AM</v>
      </c>
      <c r="AI224" s="30" t="s">
        <v>620</v>
      </c>
    </row>
    <row r="225">
      <c r="A225" s="26">
        <v>43476.586862372686</v>
      </c>
      <c r="B225" s="12" t="s">
        <v>2158</v>
      </c>
      <c r="C225" s="12" t="s">
        <v>1727</v>
      </c>
      <c r="D225" s="12" t="s">
        <v>1728</v>
      </c>
      <c r="E225" s="12" t="s">
        <v>1683</v>
      </c>
      <c r="F225" s="27">
        <v>43476.0</v>
      </c>
      <c r="G225" s="12" t="s">
        <v>1746</v>
      </c>
      <c r="H225" s="29">
        <v>0.6458333333357587</v>
      </c>
      <c r="J225" s="12" t="s">
        <v>1685</v>
      </c>
      <c r="K225" s="12">
        <v>1.0</v>
      </c>
      <c r="L225" s="12" t="s">
        <v>1626</v>
      </c>
      <c r="M225" s="12" t="s">
        <v>1785</v>
      </c>
      <c r="O225" s="12" t="s">
        <v>2180</v>
      </c>
      <c r="P225" s="12" t="s">
        <v>1696</v>
      </c>
      <c r="Q225" s="12" t="s">
        <v>1696</v>
      </c>
      <c r="R225" s="12" t="s">
        <v>1696</v>
      </c>
      <c r="S225" s="12" t="s">
        <v>1696</v>
      </c>
      <c r="T225" s="12" t="s">
        <v>1696</v>
      </c>
      <c r="U225" s="12" t="s">
        <v>1696</v>
      </c>
      <c r="V225" s="12" t="s">
        <v>1696</v>
      </c>
      <c r="W225" s="12" t="s">
        <v>1696</v>
      </c>
      <c r="X225" s="12" t="s">
        <v>1696</v>
      </c>
      <c r="Y225" s="12" t="s">
        <v>1696</v>
      </c>
      <c r="Z225" s="12" t="s">
        <v>1696</v>
      </c>
      <c r="AA225" s="12" t="s">
        <v>1696</v>
      </c>
      <c r="AB225" s="12" t="s">
        <v>1696</v>
      </c>
      <c r="AE225" s="29">
        <v>0.6041666666642413</v>
      </c>
      <c r="AF225" s="30" t="s">
        <v>621</v>
      </c>
      <c r="AG225" s="33" t="s">
        <v>622</v>
      </c>
      <c r="AH225" s="33" t="str">
        <f>HYPERLINK("https://docs.google.com/document/d/1IaxkgNOqPzkSPHLaQxOsCa-xiQoIeRtfPOqC3I0c1oI/edit?usp=drivesdk","james tomazinis - 1/11/2019 2:30 PM")</f>
        <v>james tomazinis - 1/11/2019 2:30 PM</v>
      </c>
      <c r="AI225" s="30" t="s">
        <v>623</v>
      </c>
    </row>
    <row r="226">
      <c r="A226" s="26">
        <v>43476.66709524306</v>
      </c>
      <c r="B226" s="12" t="s">
        <v>1713</v>
      </c>
      <c r="C226" s="12" t="s">
        <v>1808</v>
      </c>
      <c r="D226" s="12" t="s">
        <v>1958</v>
      </c>
      <c r="E226" s="12" t="s">
        <v>2081</v>
      </c>
      <c r="F226" s="27">
        <v>43476.0</v>
      </c>
      <c r="G226" s="12" t="s">
        <v>2163</v>
      </c>
      <c r="H226" s="29">
        <v>0.625</v>
      </c>
      <c r="I226" s="26">
        <v>43476.66666666667</v>
      </c>
      <c r="J226" s="12" t="s">
        <v>1658</v>
      </c>
      <c r="L226" s="12" t="s">
        <v>1720</v>
      </c>
      <c r="M226" s="12" t="s">
        <v>2181</v>
      </c>
      <c r="N226" s="12" t="s">
        <v>2182</v>
      </c>
      <c r="O226" s="12" t="s">
        <v>1826</v>
      </c>
      <c r="P226" s="12" t="s">
        <v>1696</v>
      </c>
      <c r="Q226" s="12" t="s">
        <v>1696</v>
      </c>
      <c r="R226" s="12" t="s">
        <v>1696</v>
      </c>
      <c r="S226" s="12" t="s">
        <v>1696</v>
      </c>
      <c r="T226" s="12" t="s">
        <v>1696</v>
      </c>
      <c r="U226" s="12" t="s">
        <v>1696</v>
      </c>
      <c r="V226" s="12" t="s">
        <v>1696</v>
      </c>
      <c r="W226" s="12" t="s">
        <v>1696</v>
      </c>
      <c r="X226" s="12" t="s">
        <v>1696</v>
      </c>
      <c r="Y226" s="12" t="s">
        <v>1696</v>
      </c>
      <c r="Z226" s="12" t="s">
        <v>1696</v>
      </c>
      <c r="AA226" s="12" t="s">
        <v>1696</v>
      </c>
      <c r="AB226" s="12" t="s">
        <v>1696</v>
      </c>
      <c r="AE226" s="29">
        <v>0.4444444444452529</v>
      </c>
      <c r="AF226" s="30" t="s">
        <v>625</v>
      </c>
      <c r="AG226" s="33" t="s">
        <v>626</v>
      </c>
      <c r="AH226" s="33" t="str">
        <f>HYPERLINK("https://docs.google.com/document/d/17RQ4Ys5vhUgH_js1ld3jCjcGkUV1G8rZmkNP458_zYM/edit?usp=drivesdk","Ben Mowbray - 1/11/2019 10:40 AM")</f>
        <v>Ben Mowbray - 1/11/2019 10:40 AM</v>
      </c>
      <c r="AI226" s="30" t="s">
        <v>627</v>
      </c>
    </row>
    <row r="227">
      <c r="A227" s="26">
        <v>43479.28802346065</v>
      </c>
      <c r="B227" s="12" t="s">
        <v>1699</v>
      </c>
      <c r="C227" s="12" t="s">
        <v>1710</v>
      </c>
      <c r="D227" s="12" t="s">
        <v>1916</v>
      </c>
      <c r="E227" s="12" t="s">
        <v>1926</v>
      </c>
      <c r="F227" s="27">
        <v>43479.0</v>
      </c>
      <c r="G227" s="12" t="s">
        <v>2183</v>
      </c>
      <c r="H227" s="29">
        <v>0.5</v>
      </c>
      <c r="I227" s="26">
        <v>43479.54166666667</v>
      </c>
      <c r="J227" s="12" t="s">
        <v>1658</v>
      </c>
      <c r="L227" s="12" t="s">
        <v>1788</v>
      </c>
      <c r="M227" s="12" t="s">
        <v>1770</v>
      </c>
      <c r="N227" s="12" t="s">
        <v>1779</v>
      </c>
      <c r="O227" s="12" t="s">
        <v>1708</v>
      </c>
      <c r="P227" s="12" t="s">
        <v>1696</v>
      </c>
      <c r="Q227" s="12" t="s">
        <v>1696</v>
      </c>
      <c r="R227" s="12" t="s">
        <v>1696</v>
      </c>
      <c r="S227" s="12" t="s">
        <v>1696</v>
      </c>
      <c r="T227" s="12" t="s">
        <v>1696</v>
      </c>
      <c r="U227" s="12" t="s">
        <v>1696</v>
      </c>
      <c r="V227" s="12" t="s">
        <v>1696</v>
      </c>
      <c r="W227" s="12" t="s">
        <v>1696</v>
      </c>
      <c r="X227" s="12" t="s">
        <v>1696</v>
      </c>
      <c r="Y227" s="12" t="s">
        <v>1696</v>
      </c>
      <c r="Z227" s="12" t="s">
        <v>1696</v>
      </c>
      <c r="AA227" s="12" t="s">
        <v>1696</v>
      </c>
      <c r="AB227" s="12" t="s">
        <v>1696</v>
      </c>
      <c r="AE227" s="29">
        <v>0.32291666666424135</v>
      </c>
      <c r="AF227" s="30" t="s">
        <v>628</v>
      </c>
      <c r="AG227" s="33" t="s">
        <v>629</v>
      </c>
      <c r="AH227" s="33" t="str">
        <f>HYPERLINK("https://docs.google.com/document/d/1sp3x5m3NjyONG81qm62pZZCQIhwJORfCMNu2kAoMkJc/edit?usp=drivesdk","Pamela Marcum - 1/14/2019 7:45 AM")</f>
        <v>Pamela Marcum - 1/14/2019 7:45 AM</v>
      </c>
      <c r="AI227" s="30" t="s">
        <v>630</v>
      </c>
    </row>
    <row r="228">
      <c r="A228" s="26">
        <v>43480.36710870371</v>
      </c>
      <c r="B228" s="12" t="s">
        <v>1699</v>
      </c>
      <c r="C228" s="12" t="s">
        <v>1966</v>
      </c>
      <c r="D228" s="12" t="s">
        <v>1916</v>
      </c>
      <c r="E228" s="12" t="s">
        <v>2184</v>
      </c>
      <c r="F228" s="27">
        <v>43480.0</v>
      </c>
      <c r="G228" s="12" t="s">
        <v>2185</v>
      </c>
      <c r="H228" s="29">
        <v>0.5</v>
      </c>
      <c r="I228" s="26">
        <v>43480.02083333333</v>
      </c>
      <c r="J228" s="12" t="s">
        <v>1693</v>
      </c>
      <c r="L228" s="12" t="s">
        <v>1626</v>
      </c>
      <c r="M228" s="12" t="s">
        <v>1706</v>
      </c>
      <c r="N228" s="12" t="s">
        <v>2186</v>
      </c>
      <c r="O228" s="12" t="s">
        <v>1708</v>
      </c>
      <c r="P228" s="12" t="s">
        <v>1696</v>
      </c>
      <c r="Q228" s="12" t="s">
        <v>1696</v>
      </c>
      <c r="R228" s="12" t="s">
        <v>1696</v>
      </c>
      <c r="S228" s="12" t="s">
        <v>1696</v>
      </c>
      <c r="T228" s="12" t="s">
        <v>1696</v>
      </c>
      <c r="U228" s="12" t="s">
        <v>1696</v>
      </c>
      <c r="V228" s="12" t="s">
        <v>1696</v>
      </c>
      <c r="W228" s="12" t="s">
        <v>1696</v>
      </c>
      <c r="X228" s="12" t="s">
        <v>1696</v>
      </c>
      <c r="Y228" s="12" t="s">
        <v>1696</v>
      </c>
      <c r="Z228" s="12" t="s">
        <v>1696</v>
      </c>
      <c r="AA228" s="12" t="s">
        <v>1696</v>
      </c>
      <c r="AB228" s="12" t="s">
        <v>1696</v>
      </c>
      <c r="AE228" s="29">
        <v>0.36458333333575865</v>
      </c>
    </row>
    <row r="229">
      <c r="A229" s="26">
        <v>43480.36710870371</v>
      </c>
      <c r="B229" s="12" t="s">
        <v>1717</v>
      </c>
      <c r="C229" s="12" t="s">
        <v>1775</v>
      </c>
      <c r="D229" s="12" t="s">
        <v>1916</v>
      </c>
      <c r="E229" s="12" t="s">
        <v>2184</v>
      </c>
      <c r="F229" s="27">
        <v>43480.0</v>
      </c>
      <c r="G229" s="12" t="s">
        <v>2185</v>
      </c>
      <c r="H229" s="29">
        <v>0.5</v>
      </c>
      <c r="I229" s="26">
        <v>43480.02083333333</v>
      </c>
      <c r="J229" s="12" t="s">
        <v>1704</v>
      </c>
      <c r="L229" s="12" t="s">
        <v>1720</v>
      </c>
      <c r="M229" s="12" t="s">
        <v>1807</v>
      </c>
      <c r="N229" s="12" t="s">
        <v>2187</v>
      </c>
      <c r="O229" s="12" t="s">
        <v>2072</v>
      </c>
      <c r="P229" s="12" t="s">
        <v>1696</v>
      </c>
      <c r="Q229" s="12" t="s">
        <v>1696</v>
      </c>
      <c r="R229" s="12" t="s">
        <v>1696</v>
      </c>
      <c r="S229" s="12" t="s">
        <v>1696</v>
      </c>
      <c r="T229" s="12" t="s">
        <v>1696</v>
      </c>
      <c r="U229" s="12" t="s">
        <v>1696</v>
      </c>
      <c r="V229" s="12" t="s">
        <v>1696</v>
      </c>
      <c r="W229" s="12" t="s">
        <v>1696</v>
      </c>
      <c r="X229" s="12" t="s">
        <v>1696</v>
      </c>
      <c r="Y229" s="12" t="s">
        <v>1696</v>
      </c>
      <c r="Z229" s="12" t="s">
        <v>1696</v>
      </c>
      <c r="AA229" s="12" t="s">
        <v>1696</v>
      </c>
      <c r="AB229" s="12" t="s">
        <v>1696</v>
      </c>
      <c r="AE229" s="29">
        <v>0.36458333333575865</v>
      </c>
    </row>
    <row r="230">
      <c r="A230" s="26">
        <v>43481.28886030093</v>
      </c>
      <c r="B230" s="12" t="s">
        <v>1699</v>
      </c>
      <c r="C230" s="12" t="s">
        <v>1710</v>
      </c>
      <c r="D230" s="12" t="s">
        <v>1916</v>
      </c>
      <c r="E230" s="12" t="s">
        <v>1623</v>
      </c>
      <c r="F230" s="27">
        <v>43481.0</v>
      </c>
      <c r="G230" s="12" t="s">
        <v>2188</v>
      </c>
      <c r="H230" s="29">
        <v>0.5</v>
      </c>
      <c r="I230" s="26">
        <v>43481.52083333333</v>
      </c>
      <c r="J230" s="12" t="s">
        <v>1658</v>
      </c>
      <c r="L230" s="12" t="s">
        <v>1788</v>
      </c>
      <c r="M230" s="12" t="s">
        <v>1706</v>
      </c>
      <c r="N230" s="12" t="s">
        <v>2189</v>
      </c>
      <c r="O230" s="12" t="s">
        <v>1708</v>
      </c>
      <c r="P230" s="12" t="s">
        <v>1696</v>
      </c>
      <c r="Q230" s="12" t="s">
        <v>1696</v>
      </c>
      <c r="R230" s="12" t="s">
        <v>1696</v>
      </c>
      <c r="S230" s="12" t="s">
        <v>1696</v>
      </c>
      <c r="T230" s="12" t="s">
        <v>1696</v>
      </c>
      <c r="U230" s="12" t="s">
        <v>1696</v>
      </c>
      <c r="V230" s="12" t="s">
        <v>1696</v>
      </c>
      <c r="W230" s="12" t="s">
        <v>1696</v>
      </c>
      <c r="X230" s="12" t="s">
        <v>1696</v>
      </c>
      <c r="Y230" s="12" t="s">
        <v>1696</v>
      </c>
      <c r="Z230" s="12" t="s">
        <v>1696</v>
      </c>
      <c r="AA230" s="12" t="s">
        <v>1696</v>
      </c>
      <c r="AB230" s="12" t="s">
        <v>1696</v>
      </c>
      <c r="AE230" s="29">
        <v>0.35416666666424135</v>
      </c>
    </row>
    <row r="231">
      <c r="A231" s="26">
        <v>43481.391982534726</v>
      </c>
      <c r="B231" s="12" t="s">
        <v>1708</v>
      </c>
      <c r="C231" s="12" t="s">
        <v>1966</v>
      </c>
      <c r="D231" s="12" t="s">
        <v>1916</v>
      </c>
      <c r="E231" s="12" t="s">
        <v>2190</v>
      </c>
      <c r="F231" s="27">
        <v>43481.0</v>
      </c>
      <c r="G231" s="12" t="s">
        <v>2185</v>
      </c>
      <c r="H231" s="29">
        <v>0.5</v>
      </c>
      <c r="I231" s="26">
        <v>43481.02083333333</v>
      </c>
      <c r="J231" s="12" t="s">
        <v>1704</v>
      </c>
      <c r="L231" s="12" t="s">
        <v>1788</v>
      </c>
      <c r="M231" s="12" t="s">
        <v>1706</v>
      </c>
      <c r="N231" s="12" t="s">
        <v>2191</v>
      </c>
      <c r="O231" s="12" t="s">
        <v>1708</v>
      </c>
      <c r="P231" s="12" t="s">
        <v>1696</v>
      </c>
      <c r="Q231" s="12" t="s">
        <v>1696</v>
      </c>
      <c r="R231" s="12" t="s">
        <v>1696</v>
      </c>
      <c r="S231" s="12" t="s">
        <v>1696</v>
      </c>
      <c r="T231" s="12" t="s">
        <v>1696</v>
      </c>
      <c r="U231" s="12" t="s">
        <v>1696</v>
      </c>
      <c r="V231" s="12" t="s">
        <v>1696</v>
      </c>
      <c r="W231" s="12" t="s">
        <v>1696</v>
      </c>
      <c r="X231" s="12" t="s">
        <v>1696</v>
      </c>
      <c r="Y231" s="12" t="s">
        <v>1696</v>
      </c>
      <c r="Z231" s="12" t="s">
        <v>1696</v>
      </c>
      <c r="AA231" s="12" t="s">
        <v>1696</v>
      </c>
      <c r="AB231" s="12" t="s">
        <v>1696</v>
      </c>
      <c r="AE231" s="29">
        <v>0.38541666666424135</v>
      </c>
    </row>
    <row r="232">
      <c r="A232" s="34">
        <v>43482.43853009259</v>
      </c>
      <c r="B232" s="12" t="s">
        <v>1708</v>
      </c>
      <c r="C232" s="12" t="s">
        <v>1966</v>
      </c>
      <c r="D232" s="12" t="s">
        <v>1958</v>
      </c>
      <c r="E232" s="12" t="s">
        <v>2190</v>
      </c>
      <c r="F232" s="27">
        <v>43482.0</v>
      </c>
      <c r="G232" s="12" t="s">
        <v>2185</v>
      </c>
      <c r="H232" s="29">
        <v>0.5</v>
      </c>
      <c r="I232" s="35">
        <v>43482.0</v>
      </c>
      <c r="J232" s="12" t="s">
        <v>1704</v>
      </c>
      <c r="L232" s="12" t="s">
        <v>1788</v>
      </c>
      <c r="M232" s="12" t="s">
        <v>1706</v>
      </c>
      <c r="N232" s="12" t="s">
        <v>2192</v>
      </c>
      <c r="O232" s="12" t="s">
        <v>1708</v>
      </c>
      <c r="P232" s="12" t="s">
        <v>1696</v>
      </c>
      <c r="Q232" s="12" t="s">
        <v>1696</v>
      </c>
      <c r="R232" s="12" t="s">
        <v>1696</v>
      </c>
      <c r="S232" s="12" t="s">
        <v>1696</v>
      </c>
      <c r="T232" s="12" t="s">
        <v>1696</v>
      </c>
      <c r="U232" s="12" t="s">
        <v>1696</v>
      </c>
      <c r="V232" s="12" t="s">
        <v>1696</v>
      </c>
      <c r="W232" s="12" t="s">
        <v>1696</v>
      </c>
      <c r="X232" s="12" t="s">
        <v>1696</v>
      </c>
      <c r="Y232" s="12" t="s">
        <v>1696</v>
      </c>
      <c r="Z232" s="12" t="s">
        <v>1696</v>
      </c>
      <c r="AA232" s="12" t="s">
        <v>1696</v>
      </c>
      <c r="AB232" s="12" t="s">
        <v>1696</v>
      </c>
      <c r="AE232" s="29">
        <v>0.35416666666424135</v>
      </c>
    </row>
    <row r="233">
      <c r="A233" s="26">
        <v>43483.438675011574</v>
      </c>
      <c r="B233" s="12" t="s">
        <v>1744</v>
      </c>
      <c r="C233" s="12" t="s">
        <v>1710</v>
      </c>
      <c r="D233" s="12" t="s">
        <v>1916</v>
      </c>
      <c r="E233" s="12" t="s">
        <v>1623</v>
      </c>
      <c r="F233" s="27">
        <v>43483.0</v>
      </c>
      <c r="G233" s="12" t="s">
        <v>1746</v>
      </c>
      <c r="H233" s="29">
        <v>0.5416666666642413</v>
      </c>
      <c r="I233" s="26">
        <v>43483.5625</v>
      </c>
      <c r="J233" s="12" t="s">
        <v>1704</v>
      </c>
      <c r="L233" s="12" t="s">
        <v>1788</v>
      </c>
      <c r="M233" s="12" t="s">
        <v>1706</v>
      </c>
      <c r="N233" s="12" t="s">
        <v>2193</v>
      </c>
      <c r="O233" s="12" t="s">
        <v>1708</v>
      </c>
      <c r="P233" s="12" t="s">
        <v>1696</v>
      </c>
      <c r="Q233" s="12" t="s">
        <v>1696</v>
      </c>
      <c r="R233" s="12" t="s">
        <v>1696</v>
      </c>
      <c r="S233" s="12" t="s">
        <v>1696</v>
      </c>
      <c r="T233" s="12" t="s">
        <v>1696</v>
      </c>
      <c r="U233" s="12" t="s">
        <v>1696</v>
      </c>
      <c r="V233" s="12" t="s">
        <v>1696</v>
      </c>
      <c r="W233" s="12" t="s">
        <v>1696</v>
      </c>
      <c r="X233" s="12" t="s">
        <v>1696</v>
      </c>
      <c r="Y233" s="12" t="s">
        <v>1696</v>
      </c>
      <c r="Z233" s="12" t="s">
        <v>1696</v>
      </c>
      <c r="AA233" s="12" t="s">
        <v>1696</v>
      </c>
      <c r="AB233" s="12" t="s">
        <v>1696</v>
      </c>
      <c r="AE233" s="29">
        <v>0.44791666666424135</v>
      </c>
    </row>
    <row r="234">
      <c r="A234" s="26">
        <v>43483.446238819444</v>
      </c>
      <c r="B234" s="12" t="s">
        <v>1802</v>
      </c>
      <c r="C234" s="12" t="s">
        <v>2047</v>
      </c>
      <c r="D234" s="12" t="s">
        <v>1916</v>
      </c>
      <c r="E234" s="12" t="s">
        <v>2194</v>
      </c>
      <c r="F234" s="27">
        <v>43483.0</v>
      </c>
      <c r="G234" s="12" t="s">
        <v>2185</v>
      </c>
      <c r="H234" s="29">
        <v>0.5833333333357587</v>
      </c>
      <c r="I234" s="26">
        <v>43483.625</v>
      </c>
      <c r="J234" s="12" t="s">
        <v>1693</v>
      </c>
      <c r="L234" s="12" t="s">
        <v>1720</v>
      </c>
      <c r="M234" s="12" t="s">
        <v>2195</v>
      </c>
      <c r="O234" s="12" t="s">
        <v>1802</v>
      </c>
      <c r="P234" s="12" t="s">
        <v>1696</v>
      </c>
      <c r="Q234" s="12" t="s">
        <v>1696</v>
      </c>
      <c r="R234" s="12" t="s">
        <v>1696</v>
      </c>
      <c r="S234" s="12" t="s">
        <v>1696</v>
      </c>
      <c r="T234" s="12" t="s">
        <v>1696</v>
      </c>
      <c r="U234" s="12" t="s">
        <v>1696</v>
      </c>
      <c r="V234" s="12" t="s">
        <v>1696</v>
      </c>
      <c r="W234" s="12" t="s">
        <v>1696</v>
      </c>
      <c r="X234" s="12" t="s">
        <v>1696</v>
      </c>
      <c r="Y234" s="12" t="s">
        <v>1696</v>
      </c>
      <c r="Z234" s="12" t="s">
        <v>1696</v>
      </c>
      <c r="AA234" s="12" t="s">
        <v>1696</v>
      </c>
      <c r="AB234" s="12" t="s">
        <v>1696</v>
      </c>
      <c r="AE234" s="29">
        <v>0.45833333333575865</v>
      </c>
    </row>
    <row r="235">
      <c r="A235" s="26">
        <v>43483.4528569213</v>
      </c>
      <c r="B235" s="12" t="s">
        <v>1802</v>
      </c>
      <c r="C235" s="12" t="s">
        <v>2047</v>
      </c>
      <c r="D235" s="12" t="s">
        <v>1916</v>
      </c>
      <c r="E235" s="12" t="s">
        <v>2196</v>
      </c>
      <c r="F235" s="27">
        <v>43484.0</v>
      </c>
      <c r="G235" s="12" t="s">
        <v>2185</v>
      </c>
      <c r="H235" s="29">
        <v>0.5</v>
      </c>
      <c r="I235" s="26">
        <v>43483.50069444445</v>
      </c>
      <c r="J235" s="12" t="s">
        <v>1693</v>
      </c>
      <c r="L235" s="12" t="s">
        <v>1720</v>
      </c>
      <c r="M235" s="12" t="s">
        <v>2195</v>
      </c>
      <c r="O235" s="12" t="s">
        <v>1802</v>
      </c>
      <c r="P235" s="12" t="s">
        <v>1696</v>
      </c>
      <c r="Q235" s="12" t="s">
        <v>1696</v>
      </c>
      <c r="R235" s="12" t="s">
        <v>1696</v>
      </c>
      <c r="S235" s="12" t="s">
        <v>1696</v>
      </c>
      <c r="T235" s="12" t="s">
        <v>1696</v>
      </c>
      <c r="U235" s="12" t="s">
        <v>1696</v>
      </c>
      <c r="V235" s="12" t="s">
        <v>1696</v>
      </c>
      <c r="W235" s="12" t="s">
        <v>1696</v>
      </c>
      <c r="X235" s="12" t="s">
        <v>1696</v>
      </c>
      <c r="Y235" s="12" t="s">
        <v>1696</v>
      </c>
      <c r="Z235" s="12" t="s">
        <v>1696</v>
      </c>
      <c r="AA235" s="12" t="s">
        <v>1696</v>
      </c>
      <c r="AB235" s="12" t="s">
        <v>1696</v>
      </c>
      <c r="AE235" s="29">
        <v>0.45833333333575865</v>
      </c>
    </row>
    <row r="236">
      <c r="A236" s="26">
        <v>43483.510741157406</v>
      </c>
      <c r="B236" s="12" t="s">
        <v>2197</v>
      </c>
      <c r="C236" s="12" t="s">
        <v>2198</v>
      </c>
      <c r="D236" s="12" t="s">
        <v>1916</v>
      </c>
      <c r="E236" s="12" t="s">
        <v>1623</v>
      </c>
      <c r="F236" s="27">
        <v>43483.0</v>
      </c>
      <c r="G236" s="12" t="s">
        <v>2199</v>
      </c>
      <c r="H236" s="29">
        <v>0.5</v>
      </c>
      <c r="I236" s="26">
        <v>43483.70833333333</v>
      </c>
      <c r="J236" s="12" t="s">
        <v>1693</v>
      </c>
      <c r="K236" s="12">
        <v>2.0</v>
      </c>
      <c r="L236" s="12" t="s">
        <v>1720</v>
      </c>
      <c r="M236" s="12" t="s">
        <v>1879</v>
      </c>
      <c r="N236" s="12" t="s">
        <v>2200</v>
      </c>
      <c r="O236" s="12" t="s">
        <v>2201</v>
      </c>
      <c r="P236" s="12" t="s">
        <v>1696</v>
      </c>
      <c r="Q236" s="12" t="s">
        <v>1696</v>
      </c>
      <c r="R236" s="12" t="s">
        <v>1696</v>
      </c>
      <c r="S236" s="12" t="s">
        <v>1696</v>
      </c>
      <c r="T236" s="12" t="s">
        <v>1696</v>
      </c>
      <c r="U236" s="12" t="s">
        <v>1696</v>
      </c>
      <c r="V236" s="12" t="s">
        <v>1696</v>
      </c>
      <c r="W236" s="12" t="s">
        <v>1696</v>
      </c>
      <c r="X236" s="12" t="s">
        <v>1696</v>
      </c>
      <c r="Y236" s="12" t="s">
        <v>1696</v>
      </c>
      <c r="Z236" s="12" t="s">
        <v>1696</v>
      </c>
      <c r="AA236" s="12" t="s">
        <v>1696</v>
      </c>
      <c r="AB236" s="12" t="s">
        <v>1696</v>
      </c>
      <c r="AC236" s="12" t="s">
        <v>2202</v>
      </c>
      <c r="AD236" s="12" t="s">
        <v>2203</v>
      </c>
      <c r="AE236" s="29">
        <v>0.35416666666424135</v>
      </c>
    </row>
    <row r="237">
      <c r="A237" s="26">
        <v>43486.64180710648</v>
      </c>
      <c r="B237" s="12" t="s">
        <v>1726</v>
      </c>
      <c r="C237" s="12" t="s">
        <v>1727</v>
      </c>
      <c r="D237" s="12" t="s">
        <v>1728</v>
      </c>
      <c r="E237" s="12" t="s">
        <v>1683</v>
      </c>
      <c r="F237" s="27">
        <v>43487.0</v>
      </c>
      <c r="G237" s="12" t="s">
        <v>1984</v>
      </c>
      <c r="H237" s="29">
        <v>0.47222222221898846</v>
      </c>
      <c r="J237" s="12" t="s">
        <v>1730</v>
      </c>
      <c r="L237" s="12" t="s">
        <v>1626</v>
      </c>
      <c r="M237" s="12" t="s">
        <v>1785</v>
      </c>
      <c r="N237" s="12" t="s">
        <v>2088</v>
      </c>
      <c r="O237" s="12" t="s">
        <v>1735</v>
      </c>
      <c r="P237" s="12" t="s">
        <v>1696</v>
      </c>
      <c r="Q237" s="12" t="s">
        <v>1696</v>
      </c>
      <c r="R237" s="12" t="s">
        <v>1696</v>
      </c>
      <c r="S237" s="12" t="s">
        <v>1696</v>
      </c>
      <c r="T237" s="12" t="s">
        <v>1696</v>
      </c>
      <c r="U237" s="12" t="s">
        <v>1696</v>
      </c>
      <c r="V237" s="12" t="s">
        <v>1696</v>
      </c>
      <c r="W237" s="12" t="s">
        <v>1696</v>
      </c>
      <c r="X237" s="12" t="s">
        <v>1696</v>
      </c>
      <c r="Y237" s="12" t="s">
        <v>1696</v>
      </c>
      <c r="Z237" s="12" t="s">
        <v>1696</v>
      </c>
      <c r="AA237" s="12" t="s">
        <v>1696</v>
      </c>
      <c r="AB237" s="12" t="s">
        <v>1696</v>
      </c>
      <c r="AE237" s="29">
        <v>0.42708333333575865</v>
      </c>
    </row>
    <row r="238">
      <c r="A238" s="26">
        <v>43487.33102319445</v>
      </c>
      <c r="B238" s="12" t="s">
        <v>1717</v>
      </c>
      <c r="C238" s="12" t="s">
        <v>1449</v>
      </c>
      <c r="D238" s="12" t="s">
        <v>1916</v>
      </c>
      <c r="E238" s="12" t="s">
        <v>2162</v>
      </c>
      <c r="F238" s="27">
        <v>43487.0</v>
      </c>
      <c r="G238" s="12" t="s">
        <v>1792</v>
      </c>
      <c r="H238" s="29">
        <v>0.5416666666642413</v>
      </c>
      <c r="I238" s="26">
        <v>43487.5625</v>
      </c>
      <c r="J238" s="12" t="s">
        <v>1704</v>
      </c>
      <c r="L238" s="12" t="s">
        <v>1788</v>
      </c>
      <c r="M238" s="12" t="s">
        <v>2204</v>
      </c>
      <c r="O238" s="12" t="s">
        <v>2205</v>
      </c>
      <c r="P238" s="12" t="s">
        <v>1696</v>
      </c>
      <c r="Q238" s="12" t="s">
        <v>1696</v>
      </c>
      <c r="R238" s="12" t="s">
        <v>1696</v>
      </c>
      <c r="S238" s="12" t="s">
        <v>1696</v>
      </c>
      <c r="T238" s="12" t="s">
        <v>1696</v>
      </c>
      <c r="U238" s="12" t="s">
        <v>1696</v>
      </c>
      <c r="V238" s="12" t="s">
        <v>1696</v>
      </c>
      <c r="W238" s="12" t="s">
        <v>1696</v>
      </c>
      <c r="X238" s="12" t="s">
        <v>1696</v>
      </c>
      <c r="Y238" s="12" t="s">
        <v>1696</v>
      </c>
      <c r="Z238" s="12" t="s">
        <v>1696</v>
      </c>
      <c r="AA238" s="12" t="s">
        <v>1696</v>
      </c>
      <c r="AB238" s="12" t="s">
        <v>1696</v>
      </c>
      <c r="AE238" s="29">
        <v>0.34027777778101154</v>
      </c>
    </row>
    <row r="239">
      <c r="A239" s="26">
        <v>43488.36185114583</v>
      </c>
      <c r="B239" s="12" t="s">
        <v>2158</v>
      </c>
      <c r="C239" s="12" t="s">
        <v>1783</v>
      </c>
      <c r="D239" s="12" t="s">
        <v>1728</v>
      </c>
      <c r="E239" s="12" t="s">
        <v>1809</v>
      </c>
      <c r="F239" s="27">
        <v>43488.0</v>
      </c>
      <c r="G239" s="12" t="s">
        <v>2206</v>
      </c>
      <c r="H239" s="29">
        <v>0.1875</v>
      </c>
      <c r="J239" s="12" t="s">
        <v>1704</v>
      </c>
      <c r="L239" s="12" t="s">
        <v>1788</v>
      </c>
      <c r="M239" s="12" t="s">
        <v>2207</v>
      </c>
      <c r="N239" s="12" t="s">
        <v>2208</v>
      </c>
      <c r="O239" s="12" t="s">
        <v>1735</v>
      </c>
      <c r="P239" s="12" t="s">
        <v>1696</v>
      </c>
      <c r="Q239" s="12" t="s">
        <v>1696</v>
      </c>
      <c r="R239" s="12" t="s">
        <v>1696</v>
      </c>
      <c r="S239" s="12" t="s">
        <v>1696</v>
      </c>
      <c r="T239" s="12" t="s">
        <v>1696</v>
      </c>
      <c r="U239" s="12" t="s">
        <v>1696</v>
      </c>
      <c r="V239" s="12" t="s">
        <v>1696</v>
      </c>
      <c r="W239" s="12" t="s">
        <v>1696</v>
      </c>
      <c r="X239" s="12" t="s">
        <v>1696</v>
      </c>
      <c r="Y239" s="12" t="s">
        <v>1696</v>
      </c>
      <c r="Z239" s="12" t="s">
        <v>1696</v>
      </c>
      <c r="AA239" s="12" t="s">
        <v>1696</v>
      </c>
      <c r="AB239" s="12" t="s">
        <v>1696</v>
      </c>
      <c r="AE239" s="29">
        <v>0.375</v>
      </c>
    </row>
    <row r="240">
      <c r="A240" s="26">
        <v>43489.41586114583</v>
      </c>
      <c r="B240" s="12" t="s">
        <v>1699</v>
      </c>
      <c r="C240" s="12" t="s">
        <v>1966</v>
      </c>
      <c r="D240" s="12" t="s">
        <v>2209</v>
      </c>
      <c r="E240" s="12" t="s">
        <v>2038</v>
      </c>
      <c r="F240" s="27">
        <v>43489.0</v>
      </c>
      <c r="G240" s="12" t="s">
        <v>1819</v>
      </c>
      <c r="H240" s="29">
        <v>0.5208333333357587</v>
      </c>
      <c r="I240" s="26">
        <v>43489.5625</v>
      </c>
      <c r="J240" s="12" t="s">
        <v>1693</v>
      </c>
      <c r="L240" s="12" t="s">
        <v>1720</v>
      </c>
      <c r="M240" s="12" t="s">
        <v>2210</v>
      </c>
      <c r="O240" s="12" t="s">
        <v>1826</v>
      </c>
      <c r="P240" s="12" t="s">
        <v>1696</v>
      </c>
      <c r="Q240" s="12" t="s">
        <v>1696</v>
      </c>
      <c r="R240" s="12" t="s">
        <v>1696</v>
      </c>
      <c r="S240" s="12" t="s">
        <v>1696</v>
      </c>
      <c r="T240" s="12" t="s">
        <v>1696</v>
      </c>
      <c r="U240" s="12" t="s">
        <v>1696</v>
      </c>
      <c r="V240" s="12" t="s">
        <v>1696</v>
      </c>
      <c r="W240" s="12" t="s">
        <v>1696</v>
      </c>
      <c r="X240" s="12" t="s">
        <v>1696</v>
      </c>
      <c r="Y240" s="12" t="s">
        <v>1696</v>
      </c>
      <c r="Z240" s="12" t="s">
        <v>1696</v>
      </c>
      <c r="AA240" s="12" t="s">
        <v>1696</v>
      </c>
      <c r="AB240" s="12" t="s">
        <v>1696</v>
      </c>
      <c r="AE240" s="29">
        <v>0.42708333333575865</v>
      </c>
    </row>
    <row r="241">
      <c r="A241" s="26">
        <v>43496.29303943287</v>
      </c>
      <c r="B241" s="12" t="s">
        <v>1713</v>
      </c>
      <c r="C241" s="12" t="s">
        <v>1808</v>
      </c>
      <c r="D241" s="12" t="s">
        <v>1958</v>
      </c>
      <c r="E241" s="12" t="s">
        <v>2211</v>
      </c>
      <c r="F241" s="27">
        <v>43486.0</v>
      </c>
      <c r="G241" s="12" t="s">
        <v>2212</v>
      </c>
      <c r="H241" s="29">
        <v>0.625</v>
      </c>
      <c r="I241" s="26">
        <v>43496.70833333333</v>
      </c>
      <c r="J241" s="12" t="s">
        <v>1704</v>
      </c>
      <c r="L241" s="12" t="s">
        <v>1720</v>
      </c>
      <c r="M241" s="12" t="s">
        <v>1824</v>
      </c>
      <c r="N241" s="12" t="s">
        <v>2213</v>
      </c>
      <c r="O241" s="12" t="s">
        <v>1826</v>
      </c>
      <c r="P241" s="12" t="s">
        <v>1696</v>
      </c>
      <c r="Q241" s="12" t="s">
        <v>1696</v>
      </c>
      <c r="R241" s="12" t="s">
        <v>1696</v>
      </c>
      <c r="S241" s="12" t="s">
        <v>1696</v>
      </c>
      <c r="T241" s="12" t="s">
        <v>1696</v>
      </c>
      <c r="U241" s="12" t="s">
        <v>1696</v>
      </c>
      <c r="V241" s="12" t="s">
        <v>1696</v>
      </c>
      <c r="W241" s="12" t="s">
        <v>1696</v>
      </c>
      <c r="X241" s="12" t="s">
        <v>1696</v>
      </c>
      <c r="Y241" s="12" t="s">
        <v>1696</v>
      </c>
      <c r="Z241" s="12" t="s">
        <v>1696</v>
      </c>
      <c r="AA241" s="12" t="s">
        <v>1696</v>
      </c>
      <c r="AB241" s="12" t="s">
        <v>1696</v>
      </c>
      <c r="AE241" s="29">
        <v>0.41666666666424135</v>
      </c>
    </row>
    <row r="242">
      <c r="A242" s="26">
        <v>43496.342288113425</v>
      </c>
      <c r="B242" s="12" t="s">
        <v>1699</v>
      </c>
      <c r="C242" s="12" t="s">
        <v>1710</v>
      </c>
      <c r="D242" s="12" t="s">
        <v>1916</v>
      </c>
      <c r="E242" s="12" t="s">
        <v>1623</v>
      </c>
      <c r="F242" s="27">
        <v>43496.0</v>
      </c>
      <c r="G242" s="12" t="s">
        <v>2214</v>
      </c>
      <c r="H242" s="29">
        <v>0.5833333333357587</v>
      </c>
      <c r="I242" s="26">
        <v>43496.60416666667</v>
      </c>
      <c r="J242" s="12" t="s">
        <v>1704</v>
      </c>
      <c r="L242" s="12" t="s">
        <v>1720</v>
      </c>
      <c r="M242" s="12" t="s">
        <v>1706</v>
      </c>
      <c r="N242" s="12" t="s">
        <v>2168</v>
      </c>
      <c r="O242" s="12" t="s">
        <v>1708</v>
      </c>
      <c r="P242" s="12" t="s">
        <v>1696</v>
      </c>
      <c r="Q242" s="12" t="s">
        <v>1696</v>
      </c>
      <c r="R242" s="12" t="s">
        <v>1696</v>
      </c>
      <c r="S242" s="12" t="s">
        <v>1696</v>
      </c>
      <c r="T242" s="12" t="s">
        <v>1696</v>
      </c>
      <c r="U242" s="12" t="s">
        <v>1696</v>
      </c>
      <c r="V242" s="12" t="s">
        <v>1696</v>
      </c>
      <c r="W242" s="12" t="s">
        <v>1696</v>
      </c>
      <c r="X242" s="12" t="s">
        <v>1696</v>
      </c>
      <c r="Y242" s="12" t="s">
        <v>1696</v>
      </c>
      <c r="Z242" s="12" t="s">
        <v>1696</v>
      </c>
      <c r="AA242" s="12" t="s">
        <v>1696</v>
      </c>
      <c r="AB242" s="12" t="s">
        <v>1696</v>
      </c>
      <c r="AE242" s="29">
        <v>0.38541666666424135</v>
      </c>
    </row>
    <row r="243">
      <c r="A243" s="26">
        <v>43500.33126575232</v>
      </c>
      <c r="B243" s="12" t="s">
        <v>1726</v>
      </c>
      <c r="C243" s="12" t="s">
        <v>2215</v>
      </c>
      <c r="D243" s="12" t="s">
        <v>1728</v>
      </c>
      <c r="E243" s="12" t="s">
        <v>1683</v>
      </c>
      <c r="F243" s="27">
        <v>43500.0</v>
      </c>
      <c r="G243" s="12" t="s">
        <v>1984</v>
      </c>
      <c r="H243" s="29">
        <v>0.45138888889050577</v>
      </c>
      <c r="J243" s="12" t="s">
        <v>1730</v>
      </c>
      <c r="L243" s="12" t="s">
        <v>1626</v>
      </c>
      <c r="M243" s="12" t="s">
        <v>2170</v>
      </c>
      <c r="N243" s="12" t="s">
        <v>2216</v>
      </c>
      <c r="O243" s="12" t="s">
        <v>1735</v>
      </c>
      <c r="P243" s="12" t="s">
        <v>1696</v>
      </c>
      <c r="Q243" s="12" t="s">
        <v>1696</v>
      </c>
      <c r="R243" s="12" t="s">
        <v>1696</v>
      </c>
      <c r="S243" s="12" t="s">
        <v>1696</v>
      </c>
      <c r="T243" s="12" t="s">
        <v>1696</v>
      </c>
      <c r="U243" s="12" t="s">
        <v>1696</v>
      </c>
      <c r="V243" s="12" t="s">
        <v>1696</v>
      </c>
      <c r="W243" s="12" t="s">
        <v>1696</v>
      </c>
      <c r="X243" s="12" t="s">
        <v>1696</v>
      </c>
      <c r="Y243" s="12" t="s">
        <v>1696</v>
      </c>
      <c r="Z243" s="12" t="s">
        <v>1696</v>
      </c>
      <c r="AA243" s="12" t="s">
        <v>1696</v>
      </c>
      <c r="AB243" s="12" t="s">
        <v>1696</v>
      </c>
      <c r="AE243" s="29">
        <v>0.38541666666424135</v>
      </c>
    </row>
    <row r="244">
      <c r="A244" s="26">
        <v>43501.32507369213</v>
      </c>
      <c r="B244" s="12" t="s">
        <v>1717</v>
      </c>
      <c r="C244" s="12" t="s">
        <v>1718</v>
      </c>
      <c r="D244" s="12" t="s">
        <v>1916</v>
      </c>
      <c r="E244" s="12" t="s">
        <v>2162</v>
      </c>
      <c r="F244" s="27">
        <v>43501.0</v>
      </c>
      <c r="G244" s="12" t="s">
        <v>1856</v>
      </c>
      <c r="H244" s="29">
        <v>0.5625</v>
      </c>
      <c r="I244" s="26">
        <v>43501.57291666667</v>
      </c>
      <c r="J244" s="12" t="s">
        <v>1704</v>
      </c>
      <c r="L244" s="12" t="s">
        <v>1626</v>
      </c>
      <c r="M244" s="12" t="s">
        <v>2070</v>
      </c>
      <c r="N244" s="12" t="s">
        <v>2217</v>
      </c>
      <c r="O244" s="12" t="s">
        <v>2095</v>
      </c>
      <c r="P244" s="12" t="s">
        <v>1696</v>
      </c>
      <c r="Q244" s="12" t="s">
        <v>1696</v>
      </c>
      <c r="R244" s="12" t="s">
        <v>1696</v>
      </c>
      <c r="S244" s="12" t="s">
        <v>1696</v>
      </c>
      <c r="T244" s="12" t="s">
        <v>1696</v>
      </c>
      <c r="U244" s="12" t="s">
        <v>1696</v>
      </c>
      <c r="V244" s="12" t="s">
        <v>1696</v>
      </c>
      <c r="W244" s="12" t="s">
        <v>1696</v>
      </c>
      <c r="X244" s="12" t="s">
        <v>1696</v>
      </c>
      <c r="Y244" s="12" t="s">
        <v>1696</v>
      </c>
      <c r="Z244" s="12" t="s">
        <v>1696</v>
      </c>
      <c r="AA244" s="12" t="s">
        <v>1696</v>
      </c>
      <c r="AB244" s="12" t="s">
        <v>1696</v>
      </c>
      <c r="AE244" s="29">
        <v>0.35416666666424135</v>
      </c>
    </row>
    <row r="245">
      <c r="A245" s="26">
        <v>43507.384052615744</v>
      </c>
      <c r="B245" s="12" t="s">
        <v>1717</v>
      </c>
      <c r="C245" s="12" t="s">
        <v>1718</v>
      </c>
      <c r="D245" s="12" t="s">
        <v>1622</v>
      </c>
      <c r="E245" s="12" t="s">
        <v>2218</v>
      </c>
      <c r="F245" s="27">
        <v>43507.0</v>
      </c>
      <c r="G245" s="12" t="s">
        <v>2219</v>
      </c>
      <c r="H245" s="29">
        <v>0.5520833333357587</v>
      </c>
      <c r="I245" s="26">
        <v>43507.59375</v>
      </c>
      <c r="J245" s="12" t="s">
        <v>1693</v>
      </c>
      <c r="L245" s="12" t="s">
        <v>1788</v>
      </c>
      <c r="M245" s="12" t="s">
        <v>2070</v>
      </c>
      <c r="O245" s="12" t="s">
        <v>1756</v>
      </c>
      <c r="P245" s="12" t="s">
        <v>1696</v>
      </c>
      <c r="Q245" s="12" t="s">
        <v>1696</v>
      </c>
      <c r="R245" s="12" t="s">
        <v>1696</v>
      </c>
      <c r="S245" s="12" t="s">
        <v>1696</v>
      </c>
      <c r="T245" s="12" t="s">
        <v>1696</v>
      </c>
      <c r="U245" s="12" t="s">
        <v>1696</v>
      </c>
      <c r="V245" s="12" t="s">
        <v>1696</v>
      </c>
      <c r="W245" s="12" t="s">
        <v>1696</v>
      </c>
      <c r="X245" s="12" t="s">
        <v>1696</v>
      </c>
      <c r="Y245" s="12" t="s">
        <v>1696</v>
      </c>
      <c r="Z245" s="12" t="s">
        <v>1696</v>
      </c>
      <c r="AA245" s="12" t="s">
        <v>1696</v>
      </c>
      <c r="AB245" s="12" t="s">
        <v>1696</v>
      </c>
      <c r="AE245" s="29">
        <v>0.42708333333575865</v>
      </c>
    </row>
    <row r="246">
      <c r="A246" s="26">
        <v>43507.50286516204</v>
      </c>
      <c r="B246" s="12" t="s">
        <v>1726</v>
      </c>
      <c r="C246" s="12" t="s">
        <v>1727</v>
      </c>
      <c r="D246" s="12" t="s">
        <v>1728</v>
      </c>
      <c r="E246" s="12" t="s">
        <v>1809</v>
      </c>
      <c r="F246" s="27">
        <v>43508.0</v>
      </c>
      <c r="G246" s="12" t="s">
        <v>2220</v>
      </c>
      <c r="H246" s="29">
        <v>0.6666666666642413</v>
      </c>
      <c r="J246" s="12" t="s">
        <v>1704</v>
      </c>
      <c r="L246" s="12" t="s">
        <v>1720</v>
      </c>
      <c r="M246" s="12" t="s">
        <v>1785</v>
      </c>
      <c r="N246" s="12" t="s">
        <v>2221</v>
      </c>
      <c r="O246" s="12" t="s">
        <v>1735</v>
      </c>
      <c r="P246" s="12" t="s">
        <v>1696</v>
      </c>
      <c r="Q246" s="12" t="s">
        <v>1696</v>
      </c>
      <c r="R246" s="12" t="s">
        <v>1696</v>
      </c>
      <c r="S246" s="12" t="s">
        <v>1696</v>
      </c>
      <c r="T246" s="12" t="s">
        <v>1696</v>
      </c>
      <c r="U246" s="12" t="s">
        <v>1696</v>
      </c>
      <c r="V246" s="12" t="s">
        <v>1696</v>
      </c>
      <c r="W246" s="12" t="s">
        <v>1696</v>
      </c>
      <c r="X246" s="12" t="s">
        <v>1696</v>
      </c>
      <c r="Y246" s="12" t="s">
        <v>1696</v>
      </c>
      <c r="Z246" s="12" t="s">
        <v>1696</v>
      </c>
      <c r="AA246" s="12" t="s">
        <v>1696</v>
      </c>
      <c r="AB246" s="12" t="s">
        <v>1696</v>
      </c>
      <c r="AE246" s="29">
        <v>0.38541666666424135</v>
      </c>
    </row>
    <row r="247">
      <c r="A247" s="26">
        <v>43507.62437090278</v>
      </c>
      <c r="B247" s="12" t="s">
        <v>2222</v>
      </c>
      <c r="C247" s="12" t="s">
        <v>262</v>
      </c>
      <c r="D247" s="12" t="s">
        <v>1916</v>
      </c>
      <c r="E247" s="12" t="s">
        <v>1851</v>
      </c>
      <c r="F247" s="27">
        <v>43507.0</v>
      </c>
      <c r="G247" s="12" t="s">
        <v>1763</v>
      </c>
      <c r="H247" s="29">
        <v>0.6875</v>
      </c>
      <c r="I247" s="26">
        <v>43507.72916666667</v>
      </c>
      <c r="J247" s="12" t="s">
        <v>1704</v>
      </c>
      <c r="L247" s="12" t="s">
        <v>1720</v>
      </c>
      <c r="M247" s="12" t="s">
        <v>1706</v>
      </c>
      <c r="N247" s="12" t="s">
        <v>1670</v>
      </c>
      <c r="O247" s="12" t="s">
        <v>1708</v>
      </c>
      <c r="P247" s="12" t="s">
        <v>1696</v>
      </c>
      <c r="Q247" s="12" t="s">
        <v>1696</v>
      </c>
      <c r="R247" s="12" t="s">
        <v>1696</v>
      </c>
      <c r="S247" s="12" t="s">
        <v>1696</v>
      </c>
      <c r="T247" s="12" t="s">
        <v>1696</v>
      </c>
      <c r="U247" s="12" t="s">
        <v>1696</v>
      </c>
      <c r="V247" s="12" t="s">
        <v>1696</v>
      </c>
      <c r="W247" s="12" t="s">
        <v>1696</v>
      </c>
      <c r="X247" s="12" t="s">
        <v>1696</v>
      </c>
      <c r="Y247" s="12" t="s">
        <v>1696</v>
      </c>
      <c r="Z247" s="12" t="s">
        <v>1696</v>
      </c>
      <c r="AA247" s="12" t="s">
        <v>1696</v>
      </c>
      <c r="AB247" s="12" t="s">
        <v>1696</v>
      </c>
      <c r="AE247" s="29">
        <v>0.625</v>
      </c>
    </row>
    <row r="248">
      <c r="A248" s="26">
        <v>43508.30534337963</v>
      </c>
      <c r="B248" s="12" t="s">
        <v>1713</v>
      </c>
      <c r="C248" s="12" t="s">
        <v>1808</v>
      </c>
      <c r="D248" s="12" t="s">
        <v>1622</v>
      </c>
      <c r="E248" s="12" t="s">
        <v>2081</v>
      </c>
      <c r="F248" s="27">
        <v>43508.0</v>
      </c>
      <c r="G248" s="12" t="s">
        <v>2223</v>
      </c>
      <c r="H248" s="29">
        <v>0.5</v>
      </c>
      <c r="I248" s="26">
        <v>43508.54166666667</v>
      </c>
      <c r="J248" s="12" t="s">
        <v>1625</v>
      </c>
      <c r="L248" s="12" t="s">
        <v>1788</v>
      </c>
      <c r="M248" s="12" t="s">
        <v>2070</v>
      </c>
      <c r="O248" s="12" t="s">
        <v>2072</v>
      </c>
      <c r="P248" s="12" t="s">
        <v>1696</v>
      </c>
      <c r="Q248" s="12" t="s">
        <v>1696</v>
      </c>
      <c r="R248" s="12" t="s">
        <v>1696</v>
      </c>
      <c r="S248" s="12" t="s">
        <v>1696</v>
      </c>
      <c r="T248" s="12" t="s">
        <v>1696</v>
      </c>
      <c r="U248" s="12" t="s">
        <v>1696</v>
      </c>
      <c r="V248" s="12" t="s">
        <v>1696</v>
      </c>
      <c r="W248" s="12" t="s">
        <v>1696</v>
      </c>
      <c r="X248" s="12" t="s">
        <v>1696</v>
      </c>
      <c r="Y248" s="12" t="s">
        <v>1696</v>
      </c>
      <c r="Z248" s="12" t="s">
        <v>1696</v>
      </c>
      <c r="AA248" s="12" t="s">
        <v>1696</v>
      </c>
      <c r="AB248" s="12" t="s">
        <v>1696</v>
      </c>
      <c r="AE248" s="29">
        <v>0.32291666666424135</v>
      </c>
    </row>
    <row r="249">
      <c r="A249" s="26">
        <v>43509.367112430555</v>
      </c>
      <c r="B249" s="12" t="s">
        <v>1717</v>
      </c>
      <c r="C249" s="12" t="s">
        <v>1718</v>
      </c>
      <c r="D249" s="12" t="s">
        <v>1916</v>
      </c>
      <c r="E249" s="12" t="s">
        <v>2224</v>
      </c>
      <c r="F249" s="27">
        <v>43509.0</v>
      </c>
      <c r="G249" s="12" t="s">
        <v>2225</v>
      </c>
      <c r="H249" s="29">
        <v>0.625</v>
      </c>
      <c r="I249" s="26">
        <v>43509.65625</v>
      </c>
      <c r="J249" s="12" t="s">
        <v>1693</v>
      </c>
      <c r="L249" s="12" t="s">
        <v>1788</v>
      </c>
      <c r="M249" s="12" t="s">
        <v>2070</v>
      </c>
      <c r="O249" s="12" t="s">
        <v>2095</v>
      </c>
      <c r="P249" s="12" t="s">
        <v>1696</v>
      </c>
      <c r="Q249" s="12" t="s">
        <v>1696</v>
      </c>
      <c r="R249" s="12" t="s">
        <v>1696</v>
      </c>
      <c r="S249" s="12" t="s">
        <v>1696</v>
      </c>
      <c r="T249" s="12" t="s">
        <v>1696</v>
      </c>
      <c r="U249" s="12" t="s">
        <v>1696</v>
      </c>
      <c r="V249" s="12" t="s">
        <v>1696</v>
      </c>
      <c r="W249" s="12" t="s">
        <v>1696</v>
      </c>
      <c r="X249" s="12" t="s">
        <v>1696</v>
      </c>
      <c r="Y249" s="12" t="s">
        <v>1696</v>
      </c>
      <c r="Z249" s="12" t="s">
        <v>1696</v>
      </c>
      <c r="AA249" s="12" t="s">
        <v>1696</v>
      </c>
      <c r="AB249" s="12" t="s">
        <v>1696</v>
      </c>
      <c r="AE249" s="29">
        <v>0.40625</v>
      </c>
    </row>
    <row r="250">
      <c r="A250" s="26">
        <v>43510.369321875</v>
      </c>
      <c r="B250" s="12" t="s">
        <v>1717</v>
      </c>
      <c r="C250" s="12" t="s">
        <v>1718</v>
      </c>
      <c r="D250" s="12" t="s">
        <v>1916</v>
      </c>
      <c r="E250" s="12" t="s">
        <v>1836</v>
      </c>
      <c r="F250" s="27">
        <v>43510.0</v>
      </c>
      <c r="G250" s="12" t="s">
        <v>2226</v>
      </c>
      <c r="H250" s="29">
        <v>0.625</v>
      </c>
      <c r="I250" s="26">
        <v>43510.63541666667</v>
      </c>
      <c r="J250" s="12" t="s">
        <v>1693</v>
      </c>
      <c r="L250" s="12" t="s">
        <v>1720</v>
      </c>
      <c r="M250" s="12" t="s">
        <v>2070</v>
      </c>
      <c r="O250" s="12" t="s">
        <v>1756</v>
      </c>
      <c r="P250" s="12" t="s">
        <v>1696</v>
      </c>
      <c r="Q250" s="12" t="s">
        <v>1696</v>
      </c>
      <c r="R250" s="12" t="s">
        <v>1696</v>
      </c>
      <c r="S250" s="12" t="s">
        <v>1696</v>
      </c>
      <c r="T250" s="12" t="s">
        <v>1696</v>
      </c>
      <c r="U250" s="12" t="s">
        <v>1696</v>
      </c>
      <c r="V250" s="12" t="s">
        <v>1696</v>
      </c>
      <c r="W250" s="12" t="s">
        <v>1696</v>
      </c>
      <c r="X250" s="12" t="s">
        <v>1696</v>
      </c>
      <c r="Y250" s="12" t="s">
        <v>1696</v>
      </c>
      <c r="Z250" s="12" t="s">
        <v>1696</v>
      </c>
      <c r="AA250" s="12" t="s">
        <v>1696</v>
      </c>
      <c r="AB250" s="12" t="s">
        <v>1696</v>
      </c>
      <c r="AE250" s="29">
        <v>0.38541666666424135</v>
      </c>
    </row>
    <row r="251">
      <c r="A251" s="26">
        <v>43511.43028101852</v>
      </c>
      <c r="B251" s="12" t="s">
        <v>1717</v>
      </c>
      <c r="C251" s="12" t="s">
        <v>1718</v>
      </c>
      <c r="D251" s="12" t="s">
        <v>1958</v>
      </c>
      <c r="E251" s="12" t="s">
        <v>1623</v>
      </c>
      <c r="F251" s="27">
        <v>43511.0</v>
      </c>
      <c r="G251" s="12" t="s">
        <v>2227</v>
      </c>
      <c r="H251" s="29">
        <v>0.6458333333357587</v>
      </c>
      <c r="I251" s="26">
        <v>43511.65625</v>
      </c>
      <c r="J251" s="12" t="s">
        <v>1704</v>
      </c>
      <c r="L251" s="12" t="s">
        <v>1788</v>
      </c>
      <c r="M251" s="12" t="s">
        <v>2070</v>
      </c>
      <c r="N251" s="12" t="s">
        <v>2088</v>
      </c>
      <c r="O251" s="12" t="s">
        <v>2095</v>
      </c>
      <c r="P251" s="12" t="s">
        <v>1696</v>
      </c>
      <c r="Q251" s="12" t="s">
        <v>1696</v>
      </c>
      <c r="R251" s="12" t="s">
        <v>1696</v>
      </c>
      <c r="S251" s="12" t="s">
        <v>1696</v>
      </c>
      <c r="T251" s="12" t="s">
        <v>1696</v>
      </c>
      <c r="U251" s="12" t="s">
        <v>1696</v>
      </c>
      <c r="V251" s="12" t="s">
        <v>1696</v>
      </c>
      <c r="W251" s="12" t="s">
        <v>1696</v>
      </c>
      <c r="X251" s="12" t="s">
        <v>1696</v>
      </c>
      <c r="Y251" s="12" t="s">
        <v>1696</v>
      </c>
      <c r="Z251" s="12" t="s">
        <v>1696</v>
      </c>
      <c r="AA251" s="12" t="s">
        <v>1696</v>
      </c>
      <c r="AB251" s="12" t="s">
        <v>1696</v>
      </c>
      <c r="AE251" s="29">
        <v>0.44791666666424135</v>
      </c>
    </row>
    <row r="252">
      <c r="A252" s="26">
        <v>43514.42810430555</v>
      </c>
      <c r="B252" s="12" t="s">
        <v>1699</v>
      </c>
      <c r="C252" s="12" t="s">
        <v>1710</v>
      </c>
      <c r="D252" s="12" t="s">
        <v>1916</v>
      </c>
      <c r="E252" s="12" t="s">
        <v>1623</v>
      </c>
      <c r="F252" s="27">
        <v>43514.0</v>
      </c>
      <c r="G252" s="12" t="s">
        <v>2228</v>
      </c>
      <c r="H252" s="29">
        <v>0.7083333333357587</v>
      </c>
      <c r="I252" s="26">
        <v>43514.72916666667</v>
      </c>
      <c r="J252" s="12" t="s">
        <v>1704</v>
      </c>
      <c r="L252" s="12" t="s">
        <v>1788</v>
      </c>
      <c r="M252" s="12" t="s">
        <v>1706</v>
      </c>
      <c r="N252" s="12" t="s">
        <v>2229</v>
      </c>
      <c r="O252" s="12" t="s">
        <v>1708</v>
      </c>
      <c r="P252" s="12" t="s">
        <v>1696</v>
      </c>
      <c r="Q252" s="12" t="s">
        <v>1696</v>
      </c>
      <c r="R252" s="12" t="s">
        <v>1696</v>
      </c>
      <c r="S252" s="12" t="s">
        <v>1696</v>
      </c>
      <c r="T252" s="12" t="s">
        <v>1696</v>
      </c>
      <c r="U252" s="12" t="s">
        <v>1696</v>
      </c>
      <c r="V252" s="12" t="s">
        <v>1696</v>
      </c>
      <c r="W252" s="12" t="s">
        <v>1696</v>
      </c>
      <c r="X252" s="12" t="s">
        <v>1696</v>
      </c>
      <c r="Y252" s="12" t="s">
        <v>1696</v>
      </c>
      <c r="Z252" s="12" t="s">
        <v>1696</v>
      </c>
      <c r="AA252" s="12" t="s">
        <v>1696</v>
      </c>
      <c r="AB252" s="12" t="s">
        <v>1696</v>
      </c>
      <c r="AE252" s="29">
        <v>0.4375</v>
      </c>
    </row>
    <row r="253">
      <c r="A253" s="26">
        <v>43516.40135734953</v>
      </c>
      <c r="B253" s="12" t="s">
        <v>1717</v>
      </c>
      <c r="C253" s="12" t="s">
        <v>1718</v>
      </c>
      <c r="D253" s="12" t="s">
        <v>1916</v>
      </c>
      <c r="E253" s="12" t="s">
        <v>2162</v>
      </c>
      <c r="F253" s="27">
        <v>43516.0</v>
      </c>
      <c r="G253" s="12" t="s">
        <v>1792</v>
      </c>
      <c r="H253" s="29">
        <v>0.625</v>
      </c>
      <c r="I253" s="26">
        <v>43516.63541666667</v>
      </c>
      <c r="J253" s="12" t="s">
        <v>1704</v>
      </c>
      <c r="L253" s="12" t="s">
        <v>1720</v>
      </c>
      <c r="M253" s="12" t="s">
        <v>1918</v>
      </c>
      <c r="O253" s="12" t="s">
        <v>2132</v>
      </c>
      <c r="P253" s="12" t="s">
        <v>1696</v>
      </c>
      <c r="Q253" s="12" t="s">
        <v>1696</v>
      </c>
      <c r="R253" s="12" t="s">
        <v>1696</v>
      </c>
      <c r="S253" s="12" t="s">
        <v>1696</v>
      </c>
      <c r="T253" s="12" t="s">
        <v>1696</v>
      </c>
      <c r="U253" s="12" t="s">
        <v>1696</v>
      </c>
      <c r="V253" s="12" t="s">
        <v>1696</v>
      </c>
      <c r="W253" s="12" t="s">
        <v>1696</v>
      </c>
      <c r="X253" s="12" t="s">
        <v>1696</v>
      </c>
      <c r="Y253" s="12" t="s">
        <v>1696</v>
      </c>
      <c r="Z253" s="12" t="s">
        <v>1696</v>
      </c>
      <c r="AA253" s="12" t="s">
        <v>1696</v>
      </c>
      <c r="AB253" s="12" t="s">
        <v>1696</v>
      </c>
      <c r="AE253" s="29">
        <v>0.44791666666424135</v>
      </c>
    </row>
    <row r="254">
      <c r="A254" s="26">
        <v>43516.536198622685</v>
      </c>
      <c r="B254" s="12" t="s">
        <v>1699</v>
      </c>
      <c r="C254" s="12" t="s">
        <v>2230</v>
      </c>
      <c r="D254" s="12" t="s">
        <v>1916</v>
      </c>
      <c r="E254" s="12" t="s">
        <v>2231</v>
      </c>
      <c r="F254" s="27">
        <v>43516.0</v>
      </c>
      <c r="G254" s="12" t="s">
        <v>2232</v>
      </c>
      <c r="H254" s="29">
        <v>0.6666666666642413</v>
      </c>
      <c r="I254" s="26">
        <v>43516.6875</v>
      </c>
      <c r="J254" s="12" t="s">
        <v>1693</v>
      </c>
      <c r="L254" s="12" t="s">
        <v>1788</v>
      </c>
      <c r="M254" s="12" t="s">
        <v>1816</v>
      </c>
      <c r="N254" s="12" t="s">
        <v>2233</v>
      </c>
      <c r="O254" s="12" t="s">
        <v>1826</v>
      </c>
      <c r="P254" s="12" t="s">
        <v>1696</v>
      </c>
      <c r="Q254" s="12" t="s">
        <v>1696</v>
      </c>
      <c r="R254" s="12" t="s">
        <v>1696</v>
      </c>
      <c r="S254" s="12" t="s">
        <v>1696</v>
      </c>
      <c r="T254" s="12" t="s">
        <v>1696</v>
      </c>
      <c r="U254" s="12" t="s">
        <v>1696</v>
      </c>
      <c r="V254" s="12" t="s">
        <v>1696</v>
      </c>
      <c r="W254" s="12" t="s">
        <v>1696</v>
      </c>
      <c r="X254" s="12" t="s">
        <v>1696</v>
      </c>
      <c r="Y254" s="12" t="s">
        <v>1696</v>
      </c>
      <c r="Z254" s="12" t="s">
        <v>1696</v>
      </c>
      <c r="AA254" s="12" t="s">
        <v>1696</v>
      </c>
      <c r="AB254" s="12" t="s">
        <v>1696</v>
      </c>
      <c r="AE254" s="29">
        <v>0.5208333333357587</v>
      </c>
    </row>
    <row r="255">
      <c r="A255" s="26">
        <v>43516.577832627314</v>
      </c>
      <c r="B255" s="12" t="s">
        <v>2158</v>
      </c>
      <c r="C255" s="12" t="s">
        <v>1727</v>
      </c>
      <c r="D255" s="12" t="s">
        <v>1728</v>
      </c>
      <c r="E255" s="12" t="s">
        <v>1809</v>
      </c>
      <c r="F255" s="27">
        <v>43517.0</v>
      </c>
      <c r="G255" s="12" t="s">
        <v>2234</v>
      </c>
      <c r="H255" s="29">
        <v>0.5416666666642413</v>
      </c>
      <c r="J255" s="12" t="s">
        <v>1704</v>
      </c>
      <c r="L255" s="12" t="s">
        <v>1720</v>
      </c>
      <c r="M255" s="12" t="s">
        <v>1785</v>
      </c>
      <c r="N255" s="12" t="s">
        <v>2235</v>
      </c>
      <c r="O255" s="12" t="s">
        <v>1735</v>
      </c>
      <c r="P255" s="12" t="s">
        <v>1696</v>
      </c>
      <c r="Q255" s="12" t="s">
        <v>1696</v>
      </c>
      <c r="R255" s="12" t="s">
        <v>1696</v>
      </c>
      <c r="S255" s="12" t="s">
        <v>1696</v>
      </c>
      <c r="T255" s="12" t="s">
        <v>1696</v>
      </c>
      <c r="U255" s="12" t="s">
        <v>1696</v>
      </c>
      <c r="V255" s="12" t="s">
        <v>1696</v>
      </c>
      <c r="W255" s="12" t="s">
        <v>1696</v>
      </c>
      <c r="X255" s="12" t="s">
        <v>1696</v>
      </c>
      <c r="Y255" s="12" t="s">
        <v>1696</v>
      </c>
      <c r="Z255" s="12" t="s">
        <v>1696</v>
      </c>
      <c r="AA255" s="12" t="s">
        <v>1696</v>
      </c>
      <c r="AB255" s="12" t="s">
        <v>1696</v>
      </c>
      <c r="AE255" s="29">
        <v>0.35416666666424135</v>
      </c>
    </row>
    <row r="256">
      <c r="A256" s="26">
        <v>43518.520709108794</v>
      </c>
      <c r="B256" s="12" t="s">
        <v>1699</v>
      </c>
      <c r="C256" s="12" t="s">
        <v>262</v>
      </c>
      <c r="D256" s="12" t="s">
        <v>1916</v>
      </c>
      <c r="E256" s="12" t="s">
        <v>2236</v>
      </c>
      <c r="F256" s="27">
        <v>43518.0</v>
      </c>
      <c r="G256" s="12" t="s">
        <v>2237</v>
      </c>
      <c r="H256" s="29">
        <v>0.6666666666642413</v>
      </c>
      <c r="I256" s="26">
        <v>43518.6875</v>
      </c>
      <c r="J256" s="12" t="s">
        <v>1693</v>
      </c>
      <c r="L256" s="12" t="s">
        <v>1788</v>
      </c>
      <c r="M256" s="12" t="s">
        <v>1706</v>
      </c>
      <c r="N256" s="12" t="s">
        <v>2238</v>
      </c>
      <c r="O256" s="12" t="s">
        <v>1708</v>
      </c>
      <c r="P256" s="12" t="s">
        <v>1696</v>
      </c>
      <c r="Q256" s="12" t="s">
        <v>1696</v>
      </c>
      <c r="R256" s="12" t="s">
        <v>1696</v>
      </c>
      <c r="S256" s="12" t="s">
        <v>1696</v>
      </c>
      <c r="T256" s="12" t="s">
        <v>1696</v>
      </c>
      <c r="U256" s="12" t="s">
        <v>1696</v>
      </c>
      <c r="V256" s="12" t="s">
        <v>1696</v>
      </c>
      <c r="W256" s="12" t="s">
        <v>1696</v>
      </c>
      <c r="X256" s="12" t="s">
        <v>1696</v>
      </c>
      <c r="Y256" s="12" t="s">
        <v>1696</v>
      </c>
      <c r="Z256" s="12" t="s">
        <v>1696</v>
      </c>
      <c r="AA256" s="12" t="s">
        <v>1696</v>
      </c>
      <c r="AB256" s="12" t="s">
        <v>1696</v>
      </c>
      <c r="AE256" s="29">
        <v>0.5416666666642413</v>
      </c>
    </row>
    <row r="257">
      <c r="A257" s="26">
        <v>43523.30097172454</v>
      </c>
      <c r="B257" s="12" t="s">
        <v>1699</v>
      </c>
      <c r="C257" s="12" t="s">
        <v>1710</v>
      </c>
      <c r="D257" s="12" t="s">
        <v>1916</v>
      </c>
      <c r="E257" s="12" t="s">
        <v>2239</v>
      </c>
      <c r="F257" s="27">
        <v>43523.0</v>
      </c>
      <c r="G257" s="12" t="s">
        <v>2240</v>
      </c>
      <c r="H257" s="29">
        <v>0.47916666666424135</v>
      </c>
      <c r="I257" s="26">
        <v>43523.5</v>
      </c>
      <c r="J257" s="12" t="s">
        <v>1658</v>
      </c>
      <c r="L257" s="12" t="s">
        <v>1626</v>
      </c>
      <c r="M257" s="12" t="s">
        <v>1706</v>
      </c>
      <c r="N257" s="12" t="s">
        <v>2241</v>
      </c>
      <c r="O257" s="12" t="s">
        <v>1708</v>
      </c>
      <c r="P257" s="12" t="s">
        <v>1696</v>
      </c>
      <c r="Q257" s="12" t="s">
        <v>1696</v>
      </c>
      <c r="R257" s="12" t="s">
        <v>1696</v>
      </c>
      <c r="S257" s="12" t="s">
        <v>1696</v>
      </c>
      <c r="T257" s="12" t="s">
        <v>1696</v>
      </c>
      <c r="U257" s="12" t="s">
        <v>1696</v>
      </c>
      <c r="V257" s="12" t="s">
        <v>1696</v>
      </c>
      <c r="W257" s="12" t="s">
        <v>1696</v>
      </c>
      <c r="X257" s="12" t="s">
        <v>1696</v>
      </c>
      <c r="Y257" s="12" t="s">
        <v>1696</v>
      </c>
      <c r="Z257" s="12" t="s">
        <v>1696</v>
      </c>
      <c r="AA257" s="12" t="s">
        <v>1696</v>
      </c>
      <c r="AB257" s="12" t="s">
        <v>1696</v>
      </c>
      <c r="AE257" s="29">
        <v>0.35416666666424135</v>
      </c>
    </row>
    <row r="258">
      <c r="A258" s="26">
        <v>43523.665582118054</v>
      </c>
      <c r="B258" s="12" t="s">
        <v>1726</v>
      </c>
      <c r="C258" s="12" t="s">
        <v>1727</v>
      </c>
      <c r="D258" s="12" t="s">
        <v>1728</v>
      </c>
      <c r="E258" s="12" t="s">
        <v>1809</v>
      </c>
      <c r="F258" s="27">
        <v>43524.0</v>
      </c>
      <c r="G258" s="12" t="s">
        <v>2242</v>
      </c>
      <c r="H258" s="29">
        <v>0.5625</v>
      </c>
      <c r="J258" s="12" t="s">
        <v>1704</v>
      </c>
      <c r="L258" s="12" t="s">
        <v>1720</v>
      </c>
      <c r="M258" s="12" t="s">
        <v>1785</v>
      </c>
      <c r="N258" s="12" t="s">
        <v>2243</v>
      </c>
      <c r="O258" s="12" t="s">
        <v>1735</v>
      </c>
      <c r="P258" s="12" t="s">
        <v>1696</v>
      </c>
      <c r="Q258" s="12" t="s">
        <v>1696</v>
      </c>
      <c r="R258" s="12" t="s">
        <v>1696</v>
      </c>
      <c r="S258" s="12" t="s">
        <v>1696</v>
      </c>
      <c r="T258" s="12" t="s">
        <v>1696</v>
      </c>
      <c r="U258" s="12" t="s">
        <v>1696</v>
      </c>
      <c r="V258" s="12" t="s">
        <v>1696</v>
      </c>
      <c r="W258" s="12" t="s">
        <v>1696</v>
      </c>
      <c r="X258" s="12" t="s">
        <v>1696</v>
      </c>
      <c r="Y258" s="12" t="s">
        <v>1696</v>
      </c>
      <c r="Z258" s="12" t="s">
        <v>1696</v>
      </c>
      <c r="AA258" s="12" t="s">
        <v>1696</v>
      </c>
      <c r="AB258" s="12" t="s">
        <v>1696</v>
      </c>
      <c r="AE258" s="29">
        <v>0.35416666666424135</v>
      </c>
    </row>
    <row r="259">
      <c r="A259" s="26">
        <v>43524.36113023148</v>
      </c>
      <c r="B259" s="12" t="s">
        <v>1699</v>
      </c>
      <c r="C259" s="12" t="s">
        <v>262</v>
      </c>
      <c r="D259" s="12" t="s">
        <v>1916</v>
      </c>
      <c r="E259" s="12" t="s">
        <v>2244</v>
      </c>
      <c r="F259" s="27">
        <v>43524.0</v>
      </c>
      <c r="G259" s="12" t="s">
        <v>2245</v>
      </c>
      <c r="H259" s="29">
        <v>0.5625</v>
      </c>
      <c r="I259" s="26">
        <v>43524.60416666667</v>
      </c>
      <c r="J259" s="12" t="s">
        <v>1658</v>
      </c>
      <c r="L259" s="12" t="s">
        <v>1626</v>
      </c>
      <c r="M259" s="12" t="s">
        <v>1706</v>
      </c>
      <c r="N259" s="12" t="s">
        <v>2246</v>
      </c>
      <c r="O259" s="12" t="s">
        <v>1708</v>
      </c>
      <c r="P259" s="12" t="s">
        <v>1696</v>
      </c>
      <c r="Q259" s="12" t="s">
        <v>1696</v>
      </c>
      <c r="R259" s="12" t="s">
        <v>1696</v>
      </c>
      <c r="S259" s="12" t="s">
        <v>1696</v>
      </c>
      <c r="T259" s="12" t="s">
        <v>1696</v>
      </c>
      <c r="U259" s="12" t="s">
        <v>1696</v>
      </c>
      <c r="V259" s="12" t="s">
        <v>1696</v>
      </c>
      <c r="W259" s="12" t="s">
        <v>1696</v>
      </c>
      <c r="X259" s="12" t="s">
        <v>1696</v>
      </c>
      <c r="Y259" s="12" t="s">
        <v>1696</v>
      </c>
      <c r="Z259" s="12" t="s">
        <v>1696</v>
      </c>
      <c r="AA259" s="12" t="s">
        <v>1696</v>
      </c>
      <c r="AB259" s="12" t="s">
        <v>1696</v>
      </c>
      <c r="AE259" s="29">
        <v>0.375</v>
      </c>
    </row>
    <row r="260">
      <c r="A260" s="26">
        <v>43525.35219011574</v>
      </c>
      <c r="B260" s="12" t="s">
        <v>1699</v>
      </c>
      <c r="C260" s="12" t="s">
        <v>262</v>
      </c>
      <c r="D260" s="12" t="s">
        <v>1916</v>
      </c>
      <c r="E260" s="12" t="s">
        <v>1623</v>
      </c>
      <c r="F260" s="27">
        <v>43525.0</v>
      </c>
      <c r="G260" s="12" t="s">
        <v>2247</v>
      </c>
      <c r="H260" s="29">
        <v>0.6666666666642413</v>
      </c>
      <c r="I260" s="26">
        <v>43525.6875</v>
      </c>
      <c r="J260" s="12" t="s">
        <v>1658</v>
      </c>
      <c r="L260" s="12" t="s">
        <v>1626</v>
      </c>
      <c r="M260" s="12" t="s">
        <v>1706</v>
      </c>
      <c r="N260" s="12" t="s">
        <v>2168</v>
      </c>
      <c r="O260" s="12" t="s">
        <v>1708</v>
      </c>
      <c r="P260" s="12" t="s">
        <v>1696</v>
      </c>
      <c r="Q260" s="12" t="s">
        <v>1696</v>
      </c>
      <c r="R260" s="12" t="s">
        <v>1696</v>
      </c>
      <c r="S260" s="12" t="s">
        <v>1696</v>
      </c>
      <c r="T260" s="12" t="s">
        <v>1696</v>
      </c>
      <c r="U260" s="12" t="s">
        <v>1696</v>
      </c>
      <c r="V260" s="12" t="s">
        <v>1696</v>
      </c>
      <c r="W260" s="12" t="s">
        <v>1696</v>
      </c>
      <c r="X260" s="12" t="s">
        <v>1696</v>
      </c>
      <c r="Y260" s="12" t="s">
        <v>1696</v>
      </c>
      <c r="Z260" s="12" t="s">
        <v>1696</v>
      </c>
      <c r="AA260" s="12" t="s">
        <v>1696</v>
      </c>
      <c r="AB260" s="12" t="s">
        <v>1696</v>
      </c>
      <c r="AE260" s="29">
        <v>0.39583333333575865</v>
      </c>
    </row>
    <row r="261">
      <c r="A261" s="26">
        <v>43525.601432083335</v>
      </c>
      <c r="B261" s="12" t="s">
        <v>1744</v>
      </c>
      <c r="C261" s="12" t="s">
        <v>262</v>
      </c>
      <c r="D261" s="12" t="s">
        <v>1916</v>
      </c>
      <c r="E261" s="12" t="s">
        <v>2248</v>
      </c>
      <c r="F261" s="27">
        <v>43525.0</v>
      </c>
      <c r="G261" s="12" t="s">
        <v>2249</v>
      </c>
      <c r="H261" s="29">
        <v>0.7083333333357587</v>
      </c>
      <c r="I261" s="26">
        <v>43525.72916666667</v>
      </c>
      <c r="J261" s="12" t="s">
        <v>1658</v>
      </c>
      <c r="L261" s="12" t="s">
        <v>1626</v>
      </c>
      <c r="M261" s="12" t="s">
        <v>1706</v>
      </c>
      <c r="N261" s="12" t="s">
        <v>2250</v>
      </c>
      <c r="O261" s="12" t="s">
        <v>1708</v>
      </c>
      <c r="P261" s="12" t="s">
        <v>1696</v>
      </c>
      <c r="Q261" s="12" t="s">
        <v>1696</v>
      </c>
      <c r="R261" s="12" t="s">
        <v>1696</v>
      </c>
      <c r="S261" s="12" t="s">
        <v>1696</v>
      </c>
      <c r="T261" s="12" t="s">
        <v>1696</v>
      </c>
      <c r="U261" s="12" t="s">
        <v>1696</v>
      </c>
      <c r="V261" s="12" t="s">
        <v>1696</v>
      </c>
      <c r="W261" s="12" t="s">
        <v>1696</v>
      </c>
      <c r="X261" s="12" t="s">
        <v>1696</v>
      </c>
      <c r="Y261" s="12" t="s">
        <v>1696</v>
      </c>
      <c r="Z261" s="12" t="s">
        <v>1696</v>
      </c>
      <c r="AA261" s="12" t="s">
        <v>1696</v>
      </c>
      <c r="AB261" s="12" t="s">
        <v>1696</v>
      </c>
      <c r="AE261" s="29">
        <v>0.6458333333357587</v>
      </c>
    </row>
    <row r="262">
      <c r="A262" s="26">
        <v>43528.323434108795</v>
      </c>
      <c r="B262" s="12" t="s">
        <v>1735</v>
      </c>
      <c r="C262" s="12" t="s">
        <v>1783</v>
      </c>
      <c r="D262" s="12" t="s">
        <v>1728</v>
      </c>
      <c r="E262" s="12" t="s">
        <v>1683</v>
      </c>
      <c r="F262" s="27">
        <v>43528.0</v>
      </c>
      <c r="G262" s="12" t="s">
        <v>1984</v>
      </c>
      <c r="H262" s="29">
        <v>0.40625</v>
      </c>
      <c r="J262" s="12" t="s">
        <v>1730</v>
      </c>
      <c r="L262" s="12" t="s">
        <v>1626</v>
      </c>
      <c r="M262" s="12" t="s">
        <v>1785</v>
      </c>
      <c r="N262" s="12" t="s">
        <v>2008</v>
      </c>
      <c r="O262" s="12" t="s">
        <v>1735</v>
      </c>
      <c r="P262" s="12" t="s">
        <v>1696</v>
      </c>
      <c r="Q262" s="12" t="s">
        <v>1696</v>
      </c>
      <c r="R262" s="12" t="s">
        <v>1696</v>
      </c>
      <c r="S262" s="12" t="s">
        <v>1696</v>
      </c>
      <c r="T262" s="12" t="s">
        <v>1696</v>
      </c>
      <c r="U262" s="12" t="s">
        <v>1696</v>
      </c>
      <c r="V262" s="12" t="s">
        <v>1696</v>
      </c>
      <c r="W262" s="12" t="s">
        <v>1696</v>
      </c>
      <c r="X262" s="12" t="s">
        <v>1696</v>
      </c>
      <c r="Y262" s="12" t="s">
        <v>1696</v>
      </c>
      <c r="Z262" s="12" t="s">
        <v>1696</v>
      </c>
      <c r="AA262" s="12" t="s">
        <v>1696</v>
      </c>
      <c r="AB262" s="12" t="s">
        <v>1696</v>
      </c>
      <c r="AE262" s="29">
        <v>0.34375</v>
      </c>
    </row>
    <row r="263">
      <c r="A263" s="26">
        <v>43528.659959641205</v>
      </c>
      <c r="B263" s="12" t="s">
        <v>1717</v>
      </c>
      <c r="C263" s="12" t="s">
        <v>1718</v>
      </c>
      <c r="D263" s="12" t="s">
        <v>1916</v>
      </c>
      <c r="E263" s="12" t="s">
        <v>2162</v>
      </c>
      <c r="F263" s="27">
        <v>43528.0</v>
      </c>
      <c r="G263" s="12" t="s">
        <v>1847</v>
      </c>
      <c r="H263" s="29">
        <v>0.5729166666642413</v>
      </c>
      <c r="I263" s="26">
        <v>43528.58333333333</v>
      </c>
      <c r="J263" s="12" t="s">
        <v>1704</v>
      </c>
      <c r="L263" s="12" t="s">
        <v>1720</v>
      </c>
      <c r="M263" s="12" t="s">
        <v>1793</v>
      </c>
      <c r="N263" s="12" t="s">
        <v>2251</v>
      </c>
      <c r="O263" s="12" t="s">
        <v>2095</v>
      </c>
      <c r="P263" s="12" t="s">
        <v>1696</v>
      </c>
      <c r="Q263" s="12" t="s">
        <v>1696</v>
      </c>
      <c r="R263" s="12" t="s">
        <v>1696</v>
      </c>
      <c r="S263" s="12" t="s">
        <v>1696</v>
      </c>
      <c r="T263" s="12" t="s">
        <v>1696</v>
      </c>
      <c r="U263" s="12" t="s">
        <v>1696</v>
      </c>
      <c r="V263" s="12" t="s">
        <v>1696</v>
      </c>
      <c r="W263" s="12" t="s">
        <v>1696</v>
      </c>
      <c r="X263" s="12" t="s">
        <v>1696</v>
      </c>
      <c r="Y263" s="12" t="s">
        <v>1696</v>
      </c>
      <c r="Z263" s="12" t="s">
        <v>1696</v>
      </c>
      <c r="AA263" s="12" t="s">
        <v>1696</v>
      </c>
      <c r="AB263" s="12" t="s">
        <v>1696</v>
      </c>
      <c r="AE263" s="29">
        <v>0.32291666666424135</v>
      </c>
    </row>
    <row r="264">
      <c r="A264" s="26">
        <v>43535.441569884264</v>
      </c>
      <c r="B264" s="12" t="s">
        <v>1726</v>
      </c>
      <c r="C264" s="12" t="s">
        <v>1727</v>
      </c>
      <c r="D264" s="12" t="s">
        <v>1728</v>
      </c>
      <c r="E264" s="12" t="s">
        <v>1809</v>
      </c>
      <c r="F264" s="27">
        <v>43536.0</v>
      </c>
      <c r="G264" s="12" t="s">
        <v>2220</v>
      </c>
      <c r="H264" s="29">
        <v>0.6875</v>
      </c>
      <c r="J264" s="12" t="s">
        <v>1704</v>
      </c>
      <c r="L264" s="12" t="s">
        <v>1626</v>
      </c>
      <c r="M264" s="12" t="s">
        <v>1785</v>
      </c>
      <c r="N264" s="12" t="s">
        <v>2252</v>
      </c>
      <c r="O264" s="12" t="s">
        <v>1735</v>
      </c>
      <c r="P264" s="12" t="s">
        <v>1696</v>
      </c>
      <c r="Q264" s="12" t="s">
        <v>1696</v>
      </c>
      <c r="R264" s="12" t="s">
        <v>1696</v>
      </c>
      <c r="S264" s="12" t="s">
        <v>1696</v>
      </c>
      <c r="T264" s="12" t="s">
        <v>1696</v>
      </c>
      <c r="U264" s="12" t="s">
        <v>1696</v>
      </c>
      <c r="V264" s="12" t="s">
        <v>1696</v>
      </c>
      <c r="W264" s="12" t="s">
        <v>1696</v>
      </c>
      <c r="X264" s="12" t="s">
        <v>1696</v>
      </c>
      <c r="Y264" s="12" t="s">
        <v>1696</v>
      </c>
      <c r="Z264" s="12" t="s">
        <v>1696</v>
      </c>
      <c r="AA264" s="12" t="s">
        <v>1696</v>
      </c>
      <c r="AB264" s="12" t="s">
        <v>1696</v>
      </c>
      <c r="AE264" s="29">
        <v>0.38541666666424135</v>
      </c>
    </row>
    <row r="265">
      <c r="A265" s="26">
        <v>43536.71336869213</v>
      </c>
      <c r="B265" s="12" t="s">
        <v>1726</v>
      </c>
      <c r="C265" s="12" t="s">
        <v>1727</v>
      </c>
      <c r="D265" s="12" t="s">
        <v>1728</v>
      </c>
      <c r="E265" s="12" t="s">
        <v>1809</v>
      </c>
      <c r="F265" s="27">
        <v>43537.0</v>
      </c>
      <c r="G265" s="12" t="s">
        <v>2253</v>
      </c>
      <c r="H265" s="29">
        <v>0.6875</v>
      </c>
      <c r="J265" s="12" t="s">
        <v>1704</v>
      </c>
      <c r="L265" s="12" t="s">
        <v>1626</v>
      </c>
      <c r="M265" s="12" t="s">
        <v>1785</v>
      </c>
      <c r="N265" s="12" t="s">
        <v>2254</v>
      </c>
      <c r="O265" s="12" t="s">
        <v>1735</v>
      </c>
      <c r="P265" s="12" t="s">
        <v>1696</v>
      </c>
      <c r="Q265" s="12" t="s">
        <v>1696</v>
      </c>
      <c r="R265" s="12" t="s">
        <v>1696</v>
      </c>
      <c r="S265" s="12" t="s">
        <v>1696</v>
      </c>
      <c r="T265" s="12" t="s">
        <v>1696</v>
      </c>
      <c r="U265" s="12" t="s">
        <v>1696</v>
      </c>
      <c r="V265" s="12" t="s">
        <v>1696</v>
      </c>
      <c r="W265" s="12" t="s">
        <v>1696</v>
      </c>
      <c r="X265" s="12" t="s">
        <v>1696</v>
      </c>
      <c r="Y265" s="12" t="s">
        <v>1696</v>
      </c>
      <c r="Z265" s="12" t="s">
        <v>1696</v>
      </c>
      <c r="AA265" s="12" t="s">
        <v>1696</v>
      </c>
      <c r="AB265" s="12" t="s">
        <v>1696</v>
      </c>
      <c r="AE265" s="29">
        <v>0.38541666666424135</v>
      </c>
    </row>
    <row r="266">
      <c r="A266" s="26">
        <v>43537.74238465278</v>
      </c>
      <c r="B266" s="12" t="s">
        <v>1726</v>
      </c>
      <c r="C266" s="12" t="s">
        <v>1727</v>
      </c>
      <c r="D266" s="12" t="s">
        <v>1728</v>
      </c>
      <c r="E266" s="12" t="s">
        <v>2015</v>
      </c>
      <c r="F266" s="27">
        <v>43538.0</v>
      </c>
      <c r="G266" s="12" t="s">
        <v>2255</v>
      </c>
      <c r="H266" s="29">
        <v>0.5</v>
      </c>
      <c r="J266" s="12" t="s">
        <v>1704</v>
      </c>
      <c r="L266" s="12" t="s">
        <v>1626</v>
      </c>
      <c r="M266" s="12" t="s">
        <v>1785</v>
      </c>
      <c r="N266" s="12" t="s">
        <v>2256</v>
      </c>
      <c r="O266" s="12" t="s">
        <v>1735</v>
      </c>
      <c r="P266" s="12" t="s">
        <v>1696</v>
      </c>
      <c r="Q266" s="12" t="s">
        <v>1696</v>
      </c>
      <c r="R266" s="12" t="s">
        <v>1696</v>
      </c>
      <c r="S266" s="12" t="s">
        <v>1696</v>
      </c>
      <c r="T266" s="12" t="s">
        <v>1696</v>
      </c>
      <c r="U266" s="12" t="s">
        <v>1696</v>
      </c>
      <c r="V266" s="12" t="s">
        <v>1696</v>
      </c>
      <c r="W266" s="12" t="s">
        <v>1696</v>
      </c>
      <c r="X266" s="12" t="s">
        <v>1696</v>
      </c>
      <c r="Y266" s="12" t="s">
        <v>1696</v>
      </c>
      <c r="Z266" s="12" t="s">
        <v>1696</v>
      </c>
      <c r="AA266" s="12" t="s">
        <v>1696</v>
      </c>
      <c r="AB266" s="12" t="s">
        <v>1696</v>
      </c>
      <c r="AE266" s="29">
        <v>0.42708333333575865</v>
      </c>
    </row>
    <row r="267">
      <c r="A267" s="26">
        <v>43539.330928125</v>
      </c>
      <c r="B267" s="12" t="s">
        <v>1744</v>
      </c>
      <c r="C267" s="12" t="s">
        <v>1710</v>
      </c>
      <c r="D267" s="12" t="s">
        <v>1916</v>
      </c>
      <c r="E267" s="12" t="s">
        <v>1836</v>
      </c>
      <c r="F267" s="27">
        <v>43539.0</v>
      </c>
      <c r="G267" s="12" t="s">
        <v>2257</v>
      </c>
      <c r="H267" s="29">
        <v>0.625</v>
      </c>
      <c r="I267" s="26">
        <v>43539.64583333333</v>
      </c>
      <c r="J267" s="12" t="s">
        <v>1704</v>
      </c>
      <c r="L267" s="12" t="s">
        <v>1626</v>
      </c>
      <c r="M267" s="12" t="s">
        <v>1706</v>
      </c>
      <c r="N267" s="12" t="s">
        <v>2258</v>
      </c>
      <c r="O267" s="12" t="s">
        <v>1708</v>
      </c>
      <c r="P267" s="12" t="s">
        <v>1696</v>
      </c>
      <c r="Q267" s="12" t="s">
        <v>1696</v>
      </c>
      <c r="R267" s="12" t="s">
        <v>1696</v>
      </c>
      <c r="S267" s="12" t="s">
        <v>1696</v>
      </c>
      <c r="T267" s="12" t="s">
        <v>1696</v>
      </c>
      <c r="U267" s="12" t="s">
        <v>1696</v>
      </c>
      <c r="V267" s="12" t="s">
        <v>1696</v>
      </c>
      <c r="W267" s="12" t="s">
        <v>1696</v>
      </c>
      <c r="X267" s="12" t="s">
        <v>1696</v>
      </c>
      <c r="Y267" s="12" t="s">
        <v>1696</v>
      </c>
      <c r="Z267" s="12" t="s">
        <v>1696</v>
      </c>
      <c r="AA267" s="12" t="s">
        <v>1696</v>
      </c>
      <c r="AB267" s="12" t="s">
        <v>1696</v>
      </c>
      <c r="AE267" s="29">
        <v>0.35416666666424135</v>
      </c>
    </row>
    <row r="268">
      <c r="A268" s="26">
        <v>43543.30873454861</v>
      </c>
      <c r="B268" s="12" t="s">
        <v>1717</v>
      </c>
      <c r="C268" s="12" t="s">
        <v>1718</v>
      </c>
      <c r="D268" s="12" t="s">
        <v>1958</v>
      </c>
      <c r="E268" s="12" t="s">
        <v>2162</v>
      </c>
      <c r="F268" s="27">
        <v>43543.0</v>
      </c>
      <c r="G268" s="12" t="s">
        <v>1792</v>
      </c>
      <c r="H268" s="29">
        <v>0.5416666666642413</v>
      </c>
      <c r="I268" s="26">
        <v>43543.55208333333</v>
      </c>
      <c r="J268" s="12" t="s">
        <v>1658</v>
      </c>
      <c r="L268" s="12" t="s">
        <v>1720</v>
      </c>
      <c r="M268" s="12" t="s">
        <v>1781</v>
      </c>
      <c r="N268" s="12" t="s">
        <v>2259</v>
      </c>
      <c r="O268" s="12" t="s">
        <v>2095</v>
      </c>
      <c r="P268" s="12" t="s">
        <v>1696</v>
      </c>
      <c r="Q268" s="12" t="s">
        <v>1696</v>
      </c>
      <c r="R268" s="12" t="s">
        <v>1696</v>
      </c>
      <c r="S268" s="12" t="s">
        <v>1696</v>
      </c>
      <c r="T268" s="12" t="s">
        <v>1696</v>
      </c>
      <c r="U268" s="12" t="s">
        <v>1696</v>
      </c>
      <c r="V268" s="12" t="s">
        <v>1696</v>
      </c>
      <c r="W268" s="12" t="s">
        <v>1696</v>
      </c>
      <c r="X268" s="12" t="s">
        <v>1696</v>
      </c>
      <c r="Y268" s="12" t="s">
        <v>1696</v>
      </c>
      <c r="Z268" s="12" t="s">
        <v>1696</v>
      </c>
      <c r="AA268" s="12" t="s">
        <v>1696</v>
      </c>
      <c r="AB268" s="12" t="s">
        <v>1696</v>
      </c>
      <c r="AE268" s="29">
        <v>0.32291666666424135</v>
      </c>
    </row>
    <row r="269">
      <c r="A269" s="26">
        <v>43553.375526840275</v>
      </c>
      <c r="B269" s="12" t="s">
        <v>1744</v>
      </c>
      <c r="C269" s="12" t="s">
        <v>1710</v>
      </c>
      <c r="D269" s="12" t="s">
        <v>1916</v>
      </c>
      <c r="E269" s="12" t="s">
        <v>1926</v>
      </c>
      <c r="F269" s="27">
        <v>43553.0</v>
      </c>
      <c r="G269" s="12" t="s">
        <v>2260</v>
      </c>
      <c r="H269" s="29">
        <v>0.6666666666642413</v>
      </c>
      <c r="I269" s="26">
        <v>43553.69791666667</v>
      </c>
      <c r="J269" s="12" t="s">
        <v>1704</v>
      </c>
      <c r="L269" s="12" t="s">
        <v>1788</v>
      </c>
      <c r="M269" s="12" t="s">
        <v>1706</v>
      </c>
      <c r="N269" s="12" t="s">
        <v>2088</v>
      </c>
      <c r="O269" s="12" t="s">
        <v>1708</v>
      </c>
      <c r="P269" s="12" t="s">
        <v>1696</v>
      </c>
      <c r="Q269" s="12" t="s">
        <v>1696</v>
      </c>
      <c r="R269" s="12" t="s">
        <v>1696</v>
      </c>
      <c r="S269" s="12" t="s">
        <v>1696</v>
      </c>
      <c r="T269" s="12" t="s">
        <v>1696</v>
      </c>
      <c r="U269" s="12" t="s">
        <v>1696</v>
      </c>
      <c r="V269" s="12" t="s">
        <v>1696</v>
      </c>
      <c r="W269" s="12" t="s">
        <v>1696</v>
      </c>
      <c r="X269" s="12" t="s">
        <v>1696</v>
      </c>
      <c r="Y269" s="12" t="s">
        <v>1696</v>
      </c>
      <c r="Z269" s="12" t="s">
        <v>1696</v>
      </c>
      <c r="AA269" s="12" t="s">
        <v>1696</v>
      </c>
      <c r="AB269" s="12" t="s">
        <v>1696</v>
      </c>
      <c r="AE269" s="29">
        <v>0.41666666666424135</v>
      </c>
    </row>
    <row r="270">
      <c r="A270" s="26">
        <v>43555.42901400463</v>
      </c>
      <c r="B270" s="12" t="s">
        <v>1744</v>
      </c>
      <c r="C270" s="12" t="s">
        <v>262</v>
      </c>
      <c r="D270" s="12" t="s">
        <v>1916</v>
      </c>
      <c r="E270" s="12" t="s">
        <v>2261</v>
      </c>
      <c r="F270" s="27">
        <v>43555.0</v>
      </c>
      <c r="G270" s="12" t="s">
        <v>2262</v>
      </c>
      <c r="H270" s="29">
        <v>0.7083333333357587</v>
      </c>
      <c r="I270" s="26">
        <v>43555.71875</v>
      </c>
      <c r="J270" s="12" t="s">
        <v>1658</v>
      </c>
      <c r="L270" s="12" t="s">
        <v>1788</v>
      </c>
      <c r="M270" s="12" t="s">
        <v>2263</v>
      </c>
      <c r="N270" s="12" t="s">
        <v>2264</v>
      </c>
      <c r="O270" s="12" t="s">
        <v>1708</v>
      </c>
      <c r="P270" s="12" t="s">
        <v>1696</v>
      </c>
      <c r="Q270" s="12" t="s">
        <v>1696</v>
      </c>
      <c r="R270" s="12" t="s">
        <v>1696</v>
      </c>
      <c r="S270" s="12" t="s">
        <v>1696</v>
      </c>
      <c r="T270" s="12" t="s">
        <v>1696</v>
      </c>
      <c r="U270" s="12" t="s">
        <v>1696</v>
      </c>
      <c r="V270" s="12" t="s">
        <v>1696</v>
      </c>
      <c r="W270" s="12" t="s">
        <v>1696</v>
      </c>
      <c r="X270" s="12" t="s">
        <v>1696</v>
      </c>
      <c r="Y270" s="12" t="s">
        <v>1696</v>
      </c>
      <c r="Z270" s="12" t="s">
        <v>1696</v>
      </c>
      <c r="AA270" s="12" t="s">
        <v>1696</v>
      </c>
      <c r="AB270" s="12" t="s">
        <v>1696</v>
      </c>
      <c r="AE270" s="29">
        <v>0.42708333333575865</v>
      </c>
    </row>
    <row r="271">
      <c r="A271" s="26">
        <v>43556.41098934028</v>
      </c>
      <c r="B271" s="12" t="s">
        <v>1699</v>
      </c>
      <c r="C271" s="12" t="s">
        <v>1710</v>
      </c>
      <c r="D271" s="12" t="s">
        <v>1916</v>
      </c>
      <c r="E271" s="12" t="s">
        <v>1731</v>
      </c>
      <c r="F271" s="27">
        <v>43556.0</v>
      </c>
      <c r="G271" s="12" t="s">
        <v>2265</v>
      </c>
      <c r="H271" s="29">
        <v>0.6666666666642413</v>
      </c>
      <c r="I271" s="26">
        <v>43556.6875</v>
      </c>
      <c r="J271" s="12" t="s">
        <v>1658</v>
      </c>
      <c r="L271" s="12" t="s">
        <v>1788</v>
      </c>
      <c r="M271" s="12" t="s">
        <v>1706</v>
      </c>
      <c r="N271" s="12" t="s">
        <v>2266</v>
      </c>
      <c r="O271" s="12" t="s">
        <v>1708</v>
      </c>
      <c r="P271" s="12" t="s">
        <v>1696</v>
      </c>
      <c r="Q271" s="12" t="s">
        <v>1696</v>
      </c>
      <c r="R271" s="12" t="s">
        <v>1696</v>
      </c>
      <c r="S271" s="12" t="s">
        <v>1696</v>
      </c>
      <c r="T271" s="12" t="s">
        <v>1696</v>
      </c>
      <c r="U271" s="12" t="s">
        <v>1696</v>
      </c>
      <c r="V271" s="12" t="s">
        <v>1696</v>
      </c>
      <c r="W271" s="12" t="s">
        <v>1696</v>
      </c>
      <c r="X271" s="12" t="s">
        <v>1696</v>
      </c>
      <c r="Y271" s="12" t="s">
        <v>1696</v>
      </c>
      <c r="Z271" s="12" t="s">
        <v>1696</v>
      </c>
      <c r="AA271" s="12" t="s">
        <v>1696</v>
      </c>
      <c r="AB271" s="12" t="s">
        <v>1696</v>
      </c>
      <c r="AE271" s="29">
        <v>0.5</v>
      </c>
    </row>
    <row r="272">
      <c r="A272" s="26">
        <v>43556.74737189815</v>
      </c>
      <c r="B272" s="12" t="s">
        <v>1726</v>
      </c>
      <c r="C272" s="12" t="s">
        <v>1727</v>
      </c>
      <c r="D272" s="12" t="s">
        <v>1728</v>
      </c>
      <c r="E272" s="12" t="s">
        <v>1683</v>
      </c>
      <c r="F272" s="27">
        <v>43557.0</v>
      </c>
      <c r="G272" s="12" t="s">
        <v>1984</v>
      </c>
      <c r="H272" s="29">
        <v>0.4375</v>
      </c>
      <c r="J272" s="12" t="s">
        <v>1730</v>
      </c>
      <c r="L272" s="12" t="s">
        <v>1626</v>
      </c>
      <c r="M272" s="12" t="s">
        <v>1785</v>
      </c>
      <c r="N272" s="12" t="s">
        <v>2008</v>
      </c>
      <c r="O272" s="12" t="s">
        <v>1735</v>
      </c>
      <c r="P272" s="12" t="s">
        <v>1696</v>
      </c>
      <c r="Q272" s="12" t="s">
        <v>1696</v>
      </c>
      <c r="R272" s="12" t="s">
        <v>1696</v>
      </c>
      <c r="S272" s="12" t="s">
        <v>1696</v>
      </c>
      <c r="T272" s="12" t="s">
        <v>1696</v>
      </c>
      <c r="U272" s="12" t="s">
        <v>1696</v>
      </c>
      <c r="V272" s="12" t="s">
        <v>1696</v>
      </c>
      <c r="W272" s="12" t="s">
        <v>1696</v>
      </c>
      <c r="X272" s="12" t="s">
        <v>1696</v>
      </c>
      <c r="Y272" s="12" t="s">
        <v>1696</v>
      </c>
      <c r="Z272" s="12" t="s">
        <v>1696</v>
      </c>
      <c r="AA272" s="12" t="s">
        <v>1696</v>
      </c>
      <c r="AB272" s="12" t="s">
        <v>1696</v>
      </c>
      <c r="AE272" s="29">
        <v>0.375</v>
      </c>
    </row>
    <row r="273">
      <c r="A273" s="26">
        <v>43558.30487688657</v>
      </c>
      <c r="B273" s="12" t="s">
        <v>1717</v>
      </c>
      <c r="C273" s="12" t="s">
        <v>1718</v>
      </c>
      <c r="D273" s="12" t="s">
        <v>1916</v>
      </c>
      <c r="E273" s="12" t="s">
        <v>2162</v>
      </c>
      <c r="F273" s="27">
        <v>43558.0</v>
      </c>
      <c r="G273" s="12" t="s">
        <v>1792</v>
      </c>
      <c r="H273" s="29">
        <v>0.5208333333357587</v>
      </c>
      <c r="I273" s="26">
        <v>43558.54166666667</v>
      </c>
      <c r="J273" s="12" t="s">
        <v>1658</v>
      </c>
      <c r="L273" s="12" t="s">
        <v>1626</v>
      </c>
      <c r="M273" s="12" t="s">
        <v>1793</v>
      </c>
      <c r="N273" s="12" t="s">
        <v>1779</v>
      </c>
      <c r="O273" s="12" t="s">
        <v>2095</v>
      </c>
      <c r="P273" s="12" t="s">
        <v>1696</v>
      </c>
      <c r="Q273" s="12" t="s">
        <v>1696</v>
      </c>
      <c r="R273" s="12" t="s">
        <v>1696</v>
      </c>
      <c r="S273" s="12" t="s">
        <v>1696</v>
      </c>
      <c r="T273" s="12" t="s">
        <v>1696</v>
      </c>
      <c r="U273" s="12" t="s">
        <v>1696</v>
      </c>
      <c r="V273" s="12" t="s">
        <v>1696</v>
      </c>
      <c r="W273" s="12" t="s">
        <v>1696</v>
      </c>
      <c r="X273" s="12" t="s">
        <v>1696</v>
      </c>
      <c r="Y273" s="12" t="s">
        <v>1696</v>
      </c>
      <c r="Z273" s="12" t="s">
        <v>1696</v>
      </c>
      <c r="AA273" s="12" t="s">
        <v>1696</v>
      </c>
      <c r="AB273" s="12" t="s">
        <v>1696</v>
      </c>
      <c r="AE273" s="29">
        <v>0.3125</v>
      </c>
    </row>
    <row r="274">
      <c r="A274" s="26">
        <v>43563.27693378473</v>
      </c>
      <c r="B274" s="12" t="s">
        <v>1717</v>
      </c>
      <c r="C274" s="12" t="s">
        <v>1718</v>
      </c>
      <c r="D274" s="12" t="s">
        <v>1916</v>
      </c>
      <c r="E274" s="12" t="s">
        <v>1794</v>
      </c>
      <c r="F274" s="27">
        <v>43563.0</v>
      </c>
      <c r="G274" s="12" t="s">
        <v>2267</v>
      </c>
      <c r="H274" s="29">
        <v>0.5625</v>
      </c>
      <c r="I274" s="26">
        <v>43563.60416666667</v>
      </c>
      <c r="J274" s="12" t="s">
        <v>1796</v>
      </c>
      <c r="K274" s="12">
        <v>2.0</v>
      </c>
      <c r="L274" s="12" t="s">
        <v>1720</v>
      </c>
      <c r="M274" s="12" t="s">
        <v>2268</v>
      </c>
      <c r="O274" s="12" t="s">
        <v>2095</v>
      </c>
      <c r="P274" s="12" t="s">
        <v>1696</v>
      </c>
      <c r="Q274" s="12" t="s">
        <v>1696</v>
      </c>
      <c r="R274" s="12" t="s">
        <v>1696</v>
      </c>
      <c r="S274" s="12" t="s">
        <v>1696</v>
      </c>
      <c r="T274" s="12" t="s">
        <v>1696</v>
      </c>
      <c r="U274" s="12" t="s">
        <v>1696</v>
      </c>
      <c r="V274" s="12" t="s">
        <v>1696</v>
      </c>
      <c r="W274" s="12" t="s">
        <v>1696</v>
      </c>
      <c r="X274" s="12" t="s">
        <v>1696</v>
      </c>
      <c r="Y274" s="12" t="s">
        <v>1696</v>
      </c>
      <c r="Z274" s="12" t="s">
        <v>1696</v>
      </c>
      <c r="AA274" s="12" t="s">
        <v>1696</v>
      </c>
      <c r="AB274" s="12" t="s">
        <v>1696</v>
      </c>
      <c r="AE274" s="29">
        <v>0.35416666666424135</v>
      </c>
    </row>
    <row r="275">
      <c r="A275" s="26">
        <v>43563.67906284722</v>
      </c>
      <c r="B275" s="12" t="s">
        <v>1699</v>
      </c>
      <c r="C275" s="12" t="s">
        <v>1710</v>
      </c>
      <c r="D275" s="12" t="s">
        <v>1916</v>
      </c>
      <c r="E275" s="12" t="s">
        <v>1623</v>
      </c>
      <c r="F275" s="27">
        <v>43563.0</v>
      </c>
      <c r="G275" s="12" t="s">
        <v>2269</v>
      </c>
      <c r="H275" s="29">
        <v>0.8541666666642413</v>
      </c>
      <c r="I275" s="26">
        <v>43563.86458333333</v>
      </c>
      <c r="J275" s="12" t="s">
        <v>1658</v>
      </c>
      <c r="L275" s="12" t="s">
        <v>1720</v>
      </c>
      <c r="M275" s="12" t="s">
        <v>1706</v>
      </c>
      <c r="N275" s="12" t="s">
        <v>2168</v>
      </c>
      <c r="O275" s="12" t="s">
        <v>1708</v>
      </c>
      <c r="P275" s="12" t="s">
        <v>1696</v>
      </c>
      <c r="Q275" s="12" t="s">
        <v>1696</v>
      </c>
      <c r="R275" s="12" t="s">
        <v>1696</v>
      </c>
      <c r="S275" s="12" t="s">
        <v>1696</v>
      </c>
      <c r="T275" s="12" t="s">
        <v>1696</v>
      </c>
      <c r="U275" s="12" t="s">
        <v>1696</v>
      </c>
      <c r="V275" s="12" t="s">
        <v>1696</v>
      </c>
      <c r="W275" s="12" t="s">
        <v>1696</v>
      </c>
      <c r="X275" s="12" t="s">
        <v>1696</v>
      </c>
      <c r="Y275" s="12" t="s">
        <v>1696</v>
      </c>
      <c r="Z275" s="12" t="s">
        <v>1696</v>
      </c>
      <c r="AA275" s="12" t="s">
        <v>1696</v>
      </c>
      <c r="AB275" s="12" t="s">
        <v>1696</v>
      </c>
      <c r="AE275" s="29">
        <v>0.7291666666642413</v>
      </c>
    </row>
    <row r="276">
      <c r="A276" s="26">
        <v>43564.364159537035</v>
      </c>
      <c r="B276" s="12" t="s">
        <v>2158</v>
      </c>
      <c r="C276" s="12" t="s">
        <v>1727</v>
      </c>
      <c r="D276" s="12" t="s">
        <v>1728</v>
      </c>
      <c r="E276" s="12" t="s">
        <v>1836</v>
      </c>
      <c r="F276" s="27">
        <v>43564.0</v>
      </c>
      <c r="G276" s="12" t="s">
        <v>2220</v>
      </c>
      <c r="H276" s="29">
        <v>0.6666666666642413</v>
      </c>
      <c r="J276" s="12" t="s">
        <v>1704</v>
      </c>
      <c r="L276" s="12" t="s">
        <v>1626</v>
      </c>
      <c r="M276" s="12" t="s">
        <v>1785</v>
      </c>
      <c r="N276" s="12" t="s">
        <v>2270</v>
      </c>
      <c r="O276" s="12" t="s">
        <v>1735</v>
      </c>
      <c r="P276" s="12" t="s">
        <v>1696</v>
      </c>
      <c r="Q276" s="12" t="s">
        <v>1696</v>
      </c>
      <c r="R276" s="12" t="s">
        <v>1696</v>
      </c>
      <c r="S276" s="12" t="s">
        <v>1696</v>
      </c>
      <c r="T276" s="12" t="s">
        <v>1696</v>
      </c>
      <c r="U276" s="12" t="s">
        <v>1696</v>
      </c>
      <c r="V276" s="12" t="s">
        <v>1696</v>
      </c>
      <c r="W276" s="12" t="s">
        <v>1696</v>
      </c>
      <c r="X276" s="12" t="s">
        <v>1696</v>
      </c>
      <c r="Y276" s="12" t="s">
        <v>1696</v>
      </c>
      <c r="Z276" s="12" t="s">
        <v>1696</v>
      </c>
      <c r="AA276" s="12" t="s">
        <v>1696</v>
      </c>
      <c r="AB276" s="12" t="s">
        <v>1696</v>
      </c>
      <c r="AE276" s="29">
        <v>0.38888888889050577</v>
      </c>
    </row>
    <row r="277">
      <c r="A277" s="26">
        <v>43564.66817818287</v>
      </c>
      <c r="B277" s="12" t="s">
        <v>1735</v>
      </c>
      <c r="C277" s="12" t="s">
        <v>1727</v>
      </c>
      <c r="D277" s="12" t="s">
        <v>1728</v>
      </c>
      <c r="E277" s="12" t="s">
        <v>1809</v>
      </c>
      <c r="F277" s="27">
        <v>43565.0</v>
      </c>
      <c r="G277" s="12" t="s">
        <v>2271</v>
      </c>
      <c r="H277" s="29">
        <v>0.6666666666642413</v>
      </c>
      <c r="J277" s="12" t="s">
        <v>1704</v>
      </c>
      <c r="L277" s="12" t="s">
        <v>1626</v>
      </c>
      <c r="M277" s="12" t="s">
        <v>1785</v>
      </c>
      <c r="N277" s="12" t="s">
        <v>2272</v>
      </c>
      <c r="O277" s="12" t="s">
        <v>1735</v>
      </c>
      <c r="P277" s="12" t="s">
        <v>1696</v>
      </c>
      <c r="Q277" s="12" t="s">
        <v>1696</v>
      </c>
      <c r="R277" s="12" t="s">
        <v>1696</v>
      </c>
      <c r="S277" s="12" t="s">
        <v>1696</v>
      </c>
      <c r="T277" s="12" t="s">
        <v>1696</v>
      </c>
      <c r="U277" s="12" t="s">
        <v>1696</v>
      </c>
      <c r="V277" s="12" t="s">
        <v>1696</v>
      </c>
      <c r="W277" s="12" t="s">
        <v>1696</v>
      </c>
      <c r="X277" s="12" t="s">
        <v>1696</v>
      </c>
      <c r="Y277" s="12" t="s">
        <v>1696</v>
      </c>
      <c r="Z277" s="12" t="s">
        <v>1696</v>
      </c>
      <c r="AA277" s="12" t="s">
        <v>1696</v>
      </c>
      <c r="AB277" s="12" t="s">
        <v>1696</v>
      </c>
      <c r="AE277" s="29">
        <v>0.38888888889050577</v>
      </c>
    </row>
    <row r="278">
      <c r="A278" s="26">
        <v>43565.30659571759</v>
      </c>
      <c r="B278" s="12" t="s">
        <v>1717</v>
      </c>
      <c r="C278" s="12" t="s">
        <v>1718</v>
      </c>
      <c r="D278" s="12" t="s">
        <v>1916</v>
      </c>
      <c r="E278" s="12" t="s">
        <v>1757</v>
      </c>
      <c r="F278" s="27">
        <v>43565.0</v>
      </c>
      <c r="G278" s="12" t="s">
        <v>2273</v>
      </c>
      <c r="H278" s="29">
        <v>0.5625</v>
      </c>
      <c r="I278" s="26">
        <v>43565.625</v>
      </c>
      <c r="J278" s="12" t="s">
        <v>1658</v>
      </c>
      <c r="L278" s="12" t="s">
        <v>1720</v>
      </c>
      <c r="M278" s="12" t="s">
        <v>1918</v>
      </c>
      <c r="O278" s="12" t="s">
        <v>2274</v>
      </c>
      <c r="P278" s="12" t="s">
        <v>1696</v>
      </c>
      <c r="Q278" s="12" t="s">
        <v>1696</v>
      </c>
      <c r="R278" s="12" t="s">
        <v>1696</v>
      </c>
      <c r="S278" s="12" t="s">
        <v>1696</v>
      </c>
      <c r="T278" s="12" t="s">
        <v>1696</v>
      </c>
      <c r="U278" s="12" t="s">
        <v>1696</v>
      </c>
      <c r="V278" s="12" t="s">
        <v>1696</v>
      </c>
      <c r="W278" s="12" t="s">
        <v>1696</v>
      </c>
      <c r="X278" s="12" t="s">
        <v>1696</v>
      </c>
      <c r="Y278" s="12" t="s">
        <v>1696</v>
      </c>
      <c r="Z278" s="12" t="s">
        <v>1696</v>
      </c>
      <c r="AA278" s="12" t="s">
        <v>1696</v>
      </c>
      <c r="AB278" s="12" t="s">
        <v>1696</v>
      </c>
      <c r="AE278" s="29">
        <v>0.35416666666424135</v>
      </c>
    </row>
    <row r="279">
      <c r="A279" s="26">
        <v>43565.721065335645</v>
      </c>
      <c r="B279" s="12" t="s">
        <v>1735</v>
      </c>
      <c r="C279" s="12" t="s">
        <v>1727</v>
      </c>
      <c r="D279" s="12" t="s">
        <v>1728</v>
      </c>
      <c r="E279" s="12" t="s">
        <v>2015</v>
      </c>
      <c r="F279" s="27">
        <v>43566.0</v>
      </c>
      <c r="G279" s="12" t="s">
        <v>2275</v>
      </c>
      <c r="H279" s="29">
        <v>0.625</v>
      </c>
      <c r="J279" s="12" t="s">
        <v>1704</v>
      </c>
      <c r="L279" s="12" t="s">
        <v>1626</v>
      </c>
      <c r="M279" s="12" t="s">
        <v>1785</v>
      </c>
      <c r="N279" s="12" t="s">
        <v>2276</v>
      </c>
      <c r="O279" s="12" t="s">
        <v>1735</v>
      </c>
      <c r="P279" s="12" t="s">
        <v>1696</v>
      </c>
      <c r="Q279" s="12" t="s">
        <v>1696</v>
      </c>
      <c r="R279" s="12" t="s">
        <v>1696</v>
      </c>
      <c r="S279" s="12" t="s">
        <v>1696</v>
      </c>
      <c r="T279" s="12" t="s">
        <v>1696</v>
      </c>
      <c r="U279" s="12" t="s">
        <v>1696</v>
      </c>
      <c r="V279" s="12" t="s">
        <v>1696</v>
      </c>
      <c r="W279" s="12" t="s">
        <v>1696</v>
      </c>
      <c r="X279" s="12" t="s">
        <v>1696</v>
      </c>
      <c r="Y279" s="12" t="s">
        <v>1696</v>
      </c>
      <c r="Z279" s="12" t="s">
        <v>1696</v>
      </c>
      <c r="AA279" s="12" t="s">
        <v>1696</v>
      </c>
      <c r="AB279" s="12" t="s">
        <v>1696</v>
      </c>
      <c r="AE279" s="29">
        <v>0.41666666666424135</v>
      </c>
    </row>
    <row r="280">
      <c r="A280" s="26">
        <v>43565.72990515047</v>
      </c>
      <c r="B280" s="12" t="s">
        <v>1699</v>
      </c>
      <c r="C280" s="12" t="s">
        <v>1700</v>
      </c>
      <c r="D280" s="12" t="s">
        <v>1916</v>
      </c>
      <c r="E280" s="12" t="s">
        <v>1623</v>
      </c>
      <c r="F280" s="27">
        <v>43565.0</v>
      </c>
      <c r="G280" s="12" t="s">
        <v>2277</v>
      </c>
      <c r="H280" s="29">
        <v>0.875</v>
      </c>
      <c r="I280" s="26">
        <v>43565.89583333333</v>
      </c>
      <c r="J280" s="12" t="s">
        <v>1693</v>
      </c>
      <c r="L280" s="12" t="s">
        <v>1788</v>
      </c>
      <c r="M280" s="12" t="s">
        <v>1706</v>
      </c>
      <c r="N280" s="12" t="s">
        <v>2278</v>
      </c>
      <c r="O280" s="12" t="s">
        <v>1708</v>
      </c>
      <c r="P280" s="12" t="s">
        <v>1696</v>
      </c>
      <c r="Q280" s="12" t="s">
        <v>1696</v>
      </c>
      <c r="R280" s="12" t="s">
        <v>1696</v>
      </c>
      <c r="S280" s="12" t="s">
        <v>1696</v>
      </c>
      <c r="T280" s="12" t="s">
        <v>1696</v>
      </c>
      <c r="U280" s="12" t="s">
        <v>1696</v>
      </c>
      <c r="V280" s="12" t="s">
        <v>1696</v>
      </c>
      <c r="W280" s="12" t="s">
        <v>1696</v>
      </c>
      <c r="X280" s="12" t="s">
        <v>1696</v>
      </c>
      <c r="Y280" s="12" t="s">
        <v>1696</v>
      </c>
      <c r="Z280" s="12" t="s">
        <v>1696</v>
      </c>
      <c r="AA280" s="12" t="s">
        <v>1696</v>
      </c>
      <c r="AB280" s="12" t="s">
        <v>1696</v>
      </c>
      <c r="AE280" s="29">
        <v>0.75</v>
      </c>
    </row>
    <row r="281">
      <c r="A281" s="26">
        <v>43566.30049013889</v>
      </c>
      <c r="B281" s="12" t="s">
        <v>2095</v>
      </c>
      <c r="C281" s="12" t="s">
        <v>1718</v>
      </c>
      <c r="D281" s="12" t="s">
        <v>1916</v>
      </c>
      <c r="E281" s="12" t="s">
        <v>2279</v>
      </c>
      <c r="F281" s="27">
        <v>43566.0</v>
      </c>
      <c r="G281" s="12" t="s">
        <v>2280</v>
      </c>
      <c r="H281" s="29">
        <v>0.6041666666642413</v>
      </c>
      <c r="I281" s="26">
        <v>43566.618055555555</v>
      </c>
      <c r="J281" s="12" t="s">
        <v>1658</v>
      </c>
      <c r="L281" s="12" t="s">
        <v>1720</v>
      </c>
      <c r="M281" s="12" t="s">
        <v>1918</v>
      </c>
      <c r="N281" s="12" t="s">
        <v>2281</v>
      </c>
      <c r="O281" s="12" t="s">
        <v>2274</v>
      </c>
      <c r="P281" s="12" t="s">
        <v>1696</v>
      </c>
      <c r="Q281" s="12" t="s">
        <v>1696</v>
      </c>
      <c r="R281" s="12" t="s">
        <v>1696</v>
      </c>
      <c r="S281" s="12" t="s">
        <v>1696</v>
      </c>
      <c r="T281" s="12" t="s">
        <v>1696</v>
      </c>
      <c r="U281" s="12" t="s">
        <v>1696</v>
      </c>
      <c r="V281" s="12" t="s">
        <v>1696</v>
      </c>
      <c r="W281" s="12" t="s">
        <v>1696</v>
      </c>
      <c r="X281" s="12" t="s">
        <v>1696</v>
      </c>
      <c r="Y281" s="12" t="s">
        <v>1696</v>
      </c>
      <c r="Z281" s="12" t="s">
        <v>1696</v>
      </c>
      <c r="AA281" s="12" t="s">
        <v>1696</v>
      </c>
      <c r="AB281" s="12" t="s">
        <v>1696</v>
      </c>
      <c r="AE281" s="29">
        <v>0.33333333333575865</v>
      </c>
    </row>
    <row r="282">
      <c r="A282" s="26">
        <v>43566.31581847223</v>
      </c>
      <c r="B282" s="12" t="s">
        <v>1699</v>
      </c>
      <c r="C282" s="12" t="s">
        <v>1710</v>
      </c>
      <c r="D282" s="12" t="s">
        <v>1916</v>
      </c>
      <c r="E282" s="12" t="s">
        <v>1623</v>
      </c>
      <c r="F282" s="27">
        <v>43566.0</v>
      </c>
      <c r="G282" s="12" t="s">
        <v>1746</v>
      </c>
      <c r="H282" s="29">
        <v>0.39583333333575865</v>
      </c>
      <c r="I282" s="26">
        <v>43566.41666666667</v>
      </c>
      <c r="J282" s="12" t="s">
        <v>1693</v>
      </c>
      <c r="L282" s="12" t="s">
        <v>1788</v>
      </c>
      <c r="M282" s="12" t="s">
        <v>1706</v>
      </c>
      <c r="N282" s="12" t="s">
        <v>2168</v>
      </c>
      <c r="O282" s="12" t="s">
        <v>1708</v>
      </c>
      <c r="P282" s="12" t="s">
        <v>1696</v>
      </c>
      <c r="Q282" s="12" t="s">
        <v>1696</v>
      </c>
      <c r="R282" s="12" t="s">
        <v>1696</v>
      </c>
      <c r="S282" s="12" t="s">
        <v>1696</v>
      </c>
      <c r="T282" s="12" t="s">
        <v>1696</v>
      </c>
      <c r="U282" s="12" t="s">
        <v>1696</v>
      </c>
      <c r="V282" s="12" t="s">
        <v>1696</v>
      </c>
      <c r="W282" s="12" t="s">
        <v>1696</v>
      </c>
      <c r="X282" s="12" t="s">
        <v>1696</v>
      </c>
      <c r="Y282" s="12" t="s">
        <v>1696</v>
      </c>
      <c r="Z282" s="12" t="s">
        <v>1696</v>
      </c>
      <c r="AA282" s="12" t="s">
        <v>1696</v>
      </c>
      <c r="AB282" s="12" t="s">
        <v>1696</v>
      </c>
      <c r="AE282" s="29">
        <v>0.33333333333575865</v>
      </c>
    </row>
    <row r="283">
      <c r="A283" s="26">
        <v>43567.283217222226</v>
      </c>
      <c r="B283" s="12" t="s">
        <v>1717</v>
      </c>
      <c r="C283" s="12" t="s">
        <v>1718</v>
      </c>
      <c r="D283" s="12" t="s">
        <v>1916</v>
      </c>
      <c r="E283" s="12" t="s">
        <v>2282</v>
      </c>
      <c r="F283" s="27">
        <v>43567.0</v>
      </c>
      <c r="G283" s="12" t="s">
        <v>2283</v>
      </c>
      <c r="H283" s="29">
        <v>0.6041666666642413</v>
      </c>
      <c r="I283" s="26">
        <v>43567.625</v>
      </c>
      <c r="J283" s="12" t="s">
        <v>1658</v>
      </c>
      <c r="L283" s="12" t="s">
        <v>1720</v>
      </c>
      <c r="M283" s="12" t="s">
        <v>1918</v>
      </c>
      <c r="N283" s="12" t="s">
        <v>2284</v>
      </c>
      <c r="O283" s="12" t="s">
        <v>2274</v>
      </c>
      <c r="P283" s="12" t="s">
        <v>1696</v>
      </c>
      <c r="Q283" s="12" t="s">
        <v>1696</v>
      </c>
      <c r="R283" s="12" t="s">
        <v>1696</v>
      </c>
      <c r="S283" s="12" t="s">
        <v>1696</v>
      </c>
      <c r="T283" s="12" t="s">
        <v>1696</v>
      </c>
      <c r="U283" s="12" t="s">
        <v>1696</v>
      </c>
      <c r="V283" s="12" t="s">
        <v>1696</v>
      </c>
      <c r="W283" s="12" t="s">
        <v>1696</v>
      </c>
      <c r="X283" s="12" t="s">
        <v>1696</v>
      </c>
      <c r="Y283" s="12" t="s">
        <v>1696</v>
      </c>
      <c r="Z283" s="12" t="s">
        <v>1696</v>
      </c>
      <c r="AA283" s="12" t="s">
        <v>1696</v>
      </c>
      <c r="AB283" s="12" t="s">
        <v>1696</v>
      </c>
      <c r="AE283" s="29">
        <v>0.3125</v>
      </c>
    </row>
    <row r="284">
      <c r="A284" s="26">
        <v>43570.333977685186</v>
      </c>
      <c r="B284" s="12" t="s">
        <v>2095</v>
      </c>
      <c r="C284" s="12" t="s">
        <v>1718</v>
      </c>
      <c r="D284" s="12" t="s">
        <v>1622</v>
      </c>
      <c r="E284" s="12" t="s">
        <v>2285</v>
      </c>
      <c r="F284" s="27">
        <v>43570.0</v>
      </c>
      <c r="G284" s="12" t="s">
        <v>2286</v>
      </c>
      <c r="H284" s="29">
        <v>0.5625</v>
      </c>
      <c r="I284" s="26">
        <v>43570.58333333333</v>
      </c>
      <c r="J284" s="12" t="s">
        <v>1658</v>
      </c>
      <c r="L284" s="12" t="s">
        <v>1720</v>
      </c>
      <c r="M284" s="12" t="s">
        <v>1918</v>
      </c>
      <c r="N284" s="12" t="s">
        <v>1779</v>
      </c>
      <c r="O284" s="12" t="s">
        <v>2274</v>
      </c>
      <c r="P284" s="12" t="s">
        <v>1696</v>
      </c>
      <c r="Q284" s="12" t="s">
        <v>1696</v>
      </c>
      <c r="R284" s="12" t="s">
        <v>1696</v>
      </c>
      <c r="S284" s="12" t="s">
        <v>1696</v>
      </c>
      <c r="T284" s="12" t="s">
        <v>1696</v>
      </c>
      <c r="U284" s="12" t="s">
        <v>1696</v>
      </c>
      <c r="V284" s="12" t="s">
        <v>1696</v>
      </c>
      <c r="W284" s="12" t="s">
        <v>1696</v>
      </c>
      <c r="X284" s="12" t="s">
        <v>1696</v>
      </c>
      <c r="Y284" s="12" t="s">
        <v>1696</v>
      </c>
      <c r="Z284" s="12" t="s">
        <v>1696</v>
      </c>
      <c r="AA284" s="12" t="s">
        <v>1696</v>
      </c>
      <c r="AB284" s="12" t="s">
        <v>1696</v>
      </c>
      <c r="AE284" s="29">
        <v>0.35416666666424135</v>
      </c>
    </row>
    <row r="285">
      <c r="A285" s="26">
        <v>43572.606552743055</v>
      </c>
      <c r="B285" s="12" t="s">
        <v>1717</v>
      </c>
      <c r="C285" s="12" t="s">
        <v>1718</v>
      </c>
      <c r="D285" s="12" t="s">
        <v>1916</v>
      </c>
      <c r="E285" s="12" t="s">
        <v>2162</v>
      </c>
      <c r="F285" s="27">
        <v>43573.0</v>
      </c>
      <c r="G285" s="12" t="s">
        <v>1856</v>
      </c>
      <c r="H285" s="29">
        <v>0.5520833333357587</v>
      </c>
      <c r="I285" s="26">
        <v>43573.5625</v>
      </c>
      <c r="J285" s="12" t="s">
        <v>1658</v>
      </c>
      <c r="L285" s="12" t="s">
        <v>1626</v>
      </c>
      <c r="M285" s="12" t="s">
        <v>1781</v>
      </c>
      <c r="N285" s="12" t="s">
        <v>1779</v>
      </c>
      <c r="O285" s="12" t="s">
        <v>1756</v>
      </c>
      <c r="P285" s="12" t="s">
        <v>1696</v>
      </c>
      <c r="Q285" s="12" t="s">
        <v>1696</v>
      </c>
      <c r="R285" s="12" t="s">
        <v>1696</v>
      </c>
      <c r="S285" s="12" t="s">
        <v>1696</v>
      </c>
      <c r="T285" s="12" t="s">
        <v>1696</v>
      </c>
      <c r="U285" s="12" t="s">
        <v>1696</v>
      </c>
      <c r="V285" s="12" t="s">
        <v>1696</v>
      </c>
      <c r="W285" s="12" t="s">
        <v>1696</v>
      </c>
      <c r="X285" s="12" t="s">
        <v>1696</v>
      </c>
      <c r="Y285" s="12" t="s">
        <v>1696</v>
      </c>
      <c r="Z285" s="12" t="s">
        <v>1696</v>
      </c>
      <c r="AA285" s="12" t="s">
        <v>1696</v>
      </c>
      <c r="AB285" s="12" t="s">
        <v>1696</v>
      </c>
      <c r="AE285" s="29">
        <v>0.34375</v>
      </c>
    </row>
    <row r="286">
      <c r="A286" s="26">
        <v>43581.549160925926</v>
      </c>
      <c r="B286" s="12" t="s">
        <v>1699</v>
      </c>
      <c r="C286" s="12" t="s">
        <v>1710</v>
      </c>
      <c r="D286" s="12" t="s">
        <v>1916</v>
      </c>
      <c r="E286" s="12" t="s">
        <v>2248</v>
      </c>
      <c r="F286" s="27">
        <v>43581.0</v>
      </c>
      <c r="G286" s="12" t="s">
        <v>2287</v>
      </c>
      <c r="H286" s="29">
        <v>0.7291666666642413</v>
      </c>
      <c r="I286" s="26">
        <v>43581.75</v>
      </c>
      <c r="J286" s="12" t="s">
        <v>1658</v>
      </c>
      <c r="L286" s="12" t="s">
        <v>1788</v>
      </c>
      <c r="M286" s="12" t="s">
        <v>1706</v>
      </c>
      <c r="N286" s="12" t="s">
        <v>1817</v>
      </c>
      <c r="O286" s="12" t="s">
        <v>1708</v>
      </c>
      <c r="P286" s="12" t="s">
        <v>1696</v>
      </c>
      <c r="Q286" s="12" t="s">
        <v>1696</v>
      </c>
      <c r="R286" s="12" t="s">
        <v>1696</v>
      </c>
      <c r="S286" s="12" t="s">
        <v>1696</v>
      </c>
      <c r="T286" s="12" t="s">
        <v>1696</v>
      </c>
      <c r="U286" s="12" t="s">
        <v>1696</v>
      </c>
      <c r="V286" s="12" t="s">
        <v>1696</v>
      </c>
      <c r="W286" s="12" t="s">
        <v>1696</v>
      </c>
      <c r="X286" s="12" t="s">
        <v>1696</v>
      </c>
      <c r="Y286" s="12" t="s">
        <v>1696</v>
      </c>
      <c r="Z286" s="12" t="s">
        <v>1696</v>
      </c>
      <c r="AA286" s="12" t="s">
        <v>1696</v>
      </c>
      <c r="AB286" s="12" t="s">
        <v>1696</v>
      </c>
      <c r="AE286" s="29">
        <v>0.5833333333357587</v>
      </c>
    </row>
    <row r="287">
      <c r="A287" s="26">
        <v>43585.37313579861</v>
      </c>
      <c r="B287" s="12" t="s">
        <v>1717</v>
      </c>
      <c r="D287" s="12" t="s">
        <v>1916</v>
      </c>
      <c r="E287" s="12" t="s">
        <v>2162</v>
      </c>
      <c r="F287" s="27">
        <v>43586.0</v>
      </c>
      <c r="G287" s="12" t="s">
        <v>1792</v>
      </c>
      <c r="H287" s="29">
        <v>0.5104166666642413</v>
      </c>
      <c r="I287" s="26">
        <v>43586.52083333333</v>
      </c>
      <c r="J287" s="12" t="s">
        <v>1693</v>
      </c>
      <c r="L287" s="12" t="s">
        <v>1720</v>
      </c>
      <c r="M287" s="12" t="s">
        <v>1793</v>
      </c>
      <c r="N287" s="12" t="s">
        <v>2288</v>
      </c>
      <c r="O287" s="12" t="s">
        <v>2289</v>
      </c>
      <c r="P287" s="12" t="s">
        <v>1696</v>
      </c>
      <c r="Q287" s="12" t="s">
        <v>1696</v>
      </c>
      <c r="R287" s="12" t="s">
        <v>1696</v>
      </c>
      <c r="S287" s="12" t="s">
        <v>1696</v>
      </c>
      <c r="T287" s="12" t="s">
        <v>1696</v>
      </c>
      <c r="U287" s="12" t="s">
        <v>1696</v>
      </c>
      <c r="V287" s="12" t="s">
        <v>1696</v>
      </c>
      <c r="W287" s="12" t="s">
        <v>1696</v>
      </c>
      <c r="X287" s="12" t="s">
        <v>1696</v>
      </c>
      <c r="Y287" s="12" t="s">
        <v>1696</v>
      </c>
      <c r="Z287" s="12" t="s">
        <v>1696</v>
      </c>
      <c r="AA287" s="12" t="s">
        <v>1696</v>
      </c>
      <c r="AB287" s="12" t="s">
        <v>1696</v>
      </c>
      <c r="AE287" s="29">
        <v>0.30208333333575865</v>
      </c>
    </row>
    <row r="288">
      <c r="A288" s="26">
        <v>43586.36768940972</v>
      </c>
      <c r="B288" s="12" t="s">
        <v>1699</v>
      </c>
      <c r="C288" s="12" t="s">
        <v>1710</v>
      </c>
      <c r="D288" s="12" t="s">
        <v>1916</v>
      </c>
      <c r="E288" s="12" t="s">
        <v>1809</v>
      </c>
      <c r="F288" s="27">
        <v>43586.0</v>
      </c>
      <c r="G288" s="12" t="s">
        <v>2290</v>
      </c>
      <c r="H288" s="29">
        <v>0.6875</v>
      </c>
      <c r="I288" s="26">
        <v>43586.70833333333</v>
      </c>
      <c r="J288" s="12" t="s">
        <v>1658</v>
      </c>
      <c r="L288" s="12" t="s">
        <v>1788</v>
      </c>
      <c r="M288" s="12" t="s">
        <v>1706</v>
      </c>
      <c r="N288" s="12" t="s">
        <v>2291</v>
      </c>
      <c r="O288" s="12" t="s">
        <v>1708</v>
      </c>
      <c r="P288" s="12" t="s">
        <v>1696</v>
      </c>
      <c r="Q288" s="12" t="s">
        <v>1696</v>
      </c>
      <c r="R288" s="12" t="s">
        <v>1696</v>
      </c>
      <c r="S288" s="12" t="s">
        <v>1696</v>
      </c>
      <c r="T288" s="12" t="s">
        <v>1696</v>
      </c>
      <c r="U288" s="12" t="s">
        <v>1696</v>
      </c>
      <c r="V288" s="12" t="s">
        <v>1696</v>
      </c>
      <c r="W288" s="12" t="s">
        <v>1696</v>
      </c>
      <c r="X288" s="12" t="s">
        <v>1696</v>
      </c>
      <c r="Y288" s="12" t="s">
        <v>1696</v>
      </c>
      <c r="Z288" s="12" t="s">
        <v>1696</v>
      </c>
      <c r="AA288" s="12" t="s">
        <v>1696</v>
      </c>
      <c r="AB288" s="12" t="s">
        <v>1696</v>
      </c>
      <c r="AE288" s="29">
        <v>0.45833333333575865</v>
      </c>
    </row>
    <row r="289">
      <c r="A289" s="26">
        <v>43586.67928586806</v>
      </c>
      <c r="B289" s="12" t="s">
        <v>1726</v>
      </c>
      <c r="C289" s="12" t="s">
        <v>1727</v>
      </c>
      <c r="D289" s="12" t="s">
        <v>1728</v>
      </c>
      <c r="E289" s="12" t="s">
        <v>1683</v>
      </c>
      <c r="F289" s="27">
        <v>43587.0</v>
      </c>
      <c r="G289" s="12" t="s">
        <v>1984</v>
      </c>
      <c r="H289" s="29">
        <v>0.4375</v>
      </c>
      <c r="J289" s="12" t="s">
        <v>1730</v>
      </c>
      <c r="L289" s="12" t="s">
        <v>1626</v>
      </c>
      <c r="M289" s="12" t="s">
        <v>1785</v>
      </c>
      <c r="N289" s="12" t="s">
        <v>2088</v>
      </c>
      <c r="O289" s="12" t="s">
        <v>1735</v>
      </c>
      <c r="P289" s="12" t="s">
        <v>1696</v>
      </c>
      <c r="Q289" s="12" t="s">
        <v>1696</v>
      </c>
      <c r="R289" s="12" t="s">
        <v>1696</v>
      </c>
      <c r="S289" s="12" t="s">
        <v>1696</v>
      </c>
      <c r="T289" s="12" t="s">
        <v>1696</v>
      </c>
      <c r="U289" s="12" t="s">
        <v>1696</v>
      </c>
      <c r="V289" s="12" t="s">
        <v>1696</v>
      </c>
      <c r="W289" s="12" t="s">
        <v>1696</v>
      </c>
      <c r="X289" s="12" t="s">
        <v>1696</v>
      </c>
      <c r="Y289" s="12" t="s">
        <v>1696</v>
      </c>
      <c r="Z289" s="12" t="s">
        <v>1696</v>
      </c>
      <c r="AA289" s="12" t="s">
        <v>1696</v>
      </c>
      <c r="AB289" s="12" t="s">
        <v>1696</v>
      </c>
      <c r="AE289" s="29">
        <v>0.35416666666424135</v>
      </c>
    </row>
    <row r="290">
      <c r="A290" s="26">
        <v>43587.39818188657</v>
      </c>
      <c r="B290" s="12" t="s">
        <v>1699</v>
      </c>
      <c r="C290" s="12" t="s">
        <v>1710</v>
      </c>
      <c r="D290" s="12" t="s">
        <v>1916</v>
      </c>
      <c r="E290" s="12" t="s">
        <v>1623</v>
      </c>
      <c r="F290" s="27">
        <v>43587.0</v>
      </c>
      <c r="G290" s="12" t="s">
        <v>2292</v>
      </c>
      <c r="H290" s="29">
        <v>0.6666666666642413</v>
      </c>
      <c r="I290" s="26">
        <v>43587.6875</v>
      </c>
      <c r="J290" s="12" t="s">
        <v>1658</v>
      </c>
      <c r="L290" s="12" t="s">
        <v>1788</v>
      </c>
      <c r="M290" s="12" t="s">
        <v>1706</v>
      </c>
      <c r="N290" s="12" t="s">
        <v>2168</v>
      </c>
      <c r="O290" s="12" t="s">
        <v>1708</v>
      </c>
      <c r="P290" s="12" t="s">
        <v>1696</v>
      </c>
      <c r="Q290" s="12" t="s">
        <v>1696</v>
      </c>
      <c r="R290" s="12" t="s">
        <v>1696</v>
      </c>
      <c r="S290" s="12" t="s">
        <v>1696</v>
      </c>
      <c r="T290" s="12" t="s">
        <v>1696</v>
      </c>
      <c r="U290" s="12" t="s">
        <v>1696</v>
      </c>
      <c r="V290" s="12" t="s">
        <v>1696</v>
      </c>
      <c r="W290" s="12" t="s">
        <v>1696</v>
      </c>
      <c r="X290" s="12" t="s">
        <v>1696</v>
      </c>
      <c r="Y290" s="12" t="s">
        <v>1696</v>
      </c>
      <c r="Z290" s="12" t="s">
        <v>1696</v>
      </c>
      <c r="AA290" s="12" t="s">
        <v>1696</v>
      </c>
      <c r="AB290" s="12" t="s">
        <v>1696</v>
      </c>
      <c r="AE290" s="29">
        <v>0.47916666666424135</v>
      </c>
    </row>
    <row r="291">
      <c r="A291" s="26">
        <v>43591.59816425926</v>
      </c>
      <c r="B291" s="12" t="s">
        <v>1699</v>
      </c>
      <c r="C291" s="12" t="s">
        <v>1710</v>
      </c>
      <c r="D291" s="12" t="s">
        <v>1916</v>
      </c>
      <c r="E291" s="12" t="s">
        <v>1731</v>
      </c>
      <c r="F291" s="27">
        <v>43591.0</v>
      </c>
      <c r="G291" s="12" t="s">
        <v>2228</v>
      </c>
      <c r="H291" s="29">
        <v>0.8125</v>
      </c>
      <c r="I291" s="26">
        <v>43591.83333333333</v>
      </c>
      <c r="J291" s="12" t="s">
        <v>1658</v>
      </c>
      <c r="L291" s="12" t="s">
        <v>1626</v>
      </c>
      <c r="M291" s="12" t="s">
        <v>1706</v>
      </c>
      <c r="N291" s="12" t="s">
        <v>2266</v>
      </c>
      <c r="O291" s="12" t="s">
        <v>1708</v>
      </c>
      <c r="P291" s="12" t="s">
        <v>1696</v>
      </c>
      <c r="Q291" s="12" t="s">
        <v>1696</v>
      </c>
      <c r="R291" s="12" t="s">
        <v>1696</v>
      </c>
      <c r="S291" s="12" t="s">
        <v>1696</v>
      </c>
      <c r="T291" s="12" t="s">
        <v>1696</v>
      </c>
      <c r="U291" s="12" t="s">
        <v>1696</v>
      </c>
      <c r="V291" s="12" t="s">
        <v>1696</v>
      </c>
      <c r="W291" s="12" t="s">
        <v>1696</v>
      </c>
      <c r="X291" s="12" t="s">
        <v>1696</v>
      </c>
      <c r="Y291" s="12" t="s">
        <v>1696</v>
      </c>
      <c r="Z291" s="12" t="s">
        <v>1696</v>
      </c>
      <c r="AA291" s="12" t="s">
        <v>1696</v>
      </c>
      <c r="AB291" s="12" t="s">
        <v>1696</v>
      </c>
      <c r="AE291" s="29">
        <v>0.6145833333357587</v>
      </c>
    </row>
    <row r="292">
      <c r="A292" s="26">
        <v>43592.26221043982</v>
      </c>
      <c r="B292" s="12" t="s">
        <v>1699</v>
      </c>
      <c r="C292" s="12" t="s">
        <v>1710</v>
      </c>
      <c r="D292" s="12" t="s">
        <v>1916</v>
      </c>
      <c r="E292" s="12" t="s">
        <v>2293</v>
      </c>
      <c r="F292" s="27">
        <v>43592.0</v>
      </c>
      <c r="G292" s="12" t="s">
        <v>2104</v>
      </c>
      <c r="H292" s="29">
        <v>0.375</v>
      </c>
      <c r="I292" s="26">
        <v>43592.39583333333</v>
      </c>
      <c r="J292" s="12" t="s">
        <v>1658</v>
      </c>
      <c r="L292" s="12" t="s">
        <v>1626</v>
      </c>
      <c r="M292" s="12" t="s">
        <v>1706</v>
      </c>
      <c r="N292" s="12" t="s">
        <v>2168</v>
      </c>
      <c r="O292" s="12" t="s">
        <v>1708</v>
      </c>
      <c r="P292" s="12" t="s">
        <v>1696</v>
      </c>
      <c r="Q292" s="12" t="s">
        <v>1696</v>
      </c>
      <c r="R292" s="12" t="s">
        <v>1696</v>
      </c>
      <c r="S292" s="12" t="s">
        <v>1696</v>
      </c>
      <c r="T292" s="12" t="s">
        <v>1696</v>
      </c>
      <c r="U292" s="12" t="s">
        <v>1696</v>
      </c>
      <c r="V292" s="12" t="s">
        <v>1696</v>
      </c>
      <c r="W292" s="12" t="s">
        <v>1696</v>
      </c>
      <c r="X292" s="12" t="s">
        <v>1696</v>
      </c>
      <c r="Y292" s="12" t="s">
        <v>1696</v>
      </c>
      <c r="Z292" s="12" t="s">
        <v>1696</v>
      </c>
      <c r="AA292" s="12" t="s">
        <v>1696</v>
      </c>
      <c r="AB292" s="12" t="s">
        <v>1696</v>
      </c>
      <c r="AE292" s="29">
        <v>0.28125</v>
      </c>
    </row>
    <row r="293">
      <c r="A293" s="26">
        <v>43592.33089668982</v>
      </c>
      <c r="B293" s="12" t="s">
        <v>1717</v>
      </c>
      <c r="C293" s="12" t="s">
        <v>1718</v>
      </c>
      <c r="D293" s="12" t="s">
        <v>1916</v>
      </c>
      <c r="E293" s="12" t="s">
        <v>2294</v>
      </c>
      <c r="F293" s="27">
        <v>43592.0</v>
      </c>
      <c r="G293" s="12" t="s">
        <v>1746</v>
      </c>
      <c r="H293" s="29">
        <v>0.5625</v>
      </c>
      <c r="I293" s="26">
        <v>43592.56597222222</v>
      </c>
      <c r="J293" s="12" t="s">
        <v>1730</v>
      </c>
      <c r="L293" s="12" t="s">
        <v>1720</v>
      </c>
      <c r="M293" s="12" t="s">
        <v>1781</v>
      </c>
      <c r="N293" s="12" t="s">
        <v>2088</v>
      </c>
      <c r="O293" s="12" t="s">
        <v>2095</v>
      </c>
      <c r="P293" s="12" t="s">
        <v>1696</v>
      </c>
      <c r="Q293" s="12" t="s">
        <v>1696</v>
      </c>
      <c r="R293" s="12" t="s">
        <v>1696</v>
      </c>
      <c r="S293" s="12" t="s">
        <v>1696</v>
      </c>
      <c r="T293" s="12" t="s">
        <v>1696</v>
      </c>
      <c r="U293" s="12" t="s">
        <v>1696</v>
      </c>
      <c r="V293" s="12" t="s">
        <v>1696</v>
      </c>
      <c r="W293" s="12" t="s">
        <v>1696</v>
      </c>
      <c r="X293" s="12" t="s">
        <v>1696</v>
      </c>
      <c r="Y293" s="12" t="s">
        <v>1696</v>
      </c>
      <c r="Z293" s="12" t="s">
        <v>1696</v>
      </c>
      <c r="AA293" s="12" t="s">
        <v>1696</v>
      </c>
      <c r="AB293" s="12" t="s">
        <v>1696</v>
      </c>
      <c r="AE293" s="29">
        <v>0.39583333333575865</v>
      </c>
    </row>
    <row r="294">
      <c r="A294" s="26">
        <v>43592.61112174769</v>
      </c>
      <c r="B294" s="12" t="s">
        <v>1699</v>
      </c>
      <c r="C294" s="12" t="s">
        <v>1710</v>
      </c>
      <c r="D294" s="12" t="s">
        <v>1916</v>
      </c>
      <c r="E294" s="12" t="s">
        <v>1623</v>
      </c>
      <c r="F294" s="27">
        <v>43592.0</v>
      </c>
      <c r="G294" s="12" t="s">
        <v>1746</v>
      </c>
      <c r="H294" s="29">
        <v>0.7916666666642413</v>
      </c>
      <c r="I294" s="26">
        <v>43592.8125</v>
      </c>
      <c r="J294" s="12" t="s">
        <v>1658</v>
      </c>
      <c r="L294" s="12" t="s">
        <v>1626</v>
      </c>
      <c r="M294" s="12" t="s">
        <v>1706</v>
      </c>
      <c r="N294" s="12" t="s">
        <v>2168</v>
      </c>
      <c r="O294" s="12" t="s">
        <v>1708</v>
      </c>
      <c r="P294" s="12" t="s">
        <v>1696</v>
      </c>
      <c r="Q294" s="12" t="s">
        <v>1696</v>
      </c>
      <c r="R294" s="12" t="s">
        <v>1696</v>
      </c>
      <c r="S294" s="12" t="s">
        <v>1696</v>
      </c>
      <c r="T294" s="12" t="s">
        <v>1696</v>
      </c>
      <c r="U294" s="12" t="s">
        <v>1696</v>
      </c>
      <c r="V294" s="12" t="s">
        <v>1696</v>
      </c>
      <c r="W294" s="12" t="s">
        <v>1696</v>
      </c>
      <c r="X294" s="12" t="s">
        <v>1696</v>
      </c>
      <c r="Y294" s="12" t="s">
        <v>1696</v>
      </c>
      <c r="Z294" s="12" t="s">
        <v>1696</v>
      </c>
      <c r="AA294" s="12" t="s">
        <v>1696</v>
      </c>
      <c r="AB294" s="12" t="s">
        <v>1696</v>
      </c>
      <c r="AE294" s="29">
        <v>0.6354166666642413</v>
      </c>
    </row>
    <row r="295">
      <c r="A295" s="26">
        <v>43593.25513798611</v>
      </c>
      <c r="B295" s="12" t="s">
        <v>1699</v>
      </c>
      <c r="C295" s="12" t="s">
        <v>1710</v>
      </c>
      <c r="D295" s="12" t="s">
        <v>1916</v>
      </c>
      <c r="E295" s="12" t="s">
        <v>1623</v>
      </c>
      <c r="F295" s="27">
        <v>43593.0</v>
      </c>
      <c r="G295" s="12" t="s">
        <v>2295</v>
      </c>
      <c r="H295" s="29">
        <v>0.4375</v>
      </c>
      <c r="I295" s="26">
        <v>43593.45833333333</v>
      </c>
      <c r="J295" s="12" t="s">
        <v>1658</v>
      </c>
      <c r="L295" s="12" t="s">
        <v>1626</v>
      </c>
      <c r="M295" s="12" t="s">
        <v>1706</v>
      </c>
      <c r="N295" s="12" t="s">
        <v>2296</v>
      </c>
      <c r="O295" s="12" t="s">
        <v>1708</v>
      </c>
      <c r="P295" s="12" t="s">
        <v>1696</v>
      </c>
      <c r="Q295" s="12" t="s">
        <v>1696</v>
      </c>
      <c r="R295" s="12" t="s">
        <v>1696</v>
      </c>
      <c r="S295" s="12" t="s">
        <v>1696</v>
      </c>
      <c r="T295" s="12" t="s">
        <v>1696</v>
      </c>
      <c r="U295" s="12" t="s">
        <v>1696</v>
      </c>
      <c r="V295" s="12" t="s">
        <v>1696</v>
      </c>
      <c r="W295" s="12" t="s">
        <v>1696</v>
      </c>
      <c r="X295" s="12" t="s">
        <v>1696</v>
      </c>
      <c r="Y295" s="12" t="s">
        <v>1696</v>
      </c>
      <c r="Z295" s="12" t="s">
        <v>1696</v>
      </c>
      <c r="AA295" s="12" t="s">
        <v>1696</v>
      </c>
      <c r="AB295" s="12" t="s">
        <v>1696</v>
      </c>
      <c r="AE295" s="29">
        <v>0.27083333333575865</v>
      </c>
    </row>
    <row r="296">
      <c r="A296" s="26">
        <v>43594.26646572917</v>
      </c>
      <c r="B296" s="12" t="s">
        <v>1699</v>
      </c>
      <c r="C296" s="12" t="s">
        <v>1710</v>
      </c>
      <c r="D296" s="12" t="s">
        <v>1916</v>
      </c>
      <c r="E296" s="12" t="s">
        <v>1623</v>
      </c>
      <c r="F296" s="27">
        <v>43594.0</v>
      </c>
      <c r="G296" s="12" t="s">
        <v>2297</v>
      </c>
      <c r="H296" s="29">
        <v>0.41666666666424135</v>
      </c>
      <c r="I296" s="26">
        <v>43594.4375</v>
      </c>
      <c r="J296" s="12" t="s">
        <v>1658</v>
      </c>
      <c r="L296" s="12" t="s">
        <v>1626</v>
      </c>
      <c r="M296" s="12" t="s">
        <v>1706</v>
      </c>
      <c r="N296" s="12" t="s">
        <v>2298</v>
      </c>
      <c r="O296" s="12" t="s">
        <v>1708</v>
      </c>
      <c r="P296" s="12" t="s">
        <v>1696</v>
      </c>
      <c r="Q296" s="12" t="s">
        <v>1696</v>
      </c>
      <c r="R296" s="12" t="s">
        <v>1696</v>
      </c>
      <c r="S296" s="12" t="s">
        <v>1696</v>
      </c>
      <c r="T296" s="12" t="s">
        <v>1696</v>
      </c>
      <c r="U296" s="12" t="s">
        <v>1696</v>
      </c>
      <c r="V296" s="12" t="s">
        <v>1696</v>
      </c>
      <c r="W296" s="12" t="s">
        <v>1696</v>
      </c>
      <c r="X296" s="12" t="s">
        <v>1696</v>
      </c>
      <c r="Y296" s="12" t="s">
        <v>1696</v>
      </c>
      <c r="Z296" s="12" t="s">
        <v>1696</v>
      </c>
      <c r="AA296" s="12" t="s">
        <v>1696</v>
      </c>
      <c r="AB296" s="12" t="s">
        <v>1696</v>
      </c>
      <c r="AE296" s="29">
        <v>0.28125</v>
      </c>
    </row>
    <row r="297">
      <c r="A297" s="26">
        <v>43595.265058159726</v>
      </c>
      <c r="B297" s="12" t="s">
        <v>2299</v>
      </c>
      <c r="C297" s="12" t="s">
        <v>1710</v>
      </c>
      <c r="D297" s="12" t="s">
        <v>1916</v>
      </c>
      <c r="E297" s="12" t="s">
        <v>1623</v>
      </c>
      <c r="F297" s="27">
        <v>43595.0</v>
      </c>
      <c r="G297" s="12" t="s">
        <v>1746</v>
      </c>
      <c r="H297" s="29">
        <v>0.45833333333575865</v>
      </c>
      <c r="I297" s="26">
        <v>43595.47916666667</v>
      </c>
      <c r="J297" s="12" t="s">
        <v>1658</v>
      </c>
      <c r="L297" s="12" t="s">
        <v>1626</v>
      </c>
      <c r="M297" s="12" t="s">
        <v>1706</v>
      </c>
      <c r="N297" s="12" t="s">
        <v>2296</v>
      </c>
      <c r="O297" s="12" t="s">
        <v>1708</v>
      </c>
      <c r="P297" s="12" t="s">
        <v>1696</v>
      </c>
      <c r="Q297" s="12" t="s">
        <v>1696</v>
      </c>
      <c r="R297" s="12" t="s">
        <v>1696</v>
      </c>
      <c r="S297" s="12" t="s">
        <v>1696</v>
      </c>
      <c r="T297" s="12" t="s">
        <v>1696</v>
      </c>
      <c r="U297" s="12" t="s">
        <v>1696</v>
      </c>
      <c r="V297" s="12" t="s">
        <v>1696</v>
      </c>
      <c r="W297" s="12" t="s">
        <v>1696</v>
      </c>
      <c r="X297" s="12" t="s">
        <v>1696</v>
      </c>
      <c r="Y297" s="12" t="s">
        <v>1696</v>
      </c>
      <c r="Z297" s="12" t="s">
        <v>1696</v>
      </c>
      <c r="AA297" s="12" t="s">
        <v>1696</v>
      </c>
      <c r="AB297" s="12" t="s">
        <v>1696</v>
      </c>
      <c r="AE297" s="29">
        <v>0.27083333333575865</v>
      </c>
    </row>
    <row r="298">
      <c r="A298" s="26">
        <v>43599.343363796295</v>
      </c>
      <c r="B298" s="12" t="s">
        <v>1726</v>
      </c>
      <c r="C298" s="12" t="s">
        <v>1727</v>
      </c>
      <c r="D298" s="12" t="s">
        <v>1728</v>
      </c>
      <c r="E298" s="12" t="s">
        <v>1809</v>
      </c>
      <c r="F298" s="27">
        <v>43599.0</v>
      </c>
      <c r="G298" s="12" t="s">
        <v>2300</v>
      </c>
      <c r="H298" s="29">
        <v>0.6875</v>
      </c>
      <c r="J298" s="12" t="s">
        <v>1704</v>
      </c>
      <c r="L298" s="12" t="s">
        <v>1626</v>
      </c>
      <c r="M298" s="12" t="s">
        <v>1785</v>
      </c>
      <c r="N298" s="12" t="s">
        <v>2301</v>
      </c>
      <c r="O298" s="12" t="s">
        <v>1735</v>
      </c>
      <c r="P298" s="12" t="s">
        <v>1696</v>
      </c>
      <c r="Q298" s="12" t="s">
        <v>1696</v>
      </c>
      <c r="R298" s="12" t="s">
        <v>1696</v>
      </c>
      <c r="S298" s="12" t="s">
        <v>1696</v>
      </c>
      <c r="T298" s="12" t="s">
        <v>1696</v>
      </c>
      <c r="U298" s="12" t="s">
        <v>1696</v>
      </c>
      <c r="V298" s="12" t="s">
        <v>1696</v>
      </c>
      <c r="W298" s="12" t="s">
        <v>1696</v>
      </c>
      <c r="X298" s="12" t="s">
        <v>1696</v>
      </c>
      <c r="Y298" s="12" t="s">
        <v>1696</v>
      </c>
      <c r="Z298" s="12" t="s">
        <v>1696</v>
      </c>
      <c r="AA298" s="12" t="s">
        <v>1696</v>
      </c>
      <c r="AB298" s="12" t="s">
        <v>1696</v>
      </c>
      <c r="AE298" s="29">
        <v>0.38541666666424135</v>
      </c>
    </row>
    <row r="299">
      <c r="A299" s="26">
        <v>43599.4286683449</v>
      </c>
      <c r="B299" s="12" t="s">
        <v>1699</v>
      </c>
      <c r="C299" s="12" t="s">
        <v>1966</v>
      </c>
      <c r="D299" s="12" t="s">
        <v>1916</v>
      </c>
      <c r="E299" s="12" t="s">
        <v>1926</v>
      </c>
      <c r="F299" s="27">
        <v>43599.0</v>
      </c>
      <c r="G299" s="12" t="s">
        <v>2183</v>
      </c>
      <c r="H299" s="29">
        <v>0.6666666666642413</v>
      </c>
      <c r="I299" s="26">
        <v>43599.6875</v>
      </c>
      <c r="J299" s="12" t="s">
        <v>1625</v>
      </c>
      <c r="L299" s="12" t="s">
        <v>1788</v>
      </c>
      <c r="M299" s="12" t="s">
        <v>1706</v>
      </c>
      <c r="N299" s="12" t="s">
        <v>2168</v>
      </c>
      <c r="O299" s="12" t="s">
        <v>1708</v>
      </c>
      <c r="P299" s="12" t="s">
        <v>1696</v>
      </c>
      <c r="Q299" s="12" t="s">
        <v>1696</v>
      </c>
      <c r="R299" s="12" t="s">
        <v>1696</v>
      </c>
      <c r="S299" s="12" t="s">
        <v>1696</v>
      </c>
      <c r="T299" s="12" t="s">
        <v>1696</v>
      </c>
      <c r="U299" s="12" t="s">
        <v>1696</v>
      </c>
      <c r="V299" s="12" t="s">
        <v>1696</v>
      </c>
      <c r="W299" s="12" t="s">
        <v>1696</v>
      </c>
      <c r="X299" s="12" t="s">
        <v>1696</v>
      </c>
      <c r="Y299" s="12" t="s">
        <v>1696</v>
      </c>
      <c r="Z299" s="12" t="s">
        <v>1696</v>
      </c>
      <c r="AA299" s="12" t="s">
        <v>1696</v>
      </c>
      <c r="AB299" s="12" t="s">
        <v>1696</v>
      </c>
      <c r="AE299" s="29">
        <v>0.4375</v>
      </c>
    </row>
    <row r="300">
      <c r="A300" s="26">
        <v>43600.35831609953</v>
      </c>
      <c r="B300" s="12" t="s">
        <v>1726</v>
      </c>
      <c r="C300" s="12" t="s">
        <v>1727</v>
      </c>
      <c r="D300" s="12" t="s">
        <v>1728</v>
      </c>
      <c r="E300" s="12" t="s">
        <v>1809</v>
      </c>
      <c r="F300" s="27">
        <v>43600.0</v>
      </c>
      <c r="G300" s="12" t="s">
        <v>2275</v>
      </c>
      <c r="H300" s="29">
        <v>0.6875</v>
      </c>
      <c r="J300" s="12" t="s">
        <v>1704</v>
      </c>
      <c r="L300" s="12" t="s">
        <v>1626</v>
      </c>
      <c r="M300" s="12" t="s">
        <v>1785</v>
      </c>
      <c r="N300" s="12" t="s">
        <v>2302</v>
      </c>
      <c r="O300" s="12" t="s">
        <v>1735</v>
      </c>
      <c r="P300" s="12" t="s">
        <v>1696</v>
      </c>
      <c r="Q300" s="12" t="s">
        <v>1696</v>
      </c>
      <c r="R300" s="12" t="s">
        <v>1696</v>
      </c>
      <c r="S300" s="12" t="s">
        <v>1696</v>
      </c>
      <c r="T300" s="12" t="s">
        <v>1696</v>
      </c>
      <c r="U300" s="12" t="s">
        <v>1696</v>
      </c>
      <c r="V300" s="12" t="s">
        <v>1696</v>
      </c>
      <c r="W300" s="12" t="s">
        <v>1696</v>
      </c>
      <c r="X300" s="12" t="s">
        <v>1696</v>
      </c>
      <c r="Y300" s="12" t="s">
        <v>1696</v>
      </c>
      <c r="Z300" s="12" t="s">
        <v>1696</v>
      </c>
      <c r="AA300" s="12" t="s">
        <v>1696</v>
      </c>
      <c r="AB300" s="12" t="s">
        <v>1696</v>
      </c>
      <c r="AE300" s="29">
        <v>0.38541666666424135</v>
      </c>
    </row>
    <row r="301">
      <c r="A301" s="26">
        <v>43600.49849452546</v>
      </c>
      <c r="B301" s="12" t="s">
        <v>1717</v>
      </c>
      <c r="C301" s="12" t="s">
        <v>1718</v>
      </c>
      <c r="D301" s="12" t="s">
        <v>1916</v>
      </c>
      <c r="E301" s="12" t="s">
        <v>2162</v>
      </c>
      <c r="F301" s="27">
        <v>43601.0</v>
      </c>
      <c r="G301" s="12" t="s">
        <v>1792</v>
      </c>
      <c r="H301" s="29">
        <v>0.53125</v>
      </c>
      <c r="I301" s="26">
        <v>43601.54166666667</v>
      </c>
      <c r="J301" s="12" t="s">
        <v>1658</v>
      </c>
      <c r="L301" s="12" t="s">
        <v>1720</v>
      </c>
      <c r="M301" s="12" t="s">
        <v>1781</v>
      </c>
      <c r="N301" s="12" t="s">
        <v>2303</v>
      </c>
      <c r="O301" s="12" t="s">
        <v>2095</v>
      </c>
      <c r="P301" s="12" t="s">
        <v>1696</v>
      </c>
      <c r="Q301" s="12" t="s">
        <v>1696</v>
      </c>
      <c r="R301" s="12" t="s">
        <v>1696</v>
      </c>
      <c r="S301" s="12" t="s">
        <v>1696</v>
      </c>
      <c r="T301" s="12" t="s">
        <v>1696</v>
      </c>
      <c r="U301" s="12" t="s">
        <v>1696</v>
      </c>
      <c r="V301" s="12" t="s">
        <v>1696</v>
      </c>
      <c r="W301" s="12" t="s">
        <v>1696</v>
      </c>
      <c r="X301" s="12" t="s">
        <v>1696</v>
      </c>
      <c r="Y301" s="12" t="s">
        <v>1696</v>
      </c>
      <c r="Z301" s="12" t="s">
        <v>1696</v>
      </c>
      <c r="AA301" s="12" t="s">
        <v>1696</v>
      </c>
      <c r="AB301" s="12" t="s">
        <v>1696</v>
      </c>
      <c r="AE301" s="29">
        <v>0.32291666666424135</v>
      </c>
    </row>
    <row r="302">
      <c r="A302" s="26">
        <v>43600.72839038195</v>
      </c>
      <c r="B302" s="12" t="s">
        <v>1726</v>
      </c>
      <c r="C302" s="12" t="s">
        <v>1727</v>
      </c>
      <c r="D302" s="12" t="s">
        <v>1728</v>
      </c>
      <c r="E302" s="12" t="s">
        <v>2015</v>
      </c>
      <c r="F302" s="27">
        <v>43601.0</v>
      </c>
      <c r="G302" s="12" t="s">
        <v>2304</v>
      </c>
      <c r="H302" s="29">
        <v>0.5833333333357587</v>
      </c>
      <c r="J302" s="12" t="s">
        <v>1704</v>
      </c>
      <c r="L302" s="12" t="s">
        <v>1626</v>
      </c>
      <c r="M302" s="12" t="s">
        <v>2305</v>
      </c>
      <c r="N302" s="12" t="s">
        <v>2306</v>
      </c>
      <c r="O302" s="12" t="s">
        <v>1735</v>
      </c>
      <c r="P302" s="12" t="s">
        <v>1696</v>
      </c>
      <c r="Q302" s="12" t="s">
        <v>1696</v>
      </c>
      <c r="R302" s="12" t="s">
        <v>1696</v>
      </c>
      <c r="S302" s="12" t="s">
        <v>1696</v>
      </c>
      <c r="T302" s="12" t="s">
        <v>1696</v>
      </c>
      <c r="U302" s="12" t="s">
        <v>1696</v>
      </c>
      <c r="V302" s="12" t="s">
        <v>1696</v>
      </c>
      <c r="W302" s="12" t="s">
        <v>1696</v>
      </c>
      <c r="X302" s="12" t="s">
        <v>1696</v>
      </c>
      <c r="Y302" s="12" t="s">
        <v>1696</v>
      </c>
      <c r="Z302" s="12" t="s">
        <v>1696</v>
      </c>
      <c r="AA302" s="12" t="s">
        <v>1696</v>
      </c>
      <c r="AB302" s="12" t="s">
        <v>1696</v>
      </c>
      <c r="AE302" s="29">
        <v>0.41666666666424135</v>
      </c>
    </row>
    <row r="303">
      <c r="A303" s="26">
        <v>43601.52554824074</v>
      </c>
      <c r="B303" s="12" t="s">
        <v>1699</v>
      </c>
      <c r="C303" s="12" t="s">
        <v>1710</v>
      </c>
      <c r="D303" s="12" t="s">
        <v>1916</v>
      </c>
      <c r="E303" s="12" t="s">
        <v>1926</v>
      </c>
      <c r="F303" s="27">
        <v>43601.0</v>
      </c>
      <c r="G303" s="12" t="s">
        <v>2307</v>
      </c>
      <c r="H303" s="29">
        <v>0.7708333333357587</v>
      </c>
      <c r="I303" s="26">
        <v>43601.79166666667</v>
      </c>
      <c r="J303" s="12" t="s">
        <v>1625</v>
      </c>
      <c r="L303" s="12" t="s">
        <v>1788</v>
      </c>
      <c r="M303" s="12" t="s">
        <v>1706</v>
      </c>
      <c r="N303" s="12" t="s">
        <v>2168</v>
      </c>
      <c r="O303" s="12" t="s">
        <v>1708</v>
      </c>
      <c r="P303" s="12" t="s">
        <v>1696</v>
      </c>
      <c r="Q303" s="12" t="s">
        <v>1696</v>
      </c>
      <c r="R303" s="12" t="s">
        <v>1696</v>
      </c>
      <c r="S303" s="12" t="s">
        <v>1696</v>
      </c>
      <c r="T303" s="12" t="s">
        <v>1696</v>
      </c>
      <c r="U303" s="12" t="s">
        <v>1696</v>
      </c>
      <c r="V303" s="12" t="s">
        <v>1696</v>
      </c>
      <c r="W303" s="12" t="s">
        <v>1696</v>
      </c>
      <c r="X303" s="12" t="s">
        <v>1696</v>
      </c>
      <c r="Y303" s="12" t="s">
        <v>1696</v>
      </c>
      <c r="Z303" s="12" t="s">
        <v>1696</v>
      </c>
      <c r="AA303" s="12" t="s">
        <v>1696</v>
      </c>
      <c r="AB303" s="12" t="s">
        <v>1696</v>
      </c>
      <c r="AE303" s="29">
        <v>0.59375</v>
      </c>
    </row>
    <row r="304">
      <c r="A304" s="26">
        <v>43602.58879569445</v>
      </c>
      <c r="B304" s="12" t="s">
        <v>1744</v>
      </c>
      <c r="C304" s="12" t="s">
        <v>1710</v>
      </c>
      <c r="D304" s="12" t="s">
        <v>1916</v>
      </c>
      <c r="E304" s="12" t="s">
        <v>1926</v>
      </c>
      <c r="F304" s="27">
        <v>43602.0</v>
      </c>
      <c r="G304" s="12" t="s">
        <v>2308</v>
      </c>
      <c r="H304" s="29">
        <v>0.7083333333357587</v>
      </c>
      <c r="I304" s="26">
        <v>43602.72916666667</v>
      </c>
      <c r="J304" s="12" t="s">
        <v>1625</v>
      </c>
      <c r="L304" s="12" t="s">
        <v>2309</v>
      </c>
      <c r="M304" s="12" t="s">
        <v>1706</v>
      </c>
      <c r="N304" s="12" t="s">
        <v>2168</v>
      </c>
      <c r="O304" s="12" t="s">
        <v>1708</v>
      </c>
      <c r="P304" s="12" t="s">
        <v>1696</v>
      </c>
      <c r="Q304" s="12" t="s">
        <v>1696</v>
      </c>
      <c r="R304" s="12" t="s">
        <v>1696</v>
      </c>
      <c r="S304" s="12" t="s">
        <v>1696</v>
      </c>
      <c r="T304" s="12" t="s">
        <v>1696</v>
      </c>
      <c r="U304" s="12" t="s">
        <v>1696</v>
      </c>
      <c r="V304" s="12" t="s">
        <v>1696</v>
      </c>
      <c r="W304" s="12" t="s">
        <v>1696</v>
      </c>
      <c r="X304" s="12" t="s">
        <v>1696</v>
      </c>
      <c r="Y304" s="12" t="s">
        <v>1696</v>
      </c>
      <c r="Z304" s="12" t="s">
        <v>1696</v>
      </c>
      <c r="AA304" s="12" t="s">
        <v>1696</v>
      </c>
      <c r="AB304" s="12" t="s">
        <v>1696</v>
      </c>
      <c r="AE304" s="29">
        <v>0.5833333333357587</v>
      </c>
    </row>
    <row r="305">
      <c r="A305" s="26">
        <v>43602.70531255787</v>
      </c>
      <c r="B305" s="12" t="s">
        <v>1726</v>
      </c>
      <c r="C305" s="12" t="s">
        <v>1727</v>
      </c>
      <c r="D305" s="12" t="s">
        <v>1728</v>
      </c>
      <c r="E305" s="12" t="s">
        <v>1731</v>
      </c>
      <c r="F305" s="27">
        <v>43603.0</v>
      </c>
      <c r="G305" s="12" t="s">
        <v>2310</v>
      </c>
      <c r="H305" s="29">
        <v>0.5833333333357587</v>
      </c>
      <c r="J305" s="12" t="s">
        <v>1704</v>
      </c>
      <c r="L305" s="12" t="s">
        <v>1626</v>
      </c>
      <c r="M305" s="12" t="s">
        <v>1785</v>
      </c>
      <c r="N305" s="12" t="s">
        <v>2311</v>
      </c>
      <c r="O305" s="12" t="s">
        <v>1735</v>
      </c>
      <c r="P305" s="12" t="s">
        <v>1696</v>
      </c>
      <c r="Q305" s="12" t="s">
        <v>1696</v>
      </c>
      <c r="R305" s="12" t="s">
        <v>1696</v>
      </c>
      <c r="S305" s="12" t="s">
        <v>1696</v>
      </c>
      <c r="T305" s="12" t="s">
        <v>1696</v>
      </c>
      <c r="U305" s="12" t="s">
        <v>1696</v>
      </c>
      <c r="V305" s="12" t="s">
        <v>1696</v>
      </c>
      <c r="W305" s="12" t="s">
        <v>1696</v>
      </c>
      <c r="X305" s="12" t="s">
        <v>1696</v>
      </c>
      <c r="Y305" s="12" t="s">
        <v>1696</v>
      </c>
      <c r="Z305" s="12" t="s">
        <v>1696</v>
      </c>
      <c r="AA305" s="12" t="s">
        <v>1696</v>
      </c>
      <c r="AB305" s="12" t="s">
        <v>1696</v>
      </c>
      <c r="AE305" s="29">
        <v>0.38541666666424135</v>
      </c>
    </row>
    <row r="306">
      <c r="A306" s="26">
        <v>43605.32700630787</v>
      </c>
      <c r="B306" s="12" t="s">
        <v>1717</v>
      </c>
      <c r="C306" s="12" t="s">
        <v>2312</v>
      </c>
      <c r="D306" s="12" t="s">
        <v>1916</v>
      </c>
      <c r="E306" s="12" t="s">
        <v>2162</v>
      </c>
      <c r="F306" s="27">
        <v>43605.0</v>
      </c>
      <c r="G306" s="12" t="s">
        <v>2313</v>
      </c>
      <c r="H306" s="29">
        <v>0.5208333333357587</v>
      </c>
      <c r="I306" s="26">
        <v>43605.53125</v>
      </c>
      <c r="J306" s="12" t="s">
        <v>1704</v>
      </c>
      <c r="L306" s="12" t="s">
        <v>1626</v>
      </c>
      <c r="M306" s="12" t="s">
        <v>1918</v>
      </c>
      <c r="N306" s="12" t="s">
        <v>2314</v>
      </c>
      <c r="O306" s="12" t="s">
        <v>2274</v>
      </c>
      <c r="P306" s="12" t="s">
        <v>1696</v>
      </c>
      <c r="Q306" s="12" t="s">
        <v>1696</v>
      </c>
      <c r="R306" s="12" t="s">
        <v>1696</v>
      </c>
      <c r="S306" s="12" t="s">
        <v>1696</v>
      </c>
      <c r="T306" s="12" t="s">
        <v>1696</v>
      </c>
      <c r="U306" s="12" t="s">
        <v>1696</v>
      </c>
      <c r="V306" s="12" t="s">
        <v>1696</v>
      </c>
      <c r="W306" s="12" t="s">
        <v>1696</v>
      </c>
      <c r="X306" s="12" t="s">
        <v>1696</v>
      </c>
      <c r="Y306" s="12" t="s">
        <v>1696</v>
      </c>
      <c r="Z306" s="12" t="s">
        <v>1696</v>
      </c>
      <c r="AA306" s="12" t="s">
        <v>1696</v>
      </c>
      <c r="AB306" s="12" t="s">
        <v>1696</v>
      </c>
      <c r="AE306" s="29">
        <v>0.41666666666424135</v>
      </c>
    </row>
    <row r="307">
      <c r="A307" s="26">
        <v>43605.361720416666</v>
      </c>
      <c r="B307" s="12" t="s">
        <v>1733</v>
      </c>
      <c r="C307" s="12" t="s">
        <v>1727</v>
      </c>
      <c r="D307" s="12" t="s">
        <v>1728</v>
      </c>
      <c r="E307" s="12" t="s">
        <v>2315</v>
      </c>
      <c r="F307" s="27">
        <v>43605.0</v>
      </c>
      <c r="G307" s="12" t="s">
        <v>2316</v>
      </c>
      <c r="H307" s="29">
        <v>0.7083333333357587</v>
      </c>
      <c r="J307" s="12" t="s">
        <v>1625</v>
      </c>
      <c r="L307" s="12" t="s">
        <v>1788</v>
      </c>
      <c r="M307" s="12" t="s">
        <v>2317</v>
      </c>
      <c r="O307" s="12" t="s">
        <v>1735</v>
      </c>
      <c r="P307" s="12" t="s">
        <v>1696</v>
      </c>
      <c r="Q307" s="12" t="s">
        <v>1696</v>
      </c>
      <c r="R307" s="12" t="s">
        <v>1696</v>
      </c>
      <c r="S307" s="12" t="s">
        <v>1696</v>
      </c>
      <c r="T307" s="12" t="s">
        <v>1696</v>
      </c>
      <c r="U307" s="12" t="s">
        <v>1696</v>
      </c>
      <c r="V307" s="12" t="s">
        <v>1696</v>
      </c>
      <c r="W307" s="12" t="s">
        <v>1696</v>
      </c>
      <c r="X307" s="12" t="s">
        <v>1696</v>
      </c>
      <c r="Y307" s="12" t="s">
        <v>1696</v>
      </c>
      <c r="Z307" s="12" t="s">
        <v>1696</v>
      </c>
      <c r="AA307" s="12" t="s">
        <v>1696</v>
      </c>
      <c r="AB307" s="12" t="s">
        <v>1696</v>
      </c>
      <c r="AE307" s="29">
        <v>0.4375</v>
      </c>
    </row>
    <row r="308">
      <c r="A308" s="26">
        <v>43606.344595625</v>
      </c>
      <c r="B308" s="12" t="s">
        <v>1744</v>
      </c>
      <c r="C308" s="12" t="s">
        <v>1966</v>
      </c>
      <c r="D308" s="12" t="s">
        <v>1916</v>
      </c>
      <c r="E308" s="12" t="s">
        <v>2318</v>
      </c>
      <c r="F308" s="27">
        <v>43606.0</v>
      </c>
      <c r="G308" s="12" t="s">
        <v>1967</v>
      </c>
      <c r="H308" s="29">
        <v>0.7083333333357587</v>
      </c>
      <c r="I308" s="26">
        <v>43606.75</v>
      </c>
      <c r="J308" s="12" t="s">
        <v>1658</v>
      </c>
      <c r="L308" s="12" t="s">
        <v>1788</v>
      </c>
      <c r="M308" s="12" t="s">
        <v>2319</v>
      </c>
      <c r="N308" s="12" t="s">
        <v>2320</v>
      </c>
      <c r="O308" s="12" t="s">
        <v>1708</v>
      </c>
      <c r="P308" s="12" t="s">
        <v>1696</v>
      </c>
      <c r="Q308" s="12" t="s">
        <v>1696</v>
      </c>
      <c r="R308" s="12" t="s">
        <v>1696</v>
      </c>
      <c r="S308" s="12" t="s">
        <v>1696</v>
      </c>
      <c r="T308" s="12" t="s">
        <v>1696</v>
      </c>
      <c r="U308" s="12" t="s">
        <v>1696</v>
      </c>
      <c r="V308" s="12" t="s">
        <v>1696</v>
      </c>
      <c r="W308" s="12" t="s">
        <v>1696</v>
      </c>
      <c r="X308" s="12" t="s">
        <v>1696</v>
      </c>
      <c r="Y308" s="12" t="s">
        <v>1696</v>
      </c>
      <c r="Z308" s="12" t="s">
        <v>1696</v>
      </c>
      <c r="AA308" s="12" t="s">
        <v>1696</v>
      </c>
      <c r="AB308" s="12" t="s">
        <v>1696</v>
      </c>
      <c r="AE308" s="29">
        <v>0.34375</v>
      </c>
    </row>
    <row r="309">
      <c r="A309" s="26">
        <v>43606.347828287035</v>
      </c>
      <c r="B309" s="12" t="s">
        <v>2321</v>
      </c>
      <c r="C309" s="12" t="s">
        <v>2322</v>
      </c>
      <c r="D309" s="12" t="s">
        <v>1916</v>
      </c>
      <c r="E309" s="12" t="s">
        <v>2318</v>
      </c>
      <c r="F309" s="27">
        <v>43606.0</v>
      </c>
      <c r="G309" s="12" t="s">
        <v>1967</v>
      </c>
      <c r="H309" s="29">
        <v>0.7083333333357587</v>
      </c>
      <c r="I309" s="26">
        <v>43606.75</v>
      </c>
      <c r="J309" s="12" t="s">
        <v>1704</v>
      </c>
      <c r="L309" s="12" t="s">
        <v>1626</v>
      </c>
      <c r="M309" s="12" t="s">
        <v>2323</v>
      </c>
      <c r="N309" s="12" t="s">
        <v>2324</v>
      </c>
      <c r="O309" s="12" t="s">
        <v>2325</v>
      </c>
      <c r="P309" s="12" t="s">
        <v>1696</v>
      </c>
      <c r="Q309" s="12" t="s">
        <v>1696</v>
      </c>
      <c r="R309" s="12" t="s">
        <v>1696</v>
      </c>
      <c r="S309" s="12" t="s">
        <v>1696</v>
      </c>
      <c r="T309" s="12" t="s">
        <v>1696</v>
      </c>
      <c r="U309" s="12" t="s">
        <v>1696</v>
      </c>
      <c r="V309" s="12" t="s">
        <v>1696</v>
      </c>
      <c r="W309" s="12" t="s">
        <v>1696</v>
      </c>
      <c r="X309" s="12" t="s">
        <v>1696</v>
      </c>
      <c r="Y309" s="12" t="s">
        <v>1696</v>
      </c>
      <c r="Z309" s="12" t="s">
        <v>1696</v>
      </c>
      <c r="AA309" s="12" t="s">
        <v>1696</v>
      </c>
      <c r="AB309" s="12" t="s">
        <v>1696</v>
      </c>
      <c r="AE309" s="29">
        <v>0.36458333333575865</v>
      </c>
    </row>
    <row r="310">
      <c r="A310" s="26">
        <v>43608.300555381946</v>
      </c>
      <c r="B310" s="12" t="s">
        <v>1891</v>
      </c>
      <c r="C310" s="12" t="s">
        <v>1892</v>
      </c>
      <c r="D310" s="12" t="s">
        <v>1916</v>
      </c>
      <c r="E310" s="12" t="s">
        <v>2058</v>
      </c>
      <c r="F310" s="27">
        <v>43608.0</v>
      </c>
      <c r="G310" s="12" t="s">
        <v>2326</v>
      </c>
      <c r="H310" s="29">
        <v>0.6041666666642413</v>
      </c>
      <c r="I310" s="26">
        <v>43608.63541666667</v>
      </c>
      <c r="J310" s="12" t="s">
        <v>1704</v>
      </c>
      <c r="L310" s="12" t="s">
        <v>1626</v>
      </c>
      <c r="M310" s="12" t="s">
        <v>2327</v>
      </c>
      <c r="N310" s="12" t="s">
        <v>1817</v>
      </c>
      <c r="O310" s="12" t="s">
        <v>2327</v>
      </c>
      <c r="P310" s="12" t="s">
        <v>1696</v>
      </c>
      <c r="Q310" s="12" t="s">
        <v>1696</v>
      </c>
      <c r="R310" s="12" t="s">
        <v>1696</v>
      </c>
      <c r="S310" s="12" t="s">
        <v>1696</v>
      </c>
      <c r="T310" s="12" t="s">
        <v>1696</v>
      </c>
      <c r="U310" s="12" t="s">
        <v>1696</v>
      </c>
      <c r="V310" s="12" t="s">
        <v>1696</v>
      </c>
      <c r="W310" s="12" t="s">
        <v>1696</v>
      </c>
      <c r="X310" s="12" t="s">
        <v>1696</v>
      </c>
      <c r="Y310" s="12" t="s">
        <v>1696</v>
      </c>
      <c r="Z310" s="12" t="s">
        <v>1696</v>
      </c>
      <c r="AA310" s="12" t="s">
        <v>1696</v>
      </c>
      <c r="AB310" s="12" t="s">
        <v>1696</v>
      </c>
      <c r="AC310" s="12" t="s">
        <v>2328</v>
      </c>
      <c r="AD310" s="12" t="s">
        <v>1696</v>
      </c>
      <c r="AE310" s="29">
        <v>0.3125</v>
      </c>
    </row>
    <row r="311">
      <c r="A311" s="26">
        <v>43615.69752498843</v>
      </c>
      <c r="B311" s="12" t="s">
        <v>1735</v>
      </c>
      <c r="C311" s="12" t="s">
        <v>1727</v>
      </c>
      <c r="D311" s="12" t="s">
        <v>1728</v>
      </c>
      <c r="E311" s="12" t="s">
        <v>2329</v>
      </c>
      <c r="F311" s="27">
        <v>43616.0</v>
      </c>
      <c r="G311" s="12" t="s">
        <v>2330</v>
      </c>
      <c r="H311" s="29">
        <v>0.75</v>
      </c>
      <c r="J311" s="12" t="s">
        <v>1704</v>
      </c>
      <c r="L311" s="12" t="s">
        <v>1720</v>
      </c>
      <c r="M311" s="12" t="s">
        <v>1785</v>
      </c>
      <c r="N311" s="12" t="s">
        <v>2331</v>
      </c>
      <c r="O311" s="12" t="s">
        <v>1735</v>
      </c>
      <c r="P311" s="12" t="s">
        <v>1696</v>
      </c>
      <c r="Q311" s="12" t="s">
        <v>1696</v>
      </c>
      <c r="R311" s="12" t="s">
        <v>1696</v>
      </c>
      <c r="S311" s="12" t="s">
        <v>1696</v>
      </c>
      <c r="T311" s="12" t="s">
        <v>1696</v>
      </c>
      <c r="U311" s="12" t="s">
        <v>1696</v>
      </c>
      <c r="V311" s="12" t="s">
        <v>1696</v>
      </c>
      <c r="W311" s="12" t="s">
        <v>1696</v>
      </c>
      <c r="X311" s="12" t="s">
        <v>1696</v>
      </c>
      <c r="Y311" s="12" t="s">
        <v>1696</v>
      </c>
      <c r="Z311" s="12" t="s">
        <v>1696</v>
      </c>
      <c r="AA311" s="12" t="s">
        <v>1696</v>
      </c>
      <c r="AB311" s="12" t="s">
        <v>1696</v>
      </c>
      <c r="AE311" s="29">
        <v>0.5625</v>
      </c>
    </row>
    <row r="312">
      <c r="A312" s="26">
        <v>43616.378163692134</v>
      </c>
      <c r="B312" s="12" t="s">
        <v>1699</v>
      </c>
      <c r="C312" s="12" t="s">
        <v>1710</v>
      </c>
      <c r="D312" s="12" t="s">
        <v>1916</v>
      </c>
      <c r="E312" s="12" t="s">
        <v>2332</v>
      </c>
      <c r="F312" s="27">
        <v>43616.0</v>
      </c>
      <c r="G312" s="12" t="s">
        <v>2333</v>
      </c>
      <c r="H312" s="29">
        <v>0.5416666666642413</v>
      </c>
      <c r="I312" s="26">
        <v>43616.70833333333</v>
      </c>
      <c r="J312" s="12" t="s">
        <v>1658</v>
      </c>
      <c r="L312" s="12" t="s">
        <v>1788</v>
      </c>
      <c r="M312" s="12" t="s">
        <v>1706</v>
      </c>
      <c r="N312" s="12" t="s">
        <v>2334</v>
      </c>
      <c r="O312" s="12" t="s">
        <v>1708</v>
      </c>
      <c r="P312" s="12" t="s">
        <v>1696</v>
      </c>
      <c r="Q312" s="12" t="s">
        <v>1696</v>
      </c>
      <c r="R312" s="12" t="s">
        <v>1696</v>
      </c>
      <c r="S312" s="12" t="s">
        <v>1696</v>
      </c>
      <c r="T312" s="12" t="s">
        <v>1696</v>
      </c>
      <c r="U312" s="12" t="s">
        <v>1696</v>
      </c>
      <c r="V312" s="12" t="s">
        <v>1696</v>
      </c>
      <c r="W312" s="12" t="s">
        <v>1696</v>
      </c>
      <c r="X312" s="12" t="s">
        <v>1696</v>
      </c>
      <c r="Y312" s="12" t="s">
        <v>1696</v>
      </c>
      <c r="Z312" s="12" t="s">
        <v>1696</v>
      </c>
      <c r="AA312" s="12" t="s">
        <v>1696</v>
      </c>
      <c r="AB312" s="12" t="s">
        <v>1696</v>
      </c>
      <c r="AE312" s="29">
        <v>0.41666666666424135</v>
      </c>
    </row>
    <row r="313">
      <c r="A313" s="26">
        <v>43616.37944949074</v>
      </c>
      <c r="B313" s="12" t="s">
        <v>1699</v>
      </c>
      <c r="C313" s="12" t="s">
        <v>1710</v>
      </c>
      <c r="D313" s="12" t="s">
        <v>1916</v>
      </c>
      <c r="E313" s="12" t="s">
        <v>1623</v>
      </c>
      <c r="F313" s="27">
        <v>43616.0</v>
      </c>
      <c r="G313" s="12" t="s">
        <v>2335</v>
      </c>
      <c r="H313" s="29">
        <v>0.7083333333357587</v>
      </c>
      <c r="I313" s="26">
        <v>43616.72916666667</v>
      </c>
      <c r="J313" s="12" t="s">
        <v>1658</v>
      </c>
      <c r="L313" s="12" t="s">
        <v>1788</v>
      </c>
      <c r="M313" s="12" t="s">
        <v>1706</v>
      </c>
      <c r="N313" s="12" t="s">
        <v>2336</v>
      </c>
      <c r="O313" s="12" t="s">
        <v>1708</v>
      </c>
      <c r="P313" s="12" t="s">
        <v>1696</v>
      </c>
      <c r="Q313" s="12" t="s">
        <v>1696</v>
      </c>
      <c r="R313" s="12" t="s">
        <v>1696</v>
      </c>
      <c r="S313" s="12" t="s">
        <v>1696</v>
      </c>
      <c r="T313" s="12" t="s">
        <v>1696</v>
      </c>
      <c r="U313" s="12" t="s">
        <v>1696</v>
      </c>
      <c r="V313" s="12" t="s">
        <v>1696</v>
      </c>
      <c r="W313" s="12" t="s">
        <v>1696</v>
      </c>
      <c r="X313" s="12" t="s">
        <v>1696</v>
      </c>
      <c r="Y313" s="12" t="s">
        <v>1696</v>
      </c>
      <c r="Z313" s="12" t="s">
        <v>1696</v>
      </c>
      <c r="AA313" s="12" t="s">
        <v>1696</v>
      </c>
      <c r="AB313" s="12" t="s">
        <v>1696</v>
      </c>
      <c r="AE313" s="29">
        <v>0.5833333333357587</v>
      </c>
    </row>
    <row r="314">
      <c r="A314" s="26">
        <v>43619.37859928241</v>
      </c>
      <c r="B314" s="12" t="s">
        <v>1735</v>
      </c>
      <c r="C314" s="12" t="s">
        <v>1727</v>
      </c>
      <c r="D314" s="12" t="s">
        <v>1728</v>
      </c>
      <c r="E314" s="12" t="s">
        <v>1683</v>
      </c>
      <c r="F314" s="27">
        <v>43619.0</v>
      </c>
      <c r="G314" s="12" t="s">
        <v>1984</v>
      </c>
      <c r="H314" s="29">
        <v>0.47916666666424135</v>
      </c>
      <c r="J314" s="12" t="s">
        <v>1730</v>
      </c>
      <c r="L314" s="12" t="s">
        <v>1626</v>
      </c>
      <c r="M314" s="12" t="s">
        <v>1785</v>
      </c>
      <c r="N314" s="12" t="s">
        <v>2337</v>
      </c>
      <c r="O314" s="12" t="s">
        <v>1735</v>
      </c>
      <c r="P314" s="12" t="s">
        <v>1696</v>
      </c>
      <c r="Q314" s="12" t="s">
        <v>1696</v>
      </c>
      <c r="R314" s="12" t="s">
        <v>1696</v>
      </c>
      <c r="S314" s="12" t="s">
        <v>1696</v>
      </c>
      <c r="T314" s="12" t="s">
        <v>1696</v>
      </c>
      <c r="U314" s="12" t="s">
        <v>1696</v>
      </c>
      <c r="V314" s="12" t="s">
        <v>1696</v>
      </c>
      <c r="W314" s="12" t="s">
        <v>1696</v>
      </c>
      <c r="X314" s="12" t="s">
        <v>1696</v>
      </c>
      <c r="Y314" s="12" t="s">
        <v>1696</v>
      </c>
      <c r="Z314" s="12" t="s">
        <v>1696</v>
      </c>
      <c r="AA314" s="12" t="s">
        <v>1696</v>
      </c>
      <c r="AB314" s="12" t="s">
        <v>1696</v>
      </c>
      <c r="AE314" s="29">
        <v>0.42708333333575865</v>
      </c>
    </row>
    <row r="315">
      <c r="A315" s="26">
        <v>43620.37469038194</v>
      </c>
      <c r="B315" s="12" t="s">
        <v>1717</v>
      </c>
      <c r="C315" s="12" t="s">
        <v>1718</v>
      </c>
      <c r="D315" s="12" t="s">
        <v>1916</v>
      </c>
      <c r="E315" s="12" t="s">
        <v>2162</v>
      </c>
      <c r="F315" s="27">
        <v>43620.0</v>
      </c>
      <c r="G315" s="12" t="s">
        <v>1792</v>
      </c>
      <c r="H315" s="29">
        <v>0.6041666666642413</v>
      </c>
      <c r="I315" s="26">
        <v>43620.11458333333</v>
      </c>
      <c r="J315" s="12" t="s">
        <v>1704</v>
      </c>
      <c r="L315" s="12" t="s">
        <v>1626</v>
      </c>
      <c r="M315" s="12" t="s">
        <v>1781</v>
      </c>
      <c r="N315" s="12" t="s">
        <v>2338</v>
      </c>
      <c r="O315" s="12" t="s">
        <v>2095</v>
      </c>
      <c r="P315" s="12" t="s">
        <v>1696</v>
      </c>
      <c r="Q315" s="12" t="s">
        <v>1696</v>
      </c>
      <c r="R315" s="12" t="s">
        <v>1696</v>
      </c>
      <c r="S315" s="12" t="s">
        <v>1696</v>
      </c>
      <c r="T315" s="12" t="s">
        <v>1696</v>
      </c>
      <c r="U315" s="12" t="s">
        <v>1696</v>
      </c>
      <c r="V315" s="12" t="s">
        <v>1696</v>
      </c>
      <c r="W315" s="12" t="s">
        <v>1696</v>
      </c>
      <c r="X315" s="12" t="s">
        <v>1696</v>
      </c>
      <c r="Y315" s="12" t="s">
        <v>1696</v>
      </c>
      <c r="Z315" s="12" t="s">
        <v>1696</v>
      </c>
      <c r="AA315" s="12" t="s">
        <v>1696</v>
      </c>
      <c r="AB315" s="12" t="s">
        <v>1696</v>
      </c>
      <c r="AE315" s="29">
        <v>0.39583333333575865</v>
      </c>
    </row>
    <row r="316">
      <c r="A316" s="26">
        <v>43621.60393518519</v>
      </c>
      <c r="B316" s="12" t="s">
        <v>1744</v>
      </c>
      <c r="C316" s="12" t="s">
        <v>1700</v>
      </c>
      <c r="D316" s="12" t="s">
        <v>1916</v>
      </c>
      <c r="E316" s="12" t="s">
        <v>1623</v>
      </c>
      <c r="F316" s="27">
        <v>43621.0</v>
      </c>
      <c r="G316" s="12" t="s">
        <v>2339</v>
      </c>
      <c r="H316" s="29">
        <v>0.7916666666642413</v>
      </c>
      <c r="I316" s="26">
        <v>43621.8125</v>
      </c>
      <c r="J316" s="12" t="s">
        <v>1658</v>
      </c>
      <c r="L316" s="12" t="s">
        <v>1788</v>
      </c>
      <c r="M316" s="12" t="s">
        <v>1706</v>
      </c>
      <c r="N316" s="12" t="s">
        <v>2340</v>
      </c>
      <c r="O316" s="12" t="s">
        <v>1708</v>
      </c>
      <c r="P316" s="12" t="s">
        <v>1696</v>
      </c>
      <c r="Q316" s="12" t="s">
        <v>1696</v>
      </c>
      <c r="R316" s="12" t="s">
        <v>1696</v>
      </c>
      <c r="S316" s="12" t="s">
        <v>1696</v>
      </c>
      <c r="T316" s="12" t="s">
        <v>1696</v>
      </c>
      <c r="U316" s="12" t="s">
        <v>1696</v>
      </c>
      <c r="V316" s="12" t="s">
        <v>1696</v>
      </c>
      <c r="W316" s="12" t="s">
        <v>1696</v>
      </c>
      <c r="X316" s="12" t="s">
        <v>1696</v>
      </c>
      <c r="Y316" s="12" t="s">
        <v>1696</v>
      </c>
      <c r="Z316" s="12" t="s">
        <v>1696</v>
      </c>
      <c r="AA316" s="12" t="s">
        <v>1696</v>
      </c>
      <c r="AB316" s="12" t="s">
        <v>1696</v>
      </c>
      <c r="AE316" s="29">
        <v>0.625</v>
      </c>
    </row>
    <row r="317">
      <c r="A317" s="26">
        <v>43626.27949103009</v>
      </c>
      <c r="B317" s="12" t="s">
        <v>1744</v>
      </c>
      <c r="C317" s="12" t="s">
        <v>1710</v>
      </c>
      <c r="D317" s="12" t="s">
        <v>1916</v>
      </c>
      <c r="E317" s="12" t="s">
        <v>1623</v>
      </c>
      <c r="F317" s="27">
        <v>43626.0</v>
      </c>
      <c r="G317" s="12" t="s">
        <v>2104</v>
      </c>
      <c r="H317" s="29">
        <v>0.5833333333357587</v>
      </c>
      <c r="I317" s="26">
        <v>43626.60416666667</v>
      </c>
      <c r="J317" s="12" t="s">
        <v>1693</v>
      </c>
      <c r="L317" s="12" t="s">
        <v>1720</v>
      </c>
      <c r="M317" s="12" t="s">
        <v>2341</v>
      </c>
      <c r="N317" s="12" t="s">
        <v>2342</v>
      </c>
      <c r="O317" s="12" t="s">
        <v>1708</v>
      </c>
      <c r="P317" s="12" t="s">
        <v>1696</v>
      </c>
      <c r="Q317" s="12" t="s">
        <v>1696</v>
      </c>
      <c r="R317" s="12" t="s">
        <v>1696</v>
      </c>
      <c r="S317" s="12" t="s">
        <v>1696</v>
      </c>
      <c r="T317" s="12" t="s">
        <v>1696</v>
      </c>
      <c r="U317" s="12" t="s">
        <v>1696</v>
      </c>
      <c r="V317" s="12" t="s">
        <v>1696</v>
      </c>
      <c r="W317" s="12" t="s">
        <v>1696</v>
      </c>
      <c r="X317" s="12" t="s">
        <v>1696</v>
      </c>
      <c r="Y317" s="12" t="s">
        <v>1696</v>
      </c>
      <c r="Z317" s="12" t="s">
        <v>1696</v>
      </c>
      <c r="AA317" s="12" t="s">
        <v>1696</v>
      </c>
      <c r="AB317" s="12" t="s">
        <v>1696</v>
      </c>
      <c r="AE317" s="29">
        <v>0.29166666666424135</v>
      </c>
    </row>
    <row r="318">
      <c r="A318" s="26">
        <v>43627.28334494213</v>
      </c>
      <c r="B318" s="12" t="s">
        <v>1699</v>
      </c>
      <c r="C318" s="12" t="s">
        <v>1710</v>
      </c>
      <c r="D318" s="12" t="s">
        <v>1916</v>
      </c>
      <c r="E318" s="12" t="s">
        <v>1836</v>
      </c>
      <c r="F318" s="27">
        <v>43627.0</v>
      </c>
      <c r="G318" s="12" t="s">
        <v>2104</v>
      </c>
      <c r="H318" s="29">
        <v>0.5833333333357587</v>
      </c>
      <c r="I318" s="26">
        <v>43627.60416666667</v>
      </c>
      <c r="J318" s="12" t="s">
        <v>1693</v>
      </c>
      <c r="L318" s="12" t="s">
        <v>1720</v>
      </c>
      <c r="M318" s="12" t="s">
        <v>2341</v>
      </c>
      <c r="N318" s="12" t="s">
        <v>2343</v>
      </c>
      <c r="O318" s="12" t="s">
        <v>1708</v>
      </c>
      <c r="P318" s="12" t="s">
        <v>1696</v>
      </c>
      <c r="Q318" s="12" t="s">
        <v>1696</v>
      </c>
      <c r="R318" s="12" t="s">
        <v>1696</v>
      </c>
      <c r="S318" s="12" t="s">
        <v>1696</v>
      </c>
      <c r="T318" s="12" t="s">
        <v>1696</v>
      </c>
      <c r="U318" s="12" t="s">
        <v>1696</v>
      </c>
      <c r="V318" s="12" t="s">
        <v>1696</v>
      </c>
      <c r="W318" s="12" t="s">
        <v>1696</v>
      </c>
      <c r="X318" s="12" t="s">
        <v>1696</v>
      </c>
      <c r="Y318" s="12" t="s">
        <v>1696</v>
      </c>
      <c r="Z318" s="12" t="s">
        <v>1696</v>
      </c>
      <c r="AA318" s="12" t="s">
        <v>1696</v>
      </c>
      <c r="AB318" s="12" t="s">
        <v>1696</v>
      </c>
      <c r="AE318" s="29">
        <v>0.32291666666424135</v>
      </c>
    </row>
    <row r="319">
      <c r="A319" s="26">
        <v>43628.35302855324</v>
      </c>
      <c r="B319" s="12" t="s">
        <v>1735</v>
      </c>
      <c r="C319" s="12" t="s">
        <v>1727</v>
      </c>
      <c r="D319" s="12" t="s">
        <v>1728</v>
      </c>
      <c r="E319" s="12" t="s">
        <v>1809</v>
      </c>
      <c r="F319" s="27">
        <v>43628.0</v>
      </c>
      <c r="G319" s="12" t="s">
        <v>2220</v>
      </c>
      <c r="H319" s="29">
        <v>0.6666666666642413</v>
      </c>
      <c r="J319" s="12" t="s">
        <v>1704</v>
      </c>
      <c r="L319" s="12" t="s">
        <v>1626</v>
      </c>
      <c r="M319" s="12" t="s">
        <v>1785</v>
      </c>
      <c r="N319" s="12" t="s">
        <v>2344</v>
      </c>
      <c r="O319" s="12" t="s">
        <v>1735</v>
      </c>
      <c r="P319" s="12" t="s">
        <v>1696</v>
      </c>
      <c r="Q319" s="12" t="s">
        <v>1696</v>
      </c>
      <c r="R319" s="12" t="s">
        <v>1696</v>
      </c>
      <c r="S319" s="12" t="s">
        <v>1696</v>
      </c>
      <c r="T319" s="12" t="s">
        <v>1696</v>
      </c>
      <c r="U319" s="12" t="s">
        <v>1696</v>
      </c>
      <c r="V319" s="12" t="s">
        <v>1696</v>
      </c>
      <c r="W319" s="12" t="s">
        <v>1696</v>
      </c>
      <c r="X319" s="12" t="s">
        <v>1696</v>
      </c>
      <c r="Y319" s="12" t="s">
        <v>1696</v>
      </c>
      <c r="Z319" s="12" t="s">
        <v>1696</v>
      </c>
      <c r="AA319" s="12" t="s">
        <v>1696</v>
      </c>
      <c r="AB319" s="12" t="s">
        <v>1696</v>
      </c>
      <c r="AE319" s="29">
        <v>0.38541666666424135</v>
      </c>
    </row>
    <row r="320">
      <c r="A320" s="26">
        <v>43629.41591462963</v>
      </c>
      <c r="B320" s="12" t="s">
        <v>1735</v>
      </c>
      <c r="C320" s="12" t="s">
        <v>1727</v>
      </c>
      <c r="D320" s="12" t="s">
        <v>1728</v>
      </c>
      <c r="E320" s="12" t="s">
        <v>1809</v>
      </c>
      <c r="F320" s="27">
        <v>43629.0</v>
      </c>
      <c r="G320" s="12" t="s">
        <v>2220</v>
      </c>
      <c r="H320" s="29">
        <v>0.6875</v>
      </c>
      <c r="J320" s="12" t="s">
        <v>1704</v>
      </c>
      <c r="L320" s="12" t="s">
        <v>1626</v>
      </c>
      <c r="M320" s="12" t="s">
        <v>1785</v>
      </c>
      <c r="N320" s="12" t="s">
        <v>2345</v>
      </c>
      <c r="O320" s="12" t="s">
        <v>1735</v>
      </c>
      <c r="P320" s="12" t="s">
        <v>1696</v>
      </c>
      <c r="Q320" s="12" t="s">
        <v>1696</v>
      </c>
      <c r="R320" s="12" t="s">
        <v>1696</v>
      </c>
      <c r="T320" s="12" t="s">
        <v>1696</v>
      </c>
      <c r="U320" s="12" t="s">
        <v>1696</v>
      </c>
      <c r="V320" s="12" t="s">
        <v>1696</v>
      </c>
      <c r="W320" s="12" t="s">
        <v>1696</v>
      </c>
      <c r="X320" s="12" t="s">
        <v>1696</v>
      </c>
      <c r="Y320" s="12" t="s">
        <v>1696</v>
      </c>
      <c r="Z320" s="12" t="s">
        <v>1696</v>
      </c>
      <c r="AA320" s="12" t="s">
        <v>1696</v>
      </c>
      <c r="AB320" s="12" t="s">
        <v>1696</v>
      </c>
      <c r="AE320" s="29">
        <v>0.4375</v>
      </c>
    </row>
    <row r="321">
      <c r="A321" s="26">
        <v>43630.358919791666</v>
      </c>
      <c r="B321" s="12" t="s">
        <v>1735</v>
      </c>
      <c r="C321" s="12" t="s">
        <v>1727</v>
      </c>
      <c r="D321" s="12" t="s">
        <v>1728</v>
      </c>
      <c r="E321" s="12" t="s">
        <v>1809</v>
      </c>
      <c r="F321" s="27">
        <v>43630.0</v>
      </c>
      <c r="G321" s="12" t="s">
        <v>2275</v>
      </c>
      <c r="H321" s="29">
        <v>0.6875</v>
      </c>
      <c r="J321" s="12" t="s">
        <v>1704</v>
      </c>
      <c r="L321" s="12" t="s">
        <v>1626</v>
      </c>
      <c r="M321" s="12" t="s">
        <v>1785</v>
      </c>
      <c r="N321" s="12" t="s">
        <v>2346</v>
      </c>
      <c r="O321" s="12" t="s">
        <v>1735</v>
      </c>
      <c r="P321" s="12" t="s">
        <v>1696</v>
      </c>
      <c r="Q321" s="12" t="s">
        <v>1696</v>
      </c>
      <c r="R321" s="12" t="s">
        <v>1696</v>
      </c>
      <c r="S321" s="12" t="s">
        <v>1696</v>
      </c>
      <c r="T321" s="12" t="s">
        <v>1696</v>
      </c>
      <c r="U321" s="12" t="s">
        <v>1696</v>
      </c>
      <c r="V321" s="12" t="s">
        <v>1696</v>
      </c>
      <c r="W321" s="12" t="s">
        <v>1696</v>
      </c>
      <c r="X321" s="12" t="s">
        <v>1696</v>
      </c>
      <c r="Y321" s="12" t="s">
        <v>1696</v>
      </c>
      <c r="Z321" s="12" t="s">
        <v>1696</v>
      </c>
      <c r="AA321" s="12" t="s">
        <v>1696</v>
      </c>
      <c r="AB321" s="12" t="s">
        <v>1696</v>
      </c>
      <c r="AE321" s="29">
        <v>0.38541666666424135</v>
      </c>
    </row>
    <row r="322">
      <c r="A322" s="26">
        <v>43633.729534432874</v>
      </c>
      <c r="B322" s="12" t="s">
        <v>1717</v>
      </c>
      <c r="C322" s="12" t="s">
        <v>1718</v>
      </c>
      <c r="D322" s="12" t="s">
        <v>1916</v>
      </c>
      <c r="E322" s="12" t="s">
        <v>2347</v>
      </c>
      <c r="F322" s="27">
        <v>43634.0</v>
      </c>
      <c r="G322" s="12" t="s">
        <v>1792</v>
      </c>
      <c r="H322" s="29">
        <v>0.5833333333357587</v>
      </c>
      <c r="I322" s="26">
        <v>43633.60416666667</v>
      </c>
      <c r="J322" s="12" t="s">
        <v>1704</v>
      </c>
      <c r="L322" s="12" t="s">
        <v>1720</v>
      </c>
      <c r="M322" s="12" t="s">
        <v>1781</v>
      </c>
      <c r="N322" s="12" t="s">
        <v>2348</v>
      </c>
      <c r="O322" s="12" t="s">
        <v>1717</v>
      </c>
      <c r="P322" s="12" t="s">
        <v>1696</v>
      </c>
      <c r="Q322" s="12" t="s">
        <v>1696</v>
      </c>
      <c r="R322" s="12" t="s">
        <v>1696</v>
      </c>
      <c r="S322" s="12" t="s">
        <v>1696</v>
      </c>
      <c r="T322" s="12" t="s">
        <v>1696</v>
      </c>
      <c r="U322" s="12" t="s">
        <v>1696</v>
      </c>
      <c r="V322" s="12" t="s">
        <v>1696</v>
      </c>
      <c r="W322" s="12" t="s">
        <v>1696</v>
      </c>
      <c r="X322" s="12" t="s">
        <v>1696</v>
      </c>
      <c r="Y322" s="12" t="s">
        <v>1696</v>
      </c>
      <c r="Z322" s="12" t="s">
        <v>1696</v>
      </c>
      <c r="AA322" s="12" t="s">
        <v>1696</v>
      </c>
      <c r="AB322" s="12" t="s">
        <v>1696</v>
      </c>
      <c r="AE322" s="29">
        <v>0.35416666666424135</v>
      </c>
    </row>
    <row r="323">
      <c r="A323" s="26">
        <v>43634.36699412037</v>
      </c>
      <c r="B323" s="12" t="s">
        <v>1735</v>
      </c>
      <c r="C323" s="12" t="s">
        <v>1727</v>
      </c>
      <c r="D323" s="12" t="s">
        <v>1728</v>
      </c>
      <c r="E323" s="12" t="s">
        <v>2064</v>
      </c>
      <c r="F323" s="27">
        <v>43634.0</v>
      </c>
      <c r="G323" s="12" t="s">
        <v>1800</v>
      </c>
      <c r="H323" s="29">
        <v>0.5625</v>
      </c>
      <c r="J323" s="12" t="s">
        <v>2349</v>
      </c>
      <c r="K323" s="12">
        <v>4.0</v>
      </c>
      <c r="L323" s="12" t="s">
        <v>1626</v>
      </c>
      <c r="M323" s="12" t="s">
        <v>1785</v>
      </c>
      <c r="N323" s="12" t="s">
        <v>2350</v>
      </c>
      <c r="O323" s="12" t="s">
        <v>1735</v>
      </c>
      <c r="P323" s="12" t="s">
        <v>1696</v>
      </c>
      <c r="Q323" s="12" t="s">
        <v>1696</v>
      </c>
      <c r="R323" s="12" t="s">
        <v>1696</v>
      </c>
      <c r="S323" s="12" t="s">
        <v>1696</v>
      </c>
      <c r="T323" s="12" t="s">
        <v>1696</v>
      </c>
      <c r="U323" s="12" t="s">
        <v>1696</v>
      </c>
      <c r="V323" s="12" t="s">
        <v>1696</v>
      </c>
      <c r="W323" s="12" t="s">
        <v>1696</v>
      </c>
      <c r="X323" s="12" t="s">
        <v>1696</v>
      </c>
      <c r="Y323" s="12" t="s">
        <v>1696</v>
      </c>
      <c r="Z323" s="12" t="s">
        <v>1696</v>
      </c>
      <c r="AA323" s="12" t="s">
        <v>1696</v>
      </c>
      <c r="AB323" s="12" t="s">
        <v>1696</v>
      </c>
      <c r="AE323" s="29">
        <v>0.41666666666424135</v>
      </c>
    </row>
    <row r="324">
      <c r="A324" s="26">
        <v>43634.68493991898</v>
      </c>
      <c r="B324" s="12" t="s">
        <v>1735</v>
      </c>
      <c r="C324" s="12" t="s">
        <v>1727</v>
      </c>
      <c r="D324" s="12" t="s">
        <v>1728</v>
      </c>
      <c r="E324" s="12" t="s">
        <v>2064</v>
      </c>
      <c r="F324" s="27">
        <v>43635.0</v>
      </c>
      <c r="G324" s="12" t="s">
        <v>1800</v>
      </c>
      <c r="H324" s="29">
        <v>0.5104166666642413</v>
      </c>
      <c r="J324" s="12" t="s">
        <v>1685</v>
      </c>
      <c r="K324" s="12">
        <v>2.0</v>
      </c>
      <c r="L324" s="12" t="s">
        <v>1626</v>
      </c>
      <c r="M324" s="12" t="s">
        <v>1785</v>
      </c>
      <c r="N324" s="12" t="s">
        <v>2351</v>
      </c>
      <c r="O324" s="12" t="s">
        <v>1735</v>
      </c>
      <c r="P324" s="12" t="s">
        <v>1696</v>
      </c>
      <c r="Q324" s="12" t="s">
        <v>1696</v>
      </c>
      <c r="R324" s="12" t="s">
        <v>1696</v>
      </c>
      <c r="S324" s="12" t="s">
        <v>1696</v>
      </c>
      <c r="T324" s="12" t="s">
        <v>1696</v>
      </c>
      <c r="U324" s="12" t="s">
        <v>1696</v>
      </c>
      <c r="V324" s="12" t="s">
        <v>1696</v>
      </c>
      <c r="W324" s="12" t="s">
        <v>1696</v>
      </c>
      <c r="X324" s="12" t="s">
        <v>1696</v>
      </c>
      <c r="Y324" s="12" t="s">
        <v>1696</v>
      </c>
      <c r="Z324" s="12" t="s">
        <v>1696</v>
      </c>
      <c r="AA324" s="12" t="s">
        <v>1696</v>
      </c>
      <c r="AB324" s="12" t="s">
        <v>1696</v>
      </c>
      <c r="AE324" s="29">
        <v>0.38541666666424135</v>
      </c>
    </row>
    <row r="325">
      <c r="A325" s="26">
        <v>43635.73199023148</v>
      </c>
      <c r="B325" s="12" t="s">
        <v>1735</v>
      </c>
      <c r="C325" s="12" t="s">
        <v>1727</v>
      </c>
      <c r="D325" s="12" t="s">
        <v>1728</v>
      </c>
      <c r="E325" s="12" t="s">
        <v>2352</v>
      </c>
      <c r="F325" s="27">
        <v>43636.0</v>
      </c>
      <c r="G325" s="12" t="s">
        <v>2353</v>
      </c>
      <c r="H325" s="29">
        <v>0.7083333333357587</v>
      </c>
      <c r="M325" s="12" t="s">
        <v>1785</v>
      </c>
      <c r="N325" s="12" t="s">
        <v>2351</v>
      </c>
      <c r="O325" s="12" t="s">
        <v>1735</v>
      </c>
      <c r="P325" s="12" t="s">
        <v>1696</v>
      </c>
      <c r="Q325" s="12" t="s">
        <v>1696</v>
      </c>
      <c r="R325" s="12" t="s">
        <v>1696</v>
      </c>
      <c r="S325" s="12" t="s">
        <v>1696</v>
      </c>
      <c r="T325" s="12" t="s">
        <v>1696</v>
      </c>
      <c r="U325" s="12" t="s">
        <v>1696</v>
      </c>
      <c r="V325" s="12" t="s">
        <v>1696</v>
      </c>
      <c r="W325" s="12" t="s">
        <v>1696</v>
      </c>
      <c r="X325" s="12" t="s">
        <v>1696</v>
      </c>
      <c r="Y325" s="12" t="s">
        <v>1696</v>
      </c>
      <c r="Z325" s="12" t="s">
        <v>1696</v>
      </c>
      <c r="AA325" s="12" t="s">
        <v>1696</v>
      </c>
      <c r="AB325" s="12" t="s">
        <v>1696</v>
      </c>
      <c r="AE325" s="29">
        <v>0.41666666666424135</v>
      </c>
    </row>
    <row r="326">
      <c r="A326" s="26">
        <v>43642.353918865745</v>
      </c>
      <c r="B326" s="12" t="s">
        <v>1717</v>
      </c>
      <c r="C326" s="12" t="s">
        <v>1718</v>
      </c>
      <c r="D326" s="12" t="s">
        <v>1916</v>
      </c>
      <c r="E326" s="12" t="s">
        <v>2354</v>
      </c>
      <c r="F326" s="27">
        <v>43642.0</v>
      </c>
      <c r="G326" s="12" t="s">
        <v>2355</v>
      </c>
      <c r="H326" s="29">
        <v>0.5</v>
      </c>
      <c r="I326" s="26">
        <v>43642.52083333333</v>
      </c>
      <c r="J326" s="12" t="s">
        <v>1658</v>
      </c>
      <c r="L326" s="12" t="s">
        <v>1720</v>
      </c>
      <c r="M326" s="12" t="s">
        <v>1781</v>
      </c>
      <c r="N326" s="12" t="s">
        <v>2356</v>
      </c>
      <c r="O326" s="12" t="s">
        <v>2095</v>
      </c>
      <c r="P326" s="12" t="s">
        <v>1696</v>
      </c>
      <c r="Q326" s="12" t="s">
        <v>1696</v>
      </c>
      <c r="R326" s="12" t="s">
        <v>1696</v>
      </c>
      <c r="S326" s="12" t="s">
        <v>1696</v>
      </c>
      <c r="T326" s="12" t="s">
        <v>1696</v>
      </c>
      <c r="U326" s="12" t="s">
        <v>1696</v>
      </c>
      <c r="V326" s="12" t="s">
        <v>1696</v>
      </c>
      <c r="W326" s="12" t="s">
        <v>1696</v>
      </c>
      <c r="X326" s="12" t="s">
        <v>1696</v>
      </c>
      <c r="Y326" s="12" t="s">
        <v>1696</v>
      </c>
      <c r="Z326" s="12" t="s">
        <v>1696</v>
      </c>
      <c r="AA326" s="12" t="s">
        <v>1696</v>
      </c>
      <c r="AB326" s="12" t="s">
        <v>1696</v>
      </c>
      <c r="AE326" s="29">
        <v>0.39583333333575865</v>
      </c>
    </row>
    <row r="327">
      <c r="A327" s="26">
        <v>43644.39692825232</v>
      </c>
      <c r="B327" s="12" t="s">
        <v>2357</v>
      </c>
      <c r="C327" s="12" t="s">
        <v>1966</v>
      </c>
      <c r="D327" s="12" t="s">
        <v>1916</v>
      </c>
      <c r="E327" s="12" t="s">
        <v>2231</v>
      </c>
      <c r="F327" s="27">
        <v>43644.0</v>
      </c>
      <c r="G327" s="12" t="s">
        <v>2126</v>
      </c>
      <c r="H327" s="29">
        <v>0.5833333333357587</v>
      </c>
      <c r="I327" s="26">
        <v>43644.625</v>
      </c>
      <c r="J327" s="12" t="s">
        <v>1658</v>
      </c>
      <c r="L327" s="12" t="s">
        <v>1626</v>
      </c>
      <c r="M327" s="12" t="s">
        <v>1706</v>
      </c>
      <c r="N327" s="12" t="s">
        <v>2358</v>
      </c>
      <c r="O327" s="12" t="s">
        <v>2359</v>
      </c>
      <c r="P327" s="12" t="s">
        <v>1696</v>
      </c>
      <c r="Q327" s="12" t="s">
        <v>1696</v>
      </c>
      <c r="R327" s="12" t="s">
        <v>1696</v>
      </c>
      <c r="S327" s="12" t="s">
        <v>1696</v>
      </c>
      <c r="T327" s="12" t="s">
        <v>1696</v>
      </c>
      <c r="U327" s="12" t="s">
        <v>1696</v>
      </c>
      <c r="V327" s="12" t="s">
        <v>1696</v>
      </c>
      <c r="W327" s="12" t="s">
        <v>1696</v>
      </c>
      <c r="X327" s="12" t="s">
        <v>1696</v>
      </c>
      <c r="Y327" s="12" t="s">
        <v>1696</v>
      </c>
      <c r="Z327" s="12" t="s">
        <v>1696</v>
      </c>
      <c r="AA327" s="12" t="s">
        <v>1696</v>
      </c>
      <c r="AB327" s="12" t="s">
        <v>1696</v>
      </c>
      <c r="AE327" s="29">
        <v>0.375</v>
      </c>
    </row>
    <row r="328">
      <c r="A328" s="26">
        <v>43647.515463958334</v>
      </c>
      <c r="B328" s="12" t="s">
        <v>1699</v>
      </c>
      <c r="C328" s="12" t="s">
        <v>1710</v>
      </c>
      <c r="D328" s="12" t="s">
        <v>1916</v>
      </c>
      <c r="E328" s="12" t="s">
        <v>1623</v>
      </c>
      <c r="F328" s="27">
        <v>43647.0</v>
      </c>
      <c r="G328" s="12" t="s">
        <v>2269</v>
      </c>
      <c r="H328" s="29">
        <v>0.75</v>
      </c>
      <c r="I328" s="26">
        <v>43647.77083333333</v>
      </c>
      <c r="J328" s="12" t="s">
        <v>1658</v>
      </c>
      <c r="L328" s="12" t="s">
        <v>1626</v>
      </c>
      <c r="M328" s="12" t="s">
        <v>1706</v>
      </c>
      <c r="N328" s="12" t="s">
        <v>2168</v>
      </c>
      <c r="O328" s="12" t="s">
        <v>1708</v>
      </c>
      <c r="P328" s="12" t="s">
        <v>1696</v>
      </c>
      <c r="Q328" s="12" t="s">
        <v>1696</v>
      </c>
      <c r="R328" s="12" t="s">
        <v>1696</v>
      </c>
      <c r="S328" s="12" t="s">
        <v>1696</v>
      </c>
      <c r="T328" s="12" t="s">
        <v>1696</v>
      </c>
      <c r="U328" s="12" t="s">
        <v>1696</v>
      </c>
      <c r="V328" s="12" t="s">
        <v>1696</v>
      </c>
      <c r="W328" s="12" t="s">
        <v>1696</v>
      </c>
      <c r="X328" s="12" t="s">
        <v>1696</v>
      </c>
      <c r="Y328" s="12" t="s">
        <v>1696</v>
      </c>
      <c r="Z328" s="12" t="s">
        <v>1696</v>
      </c>
      <c r="AA328" s="12" t="s">
        <v>1696</v>
      </c>
      <c r="AB328" s="12" t="s">
        <v>1696</v>
      </c>
      <c r="AE328" s="29">
        <v>0.5416666666642413</v>
      </c>
    </row>
    <row r="329">
      <c r="A329" s="26">
        <v>43647.66340347222</v>
      </c>
      <c r="B329" s="12" t="s">
        <v>2095</v>
      </c>
      <c r="C329" s="12" t="s">
        <v>1718</v>
      </c>
      <c r="D329" s="12" t="s">
        <v>1958</v>
      </c>
      <c r="E329" s="12" t="s">
        <v>2162</v>
      </c>
      <c r="F329" s="27">
        <v>43648.0</v>
      </c>
      <c r="G329" s="12" t="s">
        <v>1856</v>
      </c>
      <c r="H329" s="29">
        <v>0.5208333333357587</v>
      </c>
      <c r="I329" s="26">
        <v>43648.54166666667</v>
      </c>
      <c r="J329" s="12" t="s">
        <v>1658</v>
      </c>
      <c r="L329" s="12" t="s">
        <v>1626</v>
      </c>
      <c r="M329" s="12" t="s">
        <v>2360</v>
      </c>
      <c r="N329" s="12" t="s">
        <v>2361</v>
      </c>
      <c r="O329" s="12" t="s">
        <v>2095</v>
      </c>
      <c r="P329" s="12" t="s">
        <v>1696</v>
      </c>
      <c r="Q329" s="12" t="s">
        <v>1696</v>
      </c>
      <c r="R329" s="12" t="s">
        <v>1696</v>
      </c>
      <c r="S329" s="12" t="s">
        <v>1696</v>
      </c>
      <c r="T329" s="12" t="s">
        <v>1696</v>
      </c>
      <c r="U329" s="12" t="s">
        <v>1696</v>
      </c>
      <c r="V329" s="12" t="s">
        <v>1696</v>
      </c>
      <c r="W329" s="12" t="s">
        <v>1696</v>
      </c>
      <c r="X329" s="12" t="s">
        <v>1696</v>
      </c>
      <c r="Y329" s="12" t="s">
        <v>1696</v>
      </c>
      <c r="Z329" s="12" t="s">
        <v>1696</v>
      </c>
      <c r="AA329" s="12" t="s">
        <v>1696</v>
      </c>
      <c r="AB329" s="12" t="s">
        <v>1696</v>
      </c>
      <c r="AE329" s="29">
        <v>0.35416666666424135</v>
      </c>
    </row>
    <row r="330">
      <c r="A330" s="26">
        <v>43648.68422519676</v>
      </c>
      <c r="B330" s="12" t="s">
        <v>2362</v>
      </c>
      <c r="C330" s="12" t="s">
        <v>2363</v>
      </c>
      <c r="D330" s="12" t="s">
        <v>1622</v>
      </c>
      <c r="E330" s="12" t="s">
        <v>2364</v>
      </c>
      <c r="F330" s="27">
        <v>43649.0</v>
      </c>
      <c r="G330" s="12" t="s">
        <v>2365</v>
      </c>
      <c r="H330" s="29">
        <v>0.47916666666424135</v>
      </c>
      <c r="I330" s="26">
        <v>43649.5</v>
      </c>
      <c r="J330" s="12" t="s">
        <v>1658</v>
      </c>
      <c r="L330" s="12" t="s">
        <v>1626</v>
      </c>
      <c r="M330" s="12" t="s">
        <v>2366</v>
      </c>
      <c r="N330" s="12" t="s">
        <v>2334</v>
      </c>
      <c r="O330" s="12" t="s">
        <v>2362</v>
      </c>
      <c r="P330" s="12" t="s">
        <v>1696</v>
      </c>
      <c r="Q330" s="12" t="s">
        <v>1696</v>
      </c>
      <c r="R330" s="12" t="s">
        <v>1696</v>
      </c>
      <c r="S330" s="12" t="s">
        <v>1696</v>
      </c>
      <c r="T330" s="12" t="s">
        <v>1696</v>
      </c>
      <c r="U330" s="12" t="s">
        <v>1696</v>
      </c>
      <c r="V330" s="12" t="s">
        <v>1696</v>
      </c>
      <c r="W330" s="12" t="s">
        <v>1696</v>
      </c>
      <c r="X330" s="12" t="s">
        <v>1696</v>
      </c>
      <c r="Y330" s="12" t="s">
        <v>1696</v>
      </c>
      <c r="Z330" s="12" t="s">
        <v>1696</v>
      </c>
      <c r="AA330" s="12" t="s">
        <v>1696</v>
      </c>
      <c r="AB330" s="12" t="s">
        <v>1696</v>
      </c>
      <c r="AC330" s="12" t="s">
        <v>2367</v>
      </c>
      <c r="AD330" s="12" t="s">
        <v>2367</v>
      </c>
      <c r="AE330" s="29">
        <v>0.35416666666424135</v>
      </c>
    </row>
    <row r="331">
      <c r="A331" s="26">
        <v>43649.596777893516</v>
      </c>
      <c r="B331" s="12" t="s">
        <v>2368</v>
      </c>
      <c r="C331" s="12" t="s">
        <v>2369</v>
      </c>
      <c r="D331" s="12" t="s">
        <v>1630</v>
      </c>
      <c r="E331" s="12" t="s">
        <v>2368</v>
      </c>
      <c r="F331" s="27">
        <v>43649.0</v>
      </c>
      <c r="G331" s="12" t="s">
        <v>2368</v>
      </c>
      <c r="H331" s="29">
        <v>0.6458333333357587</v>
      </c>
      <c r="I331" s="26">
        <v>43649.75</v>
      </c>
      <c r="J331" s="12" t="s">
        <v>1796</v>
      </c>
      <c r="K331" s="12">
        <v>1.0</v>
      </c>
      <c r="L331" s="12" t="s">
        <v>1788</v>
      </c>
      <c r="M331" s="12" t="s">
        <v>2368</v>
      </c>
      <c r="N331" s="12" t="s">
        <v>2370</v>
      </c>
      <c r="O331" s="12" t="s">
        <v>2368</v>
      </c>
      <c r="P331" s="12" t="s">
        <v>1696</v>
      </c>
      <c r="Q331" s="12" t="s">
        <v>1696</v>
      </c>
      <c r="R331" s="12" t="s">
        <v>1696</v>
      </c>
      <c r="S331" s="12" t="s">
        <v>1696</v>
      </c>
      <c r="T331" s="12" t="s">
        <v>1696</v>
      </c>
      <c r="U331" s="12" t="s">
        <v>1696</v>
      </c>
      <c r="V331" s="12" t="s">
        <v>1696</v>
      </c>
      <c r="W331" s="12" t="s">
        <v>1696</v>
      </c>
      <c r="X331" s="12" t="s">
        <v>1696</v>
      </c>
      <c r="Y331" s="12" t="s">
        <v>1696</v>
      </c>
      <c r="Z331" s="12" t="s">
        <v>1696</v>
      </c>
      <c r="AA331" s="12" t="s">
        <v>1696</v>
      </c>
      <c r="AB331" s="12" t="s">
        <v>1696</v>
      </c>
      <c r="AE331" s="29">
        <v>0.625</v>
      </c>
    </row>
    <row r="332">
      <c r="A332" s="26">
        <v>43654.28448268519</v>
      </c>
      <c r="B332" s="12" t="s">
        <v>1717</v>
      </c>
      <c r="C332" s="12" t="s">
        <v>2312</v>
      </c>
      <c r="D332" s="12" t="s">
        <v>1916</v>
      </c>
      <c r="E332" s="12" t="s">
        <v>1745</v>
      </c>
      <c r="F332" s="27">
        <v>43654.0</v>
      </c>
      <c r="G332" s="12" t="s">
        <v>2371</v>
      </c>
      <c r="H332" s="29">
        <v>0.625</v>
      </c>
      <c r="I332" s="26">
        <v>43654.63541666667</v>
      </c>
      <c r="J332" s="12" t="s">
        <v>1658</v>
      </c>
      <c r="L332" s="12" t="s">
        <v>1626</v>
      </c>
      <c r="M332" s="12" t="s">
        <v>1781</v>
      </c>
      <c r="N332" s="12" t="s">
        <v>2372</v>
      </c>
      <c r="O332" s="12" t="s">
        <v>2095</v>
      </c>
      <c r="P332" s="12" t="s">
        <v>1696</v>
      </c>
      <c r="Q332" s="12" t="s">
        <v>1696</v>
      </c>
      <c r="R332" s="12" t="s">
        <v>1696</v>
      </c>
      <c r="S332" s="12" t="s">
        <v>1696</v>
      </c>
      <c r="T332" s="12" t="s">
        <v>1696</v>
      </c>
      <c r="U332" s="12" t="s">
        <v>1696</v>
      </c>
      <c r="V332" s="12" t="s">
        <v>1696</v>
      </c>
      <c r="W332" s="12" t="s">
        <v>1696</v>
      </c>
      <c r="X332" s="12" t="s">
        <v>1696</v>
      </c>
      <c r="Y332" s="12" t="s">
        <v>1696</v>
      </c>
      <c r="Z332" s="12" t="s">
        <v>1696</v>
      </c>
      <c r="AA332" s="12" t="s">
        <v>1696</v>
      </c>
      <c r="AB332" s="12" t="s">
        <v>1696</v>
      </c>
      <c r="AE332" s="29">
        <v>0.29166666666424135</v>
      </c>
    </row>
    <row r="333">
      <c r="A333" s="26">
        <v>43655.461362118054</v>
      </c>
      <c r="B333" s="12" t="s">
        <v>1717</v>
      </c>
      <c r="C333" s="12" t="s">
        <v>2312</v>
      </c>
      <c r="D333" s="12" t="s">
        <v>1916</v>
      </c>
      <c r="E333" s="12" t="s">
        <v>2373</v>
      </c>
      <c r="F333" s="27">
        <v>43655.0</v>
      </c>
      <c r="G333" s="12" t="s">
        <v>2374</v>
      </c>
      <c r="H333" s="29">
        <v>0.5625</v>
      </c>
      <c r="I333" s="26">
        <v>43655.60416666667</v>
      </c>
      <c r="J333" s="12" t="s">
        <v>1658</v>
      </c>
      <c r="L333" s="12" t="s">
        <v>1626</v>
      </c>
      <c r="M333" s="12" t="s">
        <v>1918</v>
      </c>
      <c r="N333" s="12" t="s">
        <v>2088</v>
      </c>
      <c r="O333" s="12" t="s">
        <v>2274</v>
      </c>
      <c r="P333" s="12" t="s">
        <v>1696</v>
      </c>
      <c r="Q333" s="12" t="s">
        <v>1696</v>
      </c>
      <c r="R333" s="12" t="s">
        <v>1696</v>
      </c>
      <c r="S333" s="12" t="s">
        <v>1696</v>
      </c>
      <c r="T333" s="12" t="s">
        <v>1696</v>
      </c>
      <c r="U333" s="12" t="s">
        <v>1696</v>
      </c>
      <c r="V333" s="12" t="s">
        <v>1696</v>
      </c>
      <c r="W333" s="12" t="s">
        <v>1696</v>
      </c>
      <c r="X333" s="12" t="s">
        <v>1696</v>
      </c>
      <c r="Y333" s="12" t="s">
        <v>1696</v>
      </c>
      <c r="Z333" s="12" t="s">
        <v>1696</v>
      </c>
      <c r="AA333" s="12" t="s">
        <v>1696</v>
      </c>
      <c r="AB333" s="12" t="s">
        <v>1696</v>
      </c>
      <c r="AE333" s="29">
        <v>0.46527777778101154</v>
      </c>
    </row>
    <row r="334">
      <c r="A334" s="26">
        <v>43657.346283391205</v>
      </c>
      <c r="B334" s="12" t="s">
        <v>1735</v>
      </c>
      <c r="C334" s="12" t="s">
        <v>1727</v>
      </c>
      <c r="D334" s="12" t="s">
        <v>1728</v>
      </c>
      <c r="E334" s="12" t="s">
        <v>1809</v>
      </c>
      <c r="F334" s="27">
        <v>43657.0</v>
      </c>
      <c r="G334" s="12" t="s">
        <v>2300</v>
      </c>
      <c r="H334" s="29">
        <v>0.6875</v>
      </c>
      <c r="J334" s="12" t="s">
        <v>1704</v>
      </c>
      <c r="L334" s="12" t="s">
        <v>1626</v>
      </c>
      <c r="M334" s="12" t="s">
        <v>1785</v>
      </c>
      <c r="N334" s="12" t="s">
        <v>2375</v>
      </c>
      <c r="O334" s="12" t="s">
        <v>1735</v>
      </c>
      <c r="P334" s="12" t="s">
        <v>1696</v>
      </c>
      <c r="Q334" s="12" t="s">
        <v>1696</v>
      </c>
      <c r="R334" s="12" t="s">
        <v>1696</v>
      </c>
      <c r="S334" s="12" t="s">
        <v>1696</v>
      </c>
      <c r="T334" s="12" t="s">
        <v>1696</v>
      </c>
      <c r="U334" s="12" t="s">
        <v>1696</v>
      </c>
      <c r="V334" s="12" t="s">
        <v>1696</v>
      </c>
      <c r="W334" s="12" t="s">
        <v>1696</v>
      </c>
      <c r="X334" s="12" t="s">
        <v>1696</v>
      </c>
      <c r="Y334" s="12" t="s">
        <v>1696</v>
      </c>
      <c r="Z334" s="12" t="s">
        <v>1696</v>
      </c>
      <c r="AA334" s="12" t="s">
        <v>1696</v>
      </c>
      <c r="AB334" s="12" t="s">
        <v>1696</v>
      </c>
      <c r="AE334" s="29">
        <v>0.38541666666424135</v>
      </c>
    </row>
    <row r="335">
      <c r="A335" s="26">
        <v>43657.418944791665</v>
      </c>
      <c r="B335" s="12" t="s">
        <v>1744</v>
      </c>
      <c r="C335" s="12" t="s">
        <v>1710</v>
      </c>
      <c r="D335" s="12" t="s">
        <v>1916</v>
      </c>
      <c r="E335" s="12" t="s">
        <v>1926</v>
      </c>
      <c r="F335" s="27">
        <v>43657.0</v>
      </c>
      <c r="G335" s="12" t="s">
        <v>2043</v>
      </c>
      <c r="H335" s="29">
        <v>0.5833333333357587</v>
      </c>
      <c r="I335" s="26">
        <v>43657.60416666667</v>
      </c>
      <c r="J335" s="12" t="s">
        <v>1625</v>
      </c>
      <c r="L335" s="12" t="s">
        <v>2376</v>
      </c>
      <c r="M335" s="12" t="s">
        <v>1706</v>
      </c>
      <c r="N335" s="12" t="s">
        <v>2377</v>
      </c>
      <c r="O335" s="12" t="s">
        <v>1708</v>
      </c>
      <c r="P335" s="12" t="s">
        <v>1696</v>
      </c>
      <c r="Q335" s="12" t="s">
        <v>1696</v>
      </c>
      <c r="R335" s="12" t="s">
        <v>1696</v>
      </c>
      <c r="S335" s="12" t="s">
        <v>1696</v>
      </c>
      <c r="T335" s="12" t="s">
        <v>1696</v>
      </c>
      <c r="U335" s="12" t="s">
        <v>1696</v>
      </c>
      <c r="V335" s="12" t="s">
        <v>1696</v>
      </c>
      <c r="W335" s="12" t="s">
        <v>1696</v>
      </c>
      <c r="X335" s="12" t="s">
        <v>1696</v>
      </c>
      <c r="Y335" s="12" t="s">
        <v>1696</v>
      </c>
      <c r="Z335" s="12" t="s">
        <v>1696</v>
      </c>
      <c r="AA335" s="12" t="s">
        <v>1696</v>
      </c>
      <c r="AB335" s="12" t="s">
        <v>1696</v>
      </c>
      <c r="AE335" s="29">
        <v>0.41666666666424135</v>
      </c>
    </row>
    <row r="336">
      <c r="A336" s="26">
        <v>43658.41978898148</v>
      </c>
      <c r="B336" s="12" t="s">
        <v>1699</v>
      </c>
      <c r="C336" s="12" t="s">
        <v>2378</v>
      </c>
      <c r="D336" s="12" t="s">
        <v>1916</v>
      </c>
      <c r="E336" s="12" t="s">
        <v>2379</v>
      </c>
      <c r="F336" s="27">
        <v>43658.0</v>
      </c>
      <c r="G336" s="12" t="s">
        <v>2380</v>
      </c>
      <c r="H336" s="29">
        <v>0.6666666666642413</v>
      </c>
      <c r="I336" s="26">
        <v>43658.6875</v>
      </c>
      <c r="J336" s="12" t="s">
        <v>1625</v>
      </c>
      <c r="L336" s="12" t="s">
        <v>2381</v>
      </c>
      <c r="M336" s="12" t="s">
        <v>1706</v>
      </c>
      <c r="N336" s="12" t="s">
        <v>2382</v>
      </c>
      <c r="O336" s="12" t="s">
        <v>1708</v>
      </c>
      <c r="P336" s="12" t="s">
        <v>1696</v>
      </c>
      <c r="Q336" s="12" t="s">
        <v>1696</v>
      </c>
      <c r="R336" s="12" t="s">
        <v>1696</v>
      </c>
      <c r="S336" s="12" t="s">
        <v>1696</v>
      </c>
      <c r="T336" s="12" t="s">
        <v>1696</v>
      </c>
      <c r="U336" s="12" t="s">
        <v>1696</v>
      </c>
      <c r="V336" s="12" t="s">
        <v>1696</v>
      </c>
      <c r="W336" s="12" t="s">
        <v>1696</v>
      </c>
      <c r="X336" s="12" t="s">
        <v>1696</v>
      </c>
      <c r="Y336" s="12" t="s">
        <v>1696</v>
      </c>
      <c r="Z336" s="12" t="s">
        <v>1696</v>
      </c>
      <c r="AA336" s="12" t="s">
        <v>1696</v>
      </c>
      <c r="AB336" s="12" t="s">
        <v>1696</v>
      </c>
      <c r="AE336" s="29">
        <v>0.41666666666424135</v>
      </c>
    </row>
    <row r="337">
      <c r="A337" s="26">
        <v>43661.310494375</v>
      </c>
      <c r="B337" s="12" t="s">
        <v>2095</v>
      </c>
      <c r="C337" s="12" t="s">
        <v>1718</v>
      </c>
      <c r="D337" s="12" t="s">
        <v>1916</v>
      </c>
      <c r="E337" s="12" t="s">
        <v>2373</v>
      </c>
      <c r="F337" s="27">
        <v>43661.0</v>
      </c>
      <c r="G337" s="12" t="s">
        <v>1792</v>
      </c>
      <c r="H337" s="29">
        <v>0.5416666666642413</v>
      </c>
      <c r="I337" s="26">
        <v>43661.5625</v>
      </c>
      <c r="J337" s="12" t="s">
        <v>1704</v>
      </c>
      <c r="L337" s="12" t="s">
        <v>1626</v>
      </c>
      <c r="M337" s="12" t="s">
        <v>1781</v>
      </c>
      <c r="N337" s="12" t="s">
        <v>2383</v>
      </c>
      <c r="O337" s="12" t="s">
        <v>2095</v>
      </c>
      <c r="P337" s="12" t="s">
        <v>1696</v>
      </c>
      <c r="Q337" s="12" t="s">
        <v>1696</v>
      </c>
      <c r="R337" s="12" t="s">
        <v>1696</v>
      </c>
      <c r="S337" s="12" t="s">
        <v>1696</v>
      </c>
      <c r="T337" s="12" t="s">
        <v>1696</v>
      </c>
      <c r="U337" s="12" t="s">
        <v>1696</v>
      </c>
      <c r="V337" s="12" t="s">
        <v>1696</v>
      </c>
      <c r="W337" s="12" t="s">
        <v>1696</v>
      </c>
      <c r="X337" s="12" t="s">
        <v>1696</v>
      </c>
      <c r="Y337" s="12" t="s">
        <v>1696</v>
      </c>
      <c r="Z337" s="12" t="s">
        <v>1696</v>
      </c>
      <c r="AA337" s="12" t="s">
        <v>1696</v>
      </c>
      <c r="AB337" s="12" t="s">
        <v>1696</v>
      </c>
      <c r="AE337" s="29">
        <v>0.32986111110949423</v>
      </c>
    </row>
    <row r="338">
      <c r="A338" s="26">
        <v>43662.61286083334</v>
      </c>
      <c r="B338" s="12" t="s">
        <v>1735</v>
      </c>
      <c r="C338" s="12" t="s">
        <v>1727</v>
      </c>
      <c r="D338" s="12" t="s">
        <v>1728</v>
      </c>
      <c r="E338" s="12" t="s">
        <v>2384</v>
      </c>
      <c r="F338" s="27">
        <v>43662.0</v>
      </c>
      <c r="G338" s="12" t="s">
        <v>2385</v>
      </c>
      <c r="H338" s="29">
        <v>0.6666666666642413</v>
      </c>
      <c r="J338" s="12" t="s">
        <v>1704</v>
      </c>
      <c r="L338" s="12" t="s">
        <v>1626</v>
      </c>
      <c r="M338" s="12" t="s">
        <v>1785</v>
      </c>
      <c r="N338" s="12" t="s">
        <v>2008</v>
      </c>
      <c r="O338" s="12" t="s">
        <v>1735</v>
      </c>
      <c r="P338" s="12" t="s">
        <v>1696</v>
      </c>
      <c r="Q338" s="12" t="s">
        <v>1696</v>
      </c>
      <c r="R338" s="12" t="s">
        <v>1696</v>
      </c>
      <c r="S338" s="12" t="s">
        <v>1696</v>
      </c>
      <c r="T338" s="12" t="s">
        <v>1696</v>
      </c>
      <c r="U338" s="12" t="s">
        <v>1696</v>
      </c>
      <c r="V338" s="12" t="s">
        <v>1696</v>
      </c>
      <c r="W338" s="12" t="s">
        <v>1696</v>
      </c>
      <c r="X338" s="12" t="s">
        <v>1696</v>
      </c>
      <c r="Y338" s="12" t="s">
        <v>1696</v>
      </c>
      <c r="Z338" s="12" t="s">
        <v>1696</v>
      </c>
      <c r="AA338" s="12" t="s">
        <v>1696</v>
      </c>
      <c r="AB338" s="12" t="s">
        <v>1696</v>
      </c>
      <c r="AE338" s="29">
        <v>0.40625</v>
      </c>
    </row>
    <row r="339">
      <c r="A339" s="26">
        <v>43662.617034016206</v>
      </c>
      <c r="B339" s="12" t="s">
        <v>1735</v>
      </c>
      <c r="C339" s="12" t="s">
        <v>1727</v>
      </c>
      <c r="D339" s="12" t="s">
        <v>1728</v>
      </c>
      <c r="E339" s="12" t="s">
        <v>2384</v>
      </c>
      <c r="F339" s="27">
        <v>43663.0</v>
      </c>
      <c r="G339" s="12" t="s">
        <v>2385</v>
      </c>
      <c r="H339" s="29">
        <v>0.6666666666642413</v>
      </c>
      <c r="J339" s="12" t="s">
        <v>1704</v>
      </c>
      <c r="L339" s="12" t="s">
        <v>1626</v>
      </c>
      <c r="M339" s="12" t="s">
        <v>1785</v>
      </c>
      <c r="N339" s="12" t="s">
        <v>2008</v>
      </c>
      <c r="O339" s="12" t="s">
        <v>1735</v>
      </c>
      <c r="P339" s="12" t="s">
        <v>1696</v>
      </c>
      <c r="Q339" s="12" t="s">
        <v>1696</v>
      </c>
      <c r="R339" s="12" t="s">
        <v>1696</v>
      </c>
      <c r="S339" s="12" t="s">
        <v>1696</v>
      </c>
      <c r="T339" s="12" t="s">
        <v>1696</v>
      </c>
      <c r="U339" s="12" t="s">
        <v>1696</v>
      </c>
      <c r="V339" s="12" t="s">
        <v>1696</v>
      </c>
      <c r="W339" s="12" t="s">
        <v>1696</v>
      </c>
      <c r="X339" s="12" t="s">
        <v>1696</v>
      </c>
      <c r="Y339" s="12" t="s">
        <v>1696</v>
      </c>
      <c r="Z339" s="12" t="s">
        <v>1696</v>
      </c>
      <c r="AA339" s="12" t="s">
        <v>1696</v>
      </c>
      <c r="AB339" s="12" t="s">
        <v>1696</v>
      </c>
      <c r="AE339" s="29">
        <v>0.40625</v>
      </c>
    </row>
    <row r="340">
      <c r="A340" s="26">
        <v>43668.730862627315</v>
      </c>
      <c r="B340" s="12" t="s">
        <v>1735</v>
      </c>
      <c r="C340" s="12" t="s">
        <v>1727</v>
      </c>
      <c r="D340" s="12" t="s">
        <v>1728</v>
      </c>
      <c r="E340" s="12" t="s">
        <v>2386</v>
      </c>
      <c r="F340" s="27">
        <v>43668.0</v>
      </c>
      <c r="G340" s="12" t="s">
        <v>2387</v>
      </c>
      <c r="H340" s="29">
        <v>0.47916666666424135</v>
      </c>
      <c r="J340" s="12" t="s">
        <v>1730</v>
      </c>
      <c r="L340" s="12" t="s">
        <v>1626</v>
      </c>
      <c r="M340" s="12" t="s">
        <v>1785</v>
      </c>
      <c r="N340" s="12" t="s">
        <v>2388</v>
      </c>
      <c r="O340" s="12" t="s">
        <v>1735</v>
      </c>
      <c r="P340" s="12" t="s">
        <v>1696</v>
      </c>
      <c r="Q340" s="12" t="s">
        <v>1696</v>
      </c>
      <c r="R340" s="12" t="s">
        <v>1696</v>
      </c>
      <c r="S340" s="12" t="s">
        <v>1696</v>
      </c>
      <c r="T340" s="12" t="s">
        <v>1696</v>
      </c>
      <c r="U340" s="12" t="s">
        <v>1696</v>
      </c>
      <c r="V340" s="12" t="s">
        <v>1696</v>
      </c>
      <c r="W340" s="12" t="s">
        <v>1696</v>
      </c>
      <c r="X340" s="12" t="s">
        <v>1696</v>
      </c>
      <c r="Y340" s="12" t="s">
        <v>1696</v>
      </c>
      <c r="Z340" s="12" t="s">
        <v>1696</v>
      </c>
      <c r="AA340" s="12" t="s">
        <v>1696</v>
      </c>
      <c r="AB340" s="12" t="s">
        <v>1696</v>
      </c>
      <c r="AE340" s="29">
        <v>0.375</v>
      </c>
    </row>
    <row r="341">
      <c r="A341" s="26">
        <v>43670.28175126157</v>
      </c>
      <c r="B341" s="12" t="s">
        <v>1699</v>
      </c>
      <c r="C341" s="12" t="s">
        <v>2389</v>
      </c>
      <c r="D341" s="12" t="s">
        <v>1916</v>
      </c>
      <c r="E341" s="12" t="s">
        <v>1623</v>
      </c>
      <c r="F341" s="27">
        <v>43670.0</v>
      </c>
      <c r="G341" s="12" t="s">
        <v>2292</v>
      </c>
      <c r="H341" s="29">
        <v>0.5833333333357587</v>
      </c>
      <c r="I341" s="26">
        <v>43670.60416666667</v>
      </c>
      <c r="J341" s="12" t="s">
        <v>1625</v>
      </c>
      <c r="L341" s="12" t="s">
        <v>1720</v>
      </c>
      <c r="M341" s="12" t="s">
        <v>1706</v>
      </c>
      <c r="N341" s="12" t="s">
        <v>2390</v>
      </c>
      <c r="O341" s="12" t="s">
        <v>1708</v>
      </c>
      <c r="P341" s="12" t="s">
        <v>1696</v>
      </c>
      <c r="Q341" s="12" t="s">
        <v>1696</v>
      </c>
      <c r="R341" s="12" t="s">
        <v>1696</v>
      </c>
      <c r="S341" s="12" t="s">
        <v>1696</v>
      </c>
      <c r="T341" s="12" t="s">
        <v>1696</v>
      </c>
      <c r="U341" s="12" t="s">
        <v>1696</v>
      </c>
      <c r="V341" s="12" t="s">
        <v>1696</v>
      </c>
      <c r="W341" s="12" t="s">
        <v>1696</v>
      </c>
      <c r="X341" s="12" t="s">
        <v>1696</v>
      </c>
      <c r="Y341" s="12" t="s">
        <v>1696</v>
      </c>
      <c r="Z341" s="12" t="s">
        <v>1696</v>
      </c>
      <c r="AA341" s="12" t="s">
        <v>1696</v>
      </c>
      <c r="AB341" s="12" t="s">
        <v>1696</v>
      </c>
      <c r="AE341" s="29">
        <v>0.29166666666424135</v>
      </c>
    </row>
    <row r="342">
      <c r="A342" s="26">
        <v>43671.320203923606</v>
      </c>
      <c r="B342" s="12" t="s">
        <v>1699</v>
      </c>
      <c r="C342" s="12" t="s">
        <v>2389</v>
      </c>
      <c r="D342" s="12" t="s">
        <v>1916</v>
      </c>
      <c r="E342" s="12" t="s">
        <v>1623</v>
      </c>
      <c r="F342" s="27">
        <v>43671.0</v>
      </c>
      <c r="G342" s="12" t="s">
        <v>1746</v>
      </c>
      <c r="H342" s="29">
        <v>0.5416666666642413</v>
      </c>
      <c r="I342" s="26">
        <v>43671.5625</v>
      </c>
      <c r="J342" s="12" t="s">
        <v>1625</v>
      </c>
      <c r="L342" s="12" t="s">
        <v>1720</v>
      </c>
      <c r="M342" s="12" t="s">
        <v>1706</v>
      </c>
      <c r="N342" s="12" t="s">
        <v>2391</v>
      </c>
      <c r="O342" s="12" t="s">
        <v>1708</v>
      </c>
      <c r="P342" s="12" t="s">
        <v>1696</v>
      </c>
      <c r="Q342" s="12" t="s">
        <v>1696</v>
      </c>
      <c r="R342" s="12" t="s">
        <v>1696</v>
      </c>
      <c r="S342" s="12" t="s">
        <v>1696</v>
      </c>
      <c r="T342" s="12" t="s">
        <v>1696</v>
      </c>
      <c r="U342" s="12" t="s">
        <v>1696</v>
      </c>
      <c r="V342" s="12" t="s">
        <v>1696</v>
      </c>
      <c r="W342" s="12" t="s">
        <v>1696</v>
      </c>
      <c r="X342" s="12" t="s">
        <v>1696</v>
      </c>
      <c r="Y342" s="12" t="s">
        <v>1696</v>
      </c>
      <c r="Z342" s="12" t="s">
        <v>1696</v>
      </c>
      <c r="AA342" s="12" t="s">
        <v>1696</v>
      </c>
      <c r="AB342" s="12" t="s">
        <v>1696</v>
      </c>
      <c r="AE342" s="29">
        <v>0.33333333333575865</v>
      </c>
    </row>
    <row r="343">
      <c r="A343" s="26">
        <v>43672.43747729166</v>
      </c>
      <c r="B343" s="12" t="s">
        <v>1891</v>
      </c>
      <c r="C343" s="12" t="s">
        <v>2392</v>
      </c>
      <c r="D343" s="12" t="s">
        <v>1916</v>
      </c>
      <c r="E343" s="12" t="s">
        <v>2058</v>
      </c>
      <c r="F343" s="27">
        <v>43672.0</v>
      </c>
      <c r="G343" s="12" t="s">
        <v>2393</v>
      </c>
      <c r="H343" s="29">
        <v>0.5833333333357587</v>
      </c>
      <c r="I343" s="26">
        <v>43672.125</v>
      </c>
      <c r="J343" s="12" t="s">
        <v>1625</v>
      </c>
      <c r="L343" s="12" t="s">
        <v>1720</v>
      </c>
      <c r="M343" s="12" t="s">
        <v>1706</v>
      </c>
      <c r="N343" s="12" t="s">
        <v>2394</v>
      </c>
      <c r="O343" s="12" t="s">
        <v>2395</v>
      </c>
      <c r="P343" s="12" t="s">
        <v>1696</v>
      </c>
      <c r="Q343" s="12" t="s">
        <v>1696</v>
      </c>
      <c r="R343" s="12" t="s">
        <v>1696</v>
      </c>
      <c r="S343" s="12" t="s">
        <v>1696</v>
      </c>
      <c r="T343" s="12" t="s">
        <v>1696</v>
      </c>
      <c r="U343" s="12" t="s">
        <v>1696</v>
      </c>
      <c r="V343" s="12" t="s">
        <v>1696</v>
      </c>
      <c r="W343" s="12" t="s">
        <v>1696</v>
      </c>
      <c r="X343" s="12" t="s">
        <v>1696</v>
      </c>
      <c r="Y343" s="12" t="s">
        <v>1696</v>
      </c>
      <c r="Z343" s="12" t="s">
        <v>1696</v>
      </c>
      <c r="AA343" s="12" t="s">
        <v>1696</v>
      </c>
      <c r="AB343" s="12" t="s">
        <v>1696</v>
      </c>
      <c r="AC343" s="12" t="s">
        <v>2396</v>
      </c>
      <c r="AD343" s="12" t="s">
        <v>2397</v>
      </c>
      <c r="AE343" s="29">
        <v>0.4375</v>
      </c>
    </row>
    <row r="344">
      <c r="A344" s="26">
        <v>43675.72448259259</v>
      </c>
      <c r="B344" s="12" t="s">
        <v>1717</v>
      </c>
      <c r="C344" s="12" t="s">
        <v>1718</v>
      </c>
      <c r="D344" s="12" t="s">
        <v>1916</v>
      </c>
      <c r="E344" s="12" t="s">
        <v>2373</v>
      </c>
      <c r="F344" s="27">
        <v>43676.0</v>
      </c>
      <c r="G344" s="12" t="s">
        <v>2398</v>
      </c>
      <c r="H344" s="29">
        <v>0.6979166666642413</v>
      </c>
      <c r="I344" s="26">
        <v>43676.70833333333</v>
      </c>
      <c r="J344" s="12" t="s">
        <v>1704</v>
      </c>
      <c r="L344" s="12" t="s">
        <v>1720</v>
      </c>
      <c r="M344" s="12" t="s">
        <v>1781</v>
      </c>
      <c r="N344" s="12" t="s">
        <v>2399</v>
      </c>
      <c r="O344" s="12" t="s">
        <v>2095</v>
      </c>
      <c r="P344" s="12" t="s">
        <v>1696</v>
      </c>
      <c r="Q344" s="12" t="s">
        <v>1696</v>
      </c>
      <c r="R344" s="12" t="s">
        <v>1696</v>
      </c>
      <c r="S344" s="12" t="s">
        <v>1696</v>
      </c>
      <c r="T344" s="12" t="s">
        <v>1696</v>
      </c>
      <c r="U344" s="12" t="s">
        <v>1696</v>
      </c>
      <c r="V344" s="12" t="s">
        <v>1696</v>
      </c>
      <c r="W344" s="12" t="s">
        <v>1696</v>
      </c>
      <c r="X344" s="12" t="s">
        <v>1696</v>
      </c>
      <c r="Y344" s="12" t="s">
        <v>1696</v>
      </c>
      <c r="Z344" s="12" t="s">
        <v>1696</v>
      </c>
      <c r="AA344" s="12" t="s">
        <v>1696</v>
      </c>
      <c r="AB344" s="12" t="s">
        <v>1696</v>
      </c>
      <c r="AE344" s="29">
        <v>0.32291666666424135</v>
      </c>
    </row>
    <row r="345">
      <c r="A345" s="26">
        <v>43676.46167386574</v>
      </c>
      <c r="B345" s="12" t="s">
        <v>1699</v>
      </c>
      <c r="C345" s="12" t="s">
        <v>2230</v>
      </c>
      <c r="D345" s="12" t="s">
        <v>2209</v>
      </c>
      <c r="E345" s="12" t="s">
        <v>1683</v>
      </c>
      <c r="F345" s="27">
        <v>43676.0</v>
      </c>
      <c r="G345" s="12" t="s">
        <v>2400</v>
      </c>
      <c r="H345" s="29">
        <v>0.5833333333357587</v>
      </c>
      <c r="I345" s="26">
        <v>43676.58333333333</v>
      </c>
      <c r="J345" s="12" t="s">
        <v>1730</v>
      </c>
      <c r="L345" s="12" t="s">
        <v>1788</v>
      </c>
      <c r="M345" s="12" t="s">
        <v>1627</v>
      </c>
      <c r="O345" s="12" t="s">
        <v>1708</v>
      </c>
      <c r="P345" s="12" t="s">
        <v>1696</v>
      </c>
      <c r="Q345" s="12" t="s">
        <v>1696</v>
      </c>
      <c r="R345" s="12" t="s">
        <v>1696</v>
      </c>
      <c r="S345" s="12" t="s">
        <v>1696</v>
      </c>
      <c r="T345" s="12" t="s">
        <v>1696</v>
      </c>
      <c r="U345" s="12" t="s">
        <v>1696</v>
      </c>
      <c r="V345" s="12" t="s">
        <v>1696</v>
      </c>
      <c r="W345" s="12" t="s">
        <v>1696</v>
      </c>
      <c r="X345" s="12" t="s">
        <v>1696</v>
      </c>
      <c r="Y345" s="12" t="s">
        <v>1696</v>
      </c>
      <c r="Z345" s="12" t="s">
        <v>1696</v>
      </c>
      <c r="AA345" s="12" t="s">
        <v>1696</v>
      </c>
      <c r="AB345" s="12" t="s">
        <v>1696</v>
      </c>
      <c r="AE345" s="29">
        <v>0.45833333333575865</v>
      </c>
    </row>
    <row r="346">
      <c r="A346" s="26">
        <v>43677.35346140046</v>
      </c>
      <c r="B346" s="12" t="s">
        <v>1726</v>
      </c>
      <c r="C346" s="12" t="s">
        <v>1727</v>
      </c>
      <c r="D346" s="12" t="s">
        <v>1728</v>
      </c>
      <c r="E346" s="12" t="s">
        <v>1809</v>
      </c>
      <c r="F346" s="27">
        <v>43677.0</v>
      </c>
      <c r="G346" s="12" t="s">
        <v>2401</v>
      </c>
      <c r="H346" s="29">
        <v>0.7083333333357587</v>
      </c>
      <c r="J346" s="12" t="s">
        <v>1704</v>
      </c>
      <c r="L346" s="12" t="s">
        <v>1720</v>
      </c>
      <c r="M346" s="12" t="s">
        <v>1785</v>
      </c>
      <c r="N346" s="12" t="s">
        <v>2402</v>
      </c>
      <c r="O346" s="12" t="s">
        <v>1735</v>
      </c>
      <c r="P346" s="12" t="s">
        <v>1696</v>
      </c>
      <c r="Q346" s="12" t="s">
        <v>1696</v>
      </c>
      <c r="R346" s="12" t="s">
        <v>1696</v>
      </c>
      <c r="S346" s="12" t="s">
        <v>1696</v>
      </c>
      <c r="T346" s="12" t="s">
        <v>1696</v>
      </c>
      <c r="U346" s="12" t="s">
        <v>1696</v>
      </c>
      <c r="V346" s="12" t="s">
        <v>1696</v>
      </c>
      <c r="W346" s="12" t="s">
        <v>1696</v>
      </c>
      <c r="X346" s="12" t="s">
        <v>1696</v>
      </c>
      <c r="Y346" s="12" t="s">
        <v>1696</v>
      </c>
      <c r="Z346" s="12" t="s">
        <v>1696</v>
      </c>
      <c r="AA346" s="12" t="s">
        <v>1696</v>
      </c>
      <c r="AB346" s="12" t="s">
        <v>1696</v>
      </c>
      <c r="AE346" s="29">
        <v>0.38541666666424135</v>
      </c>
    </row>
    <row r="347">
      <c r="A347" s="26">
        <v>43678.59821619213</v>
      </c>
      <c r="B347" s="12" t="s">
        <v>1744</v>
      </c>
      <c r="C347" s="12" t="s">
        <v>262</v>
      </c>
      <c r="D347" s="12" t="s">
        <v>1916</v>
      </c>
      <c r="E347" s="12" t="s">
        <v>1623</v>
      </c>
      <c r="F347" s="27">
        <v>43678.0</v>
      </c>
      <c r="G347" s="12" t="s">
        <v>2403</v>
      </c>
      <c r="H347" s="29">
        <v>0.7916666666642413</v>
      </c>
      <c r="I347" s="26">
        <v>43678.8125</v>
      </c>
      <c r="J347" s="12" t="s">
        <v>1704</v>
      </c>
      <c r="L347" s="12" t="s">
        <v>1720</v>
      </c>
      <c r="M347" s="12" t="s">
        <v>1706</v>
      </c>
      <c r="N347" s="12" t="s">
        <v>2404</v>
      </c>
      <c r="O347" s="12" t="s">
        <v>1708</v>
      </c>
      <c r="P347" s="12" t="s">
        <v>1696</v>
      </c>
      <c r="Q347" s="12" t="s">
        <v>1696</v>
      </c>
      <c r="R347" s="12" t="s">
        <v>1696</v>
      </c>
      <c r="S347" s="12" t="s">
        <v>1696</v>
      </c>
      <c r="T347" s="12" t="s">
        <v>1696</v>
      </c>
      <c r="U347" s="12" t="s">
        <v>1696</v>
      </c>
      <c r="V347" s="12" t="s">
        <v>1696</v>
      </c>
      <c r="W347" s="12" t="s">
        <v>1696</v>
      </c>
      <c r="X347" s="12" t="s">
        <v>1696</v>
      </c>
      <c r="Y347" s="12" t="s">
        <v>1696</v>
      </c>
      <c r="Z347" s="12" t="s">
        <v>1696</v>
      </c>
      <c r="AA347" s="12" t="s">
        <v>1696</v>
      </c>
      <c r="AB347" s="12" t="s">
        <v>1696</v>
      </c>
      <c r="AE347" s="29">
        <v>0.625</v>
      </c>
    </row>
    <row r="348">
      <c r="A348" s="26">
        <v>43682.59489329861</v>
      </c>
      <c r="B348" s="12" t="s">
        <v>1735</v>
      </c>
      <c r="C348" s="12" t="s">
        <v>1727</v>
      </c>
      <c r="D348" s="12" t="s">
        <v>1728</v>
      </c>
      <c r="E348" s="12" t="s">
        <v>1809</v>
      </c>
      <c r="F348" s="27">
        <v>43683.0</v>
      </c>
      <c r="G348" s="12" t="s">
        <v>2220</v>
      </c>
      <c r="H348" s="29">
        <v>0.6666666666642413</v>
      </c>
      <c r="J348" s="12" t="s">
        <v>1704</v>
      </c>
      <c r="L348" s="12" t="s">
        <v>1626</v>
      </c>
      <c r="M348" s="12" t="s">
        <v>1785</v>
      </c>
      <c r="N348" s="12" t="s">
        <v>2405</v>
      </c>
      <c r="O348" s="12" t="s">
        <v>1735</v>
      </c>
      <c r="P348" s="12" t="s">
        <v>1696</v>
      </c>
      <c r="Q348" s="12" t="s">
        <v>1696</v>
      </c>
      <c r="R348" s="12" t="s">
        <v>1696</v>
      </c>
      <c r="S348" s="12" t="s">
        <v>1696</v>
      </c>
      <c r="T348" s="12" t="s">
        <v>1696</v>
      </c>
      <c r="U348" s="12" t="s">
        <v>1696</v>
      </c>
      <c r="V348" s="12" t="s">
        <v>1696</v>
      </c>
      <c r="W348" s="12" t="s">
        <v>1696</v>
      </c>
      <c r="X348" s="12" t="s">
        <v>1696</v>
      </c>
      <c r="Y348" s="12" t="s">
        <v>1696</v>
      </c>
      <c r="Z348" s="12" t="s">
        <v>1696</v>
      </c>
      <c r="AA348" s="12" t="s">
        <v>1696</v>
      </c>
      <c r="AB348" s="12" t="s">
        <v>1696</v>
      </c>
      <c r="AE348" s="29">
        <v>0.375</v>
      </c>
    </row>
    <row r="349">
      <c r="A349" s="26">
        <v>43683.28529314815</v>
      </c>
      <c r="B349" s="12" t="s">
        <v>1744</v>
      </c>
      <c r="C349" s="12" t="s">
        <v>262</v>
      </c>
      <c r="D349" s="12" t="s">
        <v>1916</v>
      </c>
      <c r="E349" s="12" t="s">
        <v>2248</v>
      </c>
      <c r="F349" s="27">
        <v>43683.0</v>
      </c>
      <c r="G349" s="12" t="s">
        <v>2406</v>
      </c>
      <c r="H349" s="29">
        <v>0.5833333333357587</v>
      </c>
      <c r="I349" s="26">
        <v>43683.625</v>
      </c>
      <c r="J349" s="12" t="s">
        <v>1625</v>
      </c>
      <c r="L349" s="12" t="s">
        <v>1720</v>
      </c>
      <c r="M349" s="12" t="s">
        <v>1706</v>
      </c>
      <c r="N349" s="12" t="s">
        <v>2407</v>
      </c>
      <c r="O349" s="12" t="s">
        <v>1708</v>
      </c>
      <c r="P349" s="12" t="s">
        <v>1696</v>
      </c>
      <c r="Q349" s="12" t="s">
        <v>1696</v>
      </c>
      <c r="R349" s="12" t="s">
        <v>1696</v>
      </c>
      <c r="S349" s="12" t="s">
        <v>1696</v>
      </c>
      <c r="T349" s="12" t="s">
        <v>1696</v>
      </c>
      <c r="U349" s="12" t="s">
        <v>1696</v>
      </c>
      <c r="V349" s="12" t="s">
        <v>1696</v>
      </c>
      <c r="W349" s="12" t="s">
        <v>1696</v>
      </c>
      <c r="X349" s="12" t="s">
        <v>1696</v>
      </c>
      <c r="Y349" s="12" t="s">
        <v>1696</v>
      </c>
      <c r="Z349" s="12" t="s">
        <v>1696</v>
      </c>
      <c r="AA349" s="12" t="s">
        <v>1696</v>
      </c>
      <c r="AB349" s="12" t="s">
        <v>1696</v>
      </c>
      <c r="AE349" s="29">
        <v>0.29166666666424135</v>
      </c>
    </row>
    <row r="350">
      <c r="A350" s="26">
        <v>43683.70210596065</v>
      </c>
      <c r="B350" s="12" t="s">
        <v>1735</v>
      </c>
      <c r="C350" s="12" t="s">
        <v>1727</v>
      </c>
      <c r="D350" s="12" t="s">
        <v>1728</v>
      </c>
      <c r="E350" s="12" t="s">
        <v>1809</v>
      </c>
      <c r="F350" s="27">
        <v>43684.0</v>
      </c>
      <c r="G350" s="12" t="s">
        <v>2408</v>
      </c>
      <c r="H350" s="29">
        <v>0.6666666666642413</v>
      </c>
      <c r="J350" s="12" t="s">
        <v>1704</v>
      </c>
      <c r="L350" s="12" t="s">
        <v>1626</v>
      </c>
      <c r="M350" s="12" t="s">
        <v>1785</v>
      </c>
      <c r="N350" s="12" t="s">
        <v>2409</v>
      </c>
      <c r="O350" s="12" t="s">
        <v>1735</v>
      </c>
      <c r="P350" s="12" t="s">
        <v>1696</v>
      </c>
      <c r="Q350" s="12" t="s">
        <v>1696</v>
      </c>
      <c r="R350" s="12" t="s">
        <v>1696</v>
      </c>
      <c r="S350" s="12" t="s">
        <v>1696</v>
      </c>
      <c r="T350" s="12" t="s">
        <v>1696</v>
      </c>
      <c r="U350" s="12" t="s">
        <v>1696</v>
      </c>
      <c r="V350" s="12" t="s">
        <v>1696</v>
      </c>
      <c r="W350" s="12" t="s">
        <v>1696</v>
      </c>
      <c r="X350" s="12" t="s">
        <v>1696</v>
      </c>
      <c r="Y350" s="12" t="s">
        <v>1696</v>
      </c>
      <c r="Z350" s="12" t="s">
        <v>1696</v>
      </c>
      <c r="AA350" s="12" t="s">
        <v>1696</v>
      </c>
      <c r="AB350" s="12" t="s">
        <v>1696</v>
      </c>
      <c r="AE350" s="29">
        <v>0.38541666666424135</v>
      </c>
    </row>
    <row r="351">
      <c r="A351" s="26">
        <v>43684.689387280094</v>
      </c>
      <c r="B351" s="12" t="s">
        <v>1735</v>
      </c>
      <c r="C351" s="12" t="s">
        <v>1727</v>
      </c>
      <c r="D351" s="12" t="s">
        <v>1728</v>
      </c>
      <c r="E351" s="12" t="s">
        <v>2015</v>
      </c>
      <c r="F351" s="27">
        <v>43685.0</v>
      </c>
      <c r="G351" s="12" t="s">
        <v>2275</v>
      </c>
      <c r="H351" s="29">
        <v>0.6666666666642413</v>
      </c>
      <c r="J351" s="12" t="s">
        <v>1704</v>
      </c>
      <c r="L351" s="12" t="s">
        <v>1626</v>
      </c>
      <c r="M351" s="12" t="s">
        <v>1785</v>
      </c>
      <c r="N351" s="12" t="s">
        <v>2410</v>
      </c>
      <c r="O351" s="12" t="s">
        <v>1735</v>
      </c>
      <c r="P351" s="12" t="s">
        <v>1696</v>
      </c>
      <c r="Q351" s="12" t="s">
        <v>1696</v>
      </c>
      <c r="R351" s="12" t="s">
        <v>1696</v>
      </c>
      <c r="S351" s="12" t="s">
        <v>1696</v>
      </c>
      <c r="T351" s="12" t="s">
        <v>1696</v>
      </c>
      <c r="U351" s="12" t="s">
        <v>1696</v>
      </c>
      <c r="V351" s="12" t="s">
        <v>1696</v>
      </c>
      <c r="W351" s="12" t="s">
        <v>1696</v>
      </c>
      <c r="X351" s="12" t="s">
        <v>1696</v>
      </c>
      <c r="Y351" s="12" t="s">
        <v>1696</v>
      </c>
      <c r="Z351" s="12" t="s">
        <v>1696</v>
      </c>
      <c r="AA351" s="12" t="s">
        <v>1696</v>
      </c>
      <c r="AB351" s="12" t="s">
        <v>1696</v>
      </c>
      <c r="AE351" s="29">
        <v>0.41666666666424135</v>
      </c>
    </row>
    <row r="352">
      <c r="A352" s="26">
        <v>43685.291886273146</v>
      </c>
      <c r="B352" s="12" t="s">
        <v>1699</v>
      </c>
      <c r="C352" s="12" t="s">
        <v>2230</v>
      </c>
      <c r="D352" s="12" t="s">
        <v>1916</v>
      </c>
      <c r="E352" s="12" t="s">
        <v>2411</v>
      </c>
      <c r="F352" s="27">
        <v>43685.0</v>
      </c>
      <c r="G352" s="12" t="s">
        <v>2412</v>
      </c>
      <c r="H352" s="29">
        <v>0.5833333333357587</v>
      </c>
      <c r="I352" s="26">
        <v>43685.60416666667</v>
      </c>
      <c r="J352" s="12" t="s">
        <v>1625</v>
      </c>
      <c r="L352" s="12" t="s">
        <v>1720</v>
      </c>
      <c r="M352" s="12" t="s">
        <v>1706</v>
      </c>
      <c r="O352" s="12" t="s">
        <v>1708</v>
      </c>
      <c r="P352" s="12" t="s">
        <v>1696</v>
      </c>
      <c r="Q352" s="12" t="s">
        <v>1696</v>
      </c>
      <c r="R352" s="12" t="s">
        <v>1696</v>
      </c>
      <c r="S352" s="12" t="s">
        <v>1696</v>
      </c>
      <c r="T352" s="12" t="s">
        <v>1696</v>
      </c>
      <c r="U352" s="12" t="s">
        <v>1696</v>
      </c>
      <c r="V352" s="12" t="s">
        <v>1696</v>
      </c>
      <c r="W352" s="12" t="s">
        <v>1696</v>
      </c>
      <c r="X352" s="12" t="s">
        <v>1696</v>
      </c>
      <c r="Y352" s="12" t="s">
        <v>1696</v>
      </c>
      <c r="Z352" s="12" t="s">
        <v>1696</v>
      </c>
      <c r="AA352" s="12" t="s">
        <v>1696</v>
      </c>
      <c r="AB352" s="12" t="s">
        <v>1696</v>
      </c>
      <c r="AE352" s="29">
        <v>0.29166666666424135</v>
      </c>
    </row>
    <row r="353">
      <c r="A353" s="26">
        <v>43686.46241310185</v>
      </c>
      <c r="B353" s="12" t="s">
        <v>1744</v>
      </c>
      <c r="C353" s="12" t="s">
        <v>2389</v>
      </c>
      <c r="D353" s="12" t="s">
        <v>1916</v>
      </c>
      <c r="E353" s="12" t="s">
        <v>2413</v>
      </c>
      <c r="F353" s="27">
        <v>43686.0</v>
      </c>
      <c r="G353" s="12" t="s">
        <v>1773</v>
      </c>
      <c r="H353" s="29">
        <v>0.7083333333357587</v>
      </c>
      <c r="I353" s="26">
        <v>43686.72916666667</v>
      </c>
      <c r="J353" s="12" t="s">
        <v>1625</v>
      </c>
      <c r="L353" s="12" t="s">
        <v>1720</v>
      </c>
      <c r="M353" s="12" t="s">
        <v>2414</v>
      </c>
      <c r="O353" s="12" t="s">
        <v>1708</v>
      </c>
      <c r="P353" s="12" t="s">
        <v>1696</v>
      </c>
      <c r="Q353" s="12" t="s">
        <v>1696</v>
      </c>
      <c r="R353" s="12" t="s">
        <v>1696</v>
      </c>
      <c r="S353" s="12" t="s">
        <v>1696</v>
      </c>
      <c r="T353" s="12" t="s">
        <v>1696</v>
      </c>
      <c r="U353" s="12" t="s">
        <v>1696</v>
      </c>
      <c r="V353" s="12" t="s">
        <v>1696</v>
      </c>
      <c r="W353" s="12" t="s">
        <v>1696</v>
      </c>
      <c r="X353" s="12" t="s">
        <v>1696</v>
      </c>
      <c r="Y353" s="12" t="s">
        <v>1696</v>
      </c>
      <c r="Z353" s="12" t="s">
        <v>1696</v>
      </c>
      <c r="AA353" s="12" t="s">
        <v>1696</v>
      </c>
      <c r="AB353" s="12" t="s">
        <v>1696</v>
      </c>
      <c r="AE353" s="29">
        <v>0.47916666666424135</v>
      </c>
    </row>
    <row r="354">
      <c r="A354" s="26">
        <v>43689.32989282407</v>
      </c>
      <c r="B354" s="12" t="s">
        <v>1735</v>
      </c>
      <c r="C354" s="12" t="s">
        <v>1727</v>
      </c>
      <c r="D354" s="12" t="s">
        <v>1728</v>
      </c>
      <c r="E354" s="12" t="s">
        <v>1683</v>
      </c>
      <c r="F354" s="27">
        <v>43689.0</v>
      </c>
      <c r="G354" s="12" t="s">
        <v>1984</v>
      </c>
      <c r="H354" s="29">
        <v>0.9583333333357587</v>
      </c>
      <c r="J354" s="12" t="s">
        <v>1730</v>
      </c>
      <c r="L354" s="12" t="s">
        <v>1626</v>
      </c>
      <c r="M354" s="12" t="s">
        <v>1785</v>
      </c>
      <c r="N354" s="12" t="s">
        <v>2088</v>
      </c>
      <c r="O354" s="12" t="s">
        <v>1735</v>
      </c>
      <c r="P354" s="12" t="s">
        <v>1696</v>
      </c>
      <c r="Q354" s="12" t="s">
        <v>1696</v>
      </c>
      <c r="R354" s="12" t="s">
        <v>1696</v>
      </c>
      <c r="S354" s="12" t="s">
        <v>1696</v>
      </c>
      <c r="T354" s="12" t="s">
        <v>1696</v>
      </c>
      <c r="U354" s="12" t="s">
        <v>1696</v>
      </c>
      <c r="V354" s="12" t="s">
        <v>1696</v>
      </c>
      <c r="W354" s="12" t="s">
        <v>1696</v>
      </c>
      <c r="X354" s="12" t="s">
        <v>1696</v>
      </c>
      <c r="Y354" s="12" t="s">
        <v>1696</v>
      </c>
      <c r="Z354" s="12" t="s">
        <v>1696</v>
      </c>
      <c r="AA354" s="12" t="s">
        <v>1696</v>
      </c>
      <c r="AB354" s="12" t="s">
        <v>1696</v>
      </c>
      <c r="AE354" s="29">
        <v>0.35416666666424135</v>
      </c>
    </row>
    <row r="355">
      <c r="A355" s="26">
        <v>43689.69758003472</v>
      </c>
      <c r="B355" s="12" t="s">
        <v>1735</v>
      </c>
      <c r="C355" s="12" t="s">
        <v>1727</v>
      </c>
      <c r="D355" s="12" t="s">
        <v>1728</v>
      </c>
      <c r="E355" s="12" t="s">
        <v>2415</v>
      </c>
      <c r="F355" s="27">
        <v>43690.0</v>
      </c>
      <c r="G355" s="12" t="s">
        <v>2385</v>
      </c>
      <c r="H355" s="29">
        <v>0.5</v>
      </c>
      <c r="J355" s="12" t="s">
        <v>1625</v>
      </c>
      <c r="L355" s="12" t="s">
        <v>1788</v>
      </c>
      <c r="M355" s="12" t="s">
        <v>1785</v>
      </c>
      <c r="N355" s="12" t="s">
        <v>2352</v>
      </c>
      <c r="O355" s="12" t="s">
        <v>1735</v>
      </c>
      <c r="P355" s="12" t="s">
        <v>1696</v>
      </c>
      <c r="Q355" s="12" t="s">
        <v>1696</v>
      </c>
      <c r="R355" s="12" t="s">
        <v>1696</v>
      </c>
      <c r="S355" s="12" t="s">
        <v>1696</v>
      </c>
      <c r="T355" s="12" t="s">
        <v>1696</v>
      </c>
      <c r="U355" s="12" t="s">
        <v>1696</v>
      </c>
      <c r="V355" s="12" t="s">
        <v>1696</v>
      </c>
      <c r="W355" s="12" t="s">
        <v>1696</v>
      </c>
      <c r="X355" s="12" t="s">
        <v>1696</v>
      </c>
      <c r="Y355" s="12" t="s">
        <v>1696</v>
      </c>
      <c r="Z355" s="12" t="s">
        <v>1696</v>
      </c>
      <c r="AA355" s="12" t="s">
        <v>1696</v>
      </c>
      <c r="AB355" s="12" t="s">
        <v>1696</v>
      </c>
      <c r="AE355" s="29">
        <v>0.29166666666424135</v>
      </c>
    </row>
    <row r="356">
      <c r="A356" s="26">
        <v>43689.74812228009</v>
      </c>
      <c r="B356" s="12" t="s">
        <v>1717</v>
      </c>
      <c r="C356" s="12" t="s">
        <v>1718</v>
      </c>
      <c r="D356" s="12" t="s">
        <v>1916</v>
      </c>
      <c r="E356" s="12" t="s">
        <v>2162</v>
      </c>
      <c r="F356" s="27">
        <v>43690.0</v>
      </c>
      <c r="G356" s="12" t="s">
        <v>1792</v>
      </c>
      <c r="H356" s="29">
        <v>0.5520833333357587</v>
      </c>
      <c r="I356" s="26">
        <v>43690.57291666667</v>
      </c>
      <c r="J356" s="12" t="s">
        <v>1704</v>
      </c>
      <c r="L356" s="12" t="s">
        <v>1720</v>
      </c>
      <c r="M356" s="12" t="s">
        <v>1781</v>
      </c>
      <c r="N356" s="12" t="s">
        <v>2416</v>
      </c>
      <c r="O356" s="12" t="s">
        <v>2095</v>
      </c>
      <c r="P356" s="12" t="s">
        <v>1696</v>
      </c>
      <c r="Q356" s="12" t="s">
        <v>1696</v>
      </c>
      <c r="R356" s="12" t="s">
        <v>1696</v>
      </c>
      <c r="S356" s="12" t="s">
        <v>1696</v>
      </c>
      <c r="T356" s="12" t="s">
        <v>1696</v>
      </c>
      <c r="U356" s="12" t="s">
        <v>1696</v>
      </c>
      <c r="V356" s="12" t="s">
        <v>1696</v>
      </c>
      <c r="W356" s="12" t="s">
        <v>1696</v>
      </c>
      <c r="X356" s="12" t="s">
        <v>1696</v>
      </c>
      <c r="Y356" s="12" t="s">
        <v>1696</v>
      </c>
      <c r="Z356" s="12" t="s">
        <v>1696</v>
      </c>
      <c r="AA356" s="12" t="s">
        <v>1696</v>
      </c>
      <c r="AB356" s="12" t="s">
        <v>1696</v>
      </c>
      <c r="AE356" s="29">
        <v>0.30208333333575865</v>
      </c>
    </row>
    <row r="357">
      <c r="A357" s="26">
        <v>43697.275023553244</v>
      </c>
      <c r="B357" s="12" t="s">
        <v>1744</v>
      </c>
      <c r="C357" s="12" t="s">
        <v>2230</v>
      </c>
      <c r="D357" s="12" t="s">
        <v>1916</v>
      </c>
      <c r="E357" s="12" t="s">
        <v>2318</v>
      </c>
      <c r="F357" s="27">
        <v>43697.0</v>
      </c>
      <c r="G357" s="12" t="s">
        <v>2417</v>
      </c>
      <c r="H357" s="29">
        <v>0.33333333333575865</v>
      </c>
      <c r="I357" s="26">
        <v>43697.33333333333</v>
      </c>
      <c r="J357" s="12" t="s">
        <v>1625</v>
      </c>
      <c r="L357" s="12" t="s">
        <v>1720</v>
      </c>
      <c r="M357" s="12" t="s">
        <v>1712</v>
      </c>
      <c r="O357" s="12" t="s">
        <v>1708</v>
      </c>
      <c r="P357" s="12" t="s">
        <v>1696</v>
      </c>
      <c r="Q357" s="12" t="s">
        <v>1696</v>
      </c>
      <c r="R357" s="12" t="s">
        <v>1696</v>
      </c>
      <c r="S357" s="12" t="s">
        <v>1696</v>
      </c>
      <c r="T357" s="12" t="s">
        <v>1696</v>
      </c>
      <c r="U357" s="12" t="s">
        <v>1696</v>
      </c>
      <c r="V357" s="12" t="s">
        <v>1696</v>
      </c>
      <c r="W357" s="12" t="s">
        <v>1696</v>
      </c>
      <c r="X357" s="12" t="s">
        <v>1696</v>
      </c>
      <c r="Y357" s="12" t="s">
        <v>1696</v>
      </c>
      <c r="Z357" s="12" t="s">
        <v>1696</v>
      </c>
      <c r="AA357" s="12" t="s">
        <v>1696</v>
      </c>
      <c r="AB357" s="12" t="s">
        <v>1696</v>
      </c>
      <c r="AE357" s="29">
        <v>0.27083333333575865</v>
      </c>
    </row>
    <row r="358">
      <c r="A358" s="26">
        <v>43697.628050706015</v>
      </c>
      <c r="B358" s="12" t="s">
        <v>1744</v>
      </c>
      <c r="C358" s="12" t="s">
        <v>2230</v>
      </c>
      <c r="D358" s="12" t="s">
        <v>1916</v>
      </c>
      <c r="E358" s="12" t="s">
        <v>2318</v>
      </c>
      <c r="F358" s="27">
        <v>43697.0</v>
      </c>
      <c r="G358" s="12" t="s">
        <v>2417</v>
      </c>
      <c r="H358" s="29">
        <v>0.7083333333357587</v>
      </c>
      <c r="I358" s="26">
        <v>43697.75</v>
      </c>
      <c r="J358" s="12" t="s">
        <v>1625</v>
      </c>
      <c r="L358" s="12" t="s">
        <v>1720</v>
      </c>
      <c r="M358" s="12" t="s">
        <v>1712</v>
      </c>
      <c r="O358" s="12" t="s">
        <v>1708</v>
      </c>
      <c r="P358" s="12" t="s">
        <v>1696</v>
      </c>
      <c r="Q358" s="12" t="s">
        <v>1696</v>
      </c>
      <c r="R358" s="12" t="s">
        <v>1696</v>
      </c>
      <c r="S358" s="12" t="s">
        <v>1696</v>
      </c>
      <c r="T358" s="12" t="s">
        <v>1696</v>
      </c>
      <c r="U358" s="12" t="s">
        <v>1696</v>
      </c>
      <c r="V358" s="12" t="s">
        <v>1696</v>
      </c>
      <c r="W358" s="12" t="s">
        <v>1696</v>
      </c>
      <c r="X358" s="12" t="s">
        <v>1696</v>
      </c>
      <c r="Y358" s="12" t="s">
        <v>1696</v>
      </c>
      <c r="Z358" s="12" t="s">
        <v>1696</v>
      </c>
      <c r="AA358" s="12" t="s">
        <v>1696</v>
      </c>
      <c r="AB358" s="12" t="s">
        <v>1696</v>
      </c>
      <c r="AE358" s="29">
        <v>0.6354166666642413</v>
      </c>
    </row>
    <row r="359">
      <c r="A359" s="26">
        <v>43699.24579696759</v>
      </c>
      <c r="B359" s="12" t="s">
        <v>1744</v>
      </c>
      <c r="C359" s="12" t="s">
        <v>262</v>
      </c>
      <c r="D359" s="12" t="s">
        <v>1916</v>
      </c>
      <c r="E359" s="12" t="s">
        <v>1926</v>
      </c>
      <c r="F359" s="27">
        <v>43699.0</v>
      </c>
      <c r="G359" s="12" t="s">
        <v>1637</v>
      </c>
      <c r="H359" s="29">
        <v>0.5833333333357587</v>
      </c>
      <c r="I359" s="26">
        <v>43699.625</v>
      </c>
      <c r="J359" s="12" t="s">
        <v>1693</v>
      </c>
      <c r="L359" s="12" t="s">
        <v>1720</v>
      </c>
      <c r="M359" s="12" t="s">
        <v>1706</v>
      </c>
      <c r="N359" s="12" t="s">
        <v>2334</v>
      </c>
      <c r="O359" s="12" t="s">
        <v>1708</v>
      </c>
      <c r="P359" s="12" t="s">
        <v>1696</v>
      </c>
      <c r="Q359" s="12" t="s">
        <v>1696</v>
      </c>
      <c r="R359" s="12" t="s">
        <v>1696</v>
      </c>
      <c r="S359" s="12" t="s">
        <v>1696</v>
      </c>
      <c r="T359" s="12" t="s">
        <v>1696</v>
      </c>
      <c r="U359" s="12" t="s">
        <v>1696</v>
      </c>
      <c r="V359" s="12" t="s">
        <v>1696</v>
      </c>
      <c r="W359" s="12" t="s">
        <v>1696</v>
      </c>
      <c r="X359" s="12" t="s">
        <v>1696</v>
      </c>
      <c r="Y359" s="12" t="s">
        <v>1696</v>
      </c>
      <c r="Z359" s="12" t="s">
        <v>1696</v>
      </c>
      <c r="AA359" s="12" t="s">
        <v>1696</v>
      </c>
      <c r="AB359" s="12" t="s">
        <v>1696</v>
      </c>
      <c r="AE359" s="29">
        <v>0.30208333333575865</v>
      </c>
    </row>
    <row r="360">
      <c r="A360" s="26">
        <v>43700.32529071759</v>
      </c>
      <c r="B360" s="12" t="s">
        <v>1699</v>
      </c>
      <c r="C360" s="12" t="s">
        <v>2230</v>
      </c>
      <c r="D360" s="12" t="s">
        <v>1916</v>
      </c>
      <c r="E360" s="12" t="s">
        <v>2379</v>
      </c>
      <c r="F360" s="27">
        <v>43700.0</v>
      </c>
      <c r="G360" s="12" t="s">
        <v>2418</v>
      </c>
      <c r="H360" s="29">
        <v>0.625</v>
      </c>
      <c r="I360" s="26">
        <v>43700.66666666667</v>
      </c>
      <c r="J360" s="12" t="s">
        <v>1693</v>
      </c>
      <c r="L360" s="12" t="s">
        <v>1720</v>
      </c>
      <c r="M360" s="12" t="s">
        <v>2268</v>
      </c>
      <c r="N360" s="12" t="s">
        <v>2334</v>
      </c>
      <c r="O360" s="12" t="s">
        <v>1708</v>
      </c>
      <c r="P360" s="12" t="s">
        <v>1696</v>
      </c>
      <c r="Q360" s="12" t="s">
        <v>1696</v>
      </c>
      <c r="R360" s="12" t="s">
        <v>1696</v>
      </c>
      <c r="S360" s="12" t="s">
        <v>1696</v>
      </c>
      <c r="T360" s="12" t="s">
        <v>1696</v>
      </c>
      <c r="U360" s="12" t="s">
        <v>1696</v>
      </c>
      <c r="V360" s="12" t="s">
        <v>1696</v>
      </c>
      <c r="W360" s="12" t="s">
        <v>1696</v>
      </c>
      <c r="X360" s="12" t="s">
        <v>1696</v>
      </c>
      <c r="Y360" s="12" t="s">
        <v>1696</v>
      </c>
      <c r="Z360" s="12" t="s">
        <v>1696</v>
      </c>
      <c r="AA360" s="12" t="s">
        <v>1696</v>
      </c>
      <c r="AB360" s="12" t="s">
        <v>1696</v>
      </c>
      <c r="AE360" s="29">
        <v>0.32291666666424135</v>
      </c>
    </row>
    <row r="361">
      <c r="A361" s="26">
        <v>43704.35976918982</v>
      </c>
      <c r="B361" s="12" t="s">
        <v>1699</v>
      </c>
      <c r="C361" s="12" t="s">
        <v>262</v>
      </c>
      <c r="D361" s="12" t="s">
        <v>1916</v>
      </c>
      <c r="E361" s="12" t="s">
        <v>1926</v>
      </c>
      <c r="F361" s="27">
        <v>43704.0</v>
      </c>
      <c r="G361" s="12" t="s">
        <v>1637</v>
      </c>
      <c r="H361" s="29">
        <v>0.625</v>
      </c>
      <c r="I361" s="26">
        <v>43704.66666666667</v>
      </c>
      <c r="J361" s="12" t="s">
        <v>1625</v>
      </c>
      <c r="L361" s="12" t="s">
        <v>1788</v>
      </c>
      <c r="M361" s="12" t="s">
        <v>1706</v>
      </c>
      <c r="N361" s="12" t="s">
        <v>2334</v>
      </c>
      <c r="O361" s="12" t="s">
        <v>1708</v>
      </c>
      <c r="P361" s="12" t="s">
        <v>1696</v>
      </c>
      <c r="Q361" s="12" t="s">
        <v>1696</v>
      </c>
      <c r="R361" s="12" t="s">
        <v>1696</v>
      </c>
      <c r="S361" s="12" t="s">
        <v>1696</v>
      </c>
      <c r="T361" s="12" t="s">
        <v>1696</v>
      </c>
      <c r="U361" s="12" t="s">
        <v>1696</v>
      </c>
      <c r="V361" s="12" t="s">
        <v>1696</v>
      </c>
      <c r="W361" s="12" t="s">
        <v>1696</v>
      </c>
      <c r="X361" s="12" t="s">
        <v>1696</v>
      </c>
      <c r="Y361" s="12" t="s">
        <v>1696</v>
      </c>
      <c r="Z361" s="12" t="s">
        <v>1696</v>
      </c>
      <c r="AA361" s="12" t="s">
        <v>1696</v>
      </c>
      <c r="AB361" s="12" t="s">
        <v>1696</v>
      </c>
      <c r="AE361" s="29">
        <v>0.39583333333575865</v>
      </c>
    </row>
    <row r="362">
      <c r="A362" s="26">
        <v>43705.27106194444</v>
      </c>
      <c r="B362" s="12" t="s">
        <v>1717</v>
      </c>
      <c r="C362" s="12" t="s">
        <v>1718</v>
      </c>
      <c r="D362" s="12" t="s">
        <v>1916</v>
      </c>
      <c r="E362" s="12" t="s">
        <v>2373</v>
      </c>
      <c r="F362" s="27">
        <v>43705.0</v>
      </c>
      <c r="G362" s="12" t="s">
        <v>1792</v>
      </c>
      <c r="H362" s="29">
        <v>0.5833333333333334</v>
      </c>
      <c r="I362" s="26">
        <v>43705.53125</v>
      </c>
      <c r="J362" s="12" t="s">
        <v>1704</v>
      </c>
      <c r="L362" s="12" t="s">
        <v>1720</v>
      </c>
      <c r="M362" s="12" t="s">
        <v>2360</v>
      </c>
      <c r="O362" s="12" t="s">
        <v>2095</v>
      </c>
      <c r="P362" s="12" t="s">
        <v>1696</v>
      </c>
      <c r="Q362" s="12" t="s">
        <v>1696</v>
      </c>
      <c r="R362" s="12" t="s">
        <v>1696</v>
      </c>
      <c r="S362" s="12" t="s">
        <v>1696</v>
      </c>
      <c r="T362" s="12" t="s">
        <v>1696</v>
      </c>
      <c r="U362" s="12" t="s">
        <v>1696</v>
      </c>
      <c r="V362" s="12" t="s">
        <v>1696</v>
      </c>
      <c r="W362" s="12" t="s">
        <v>1696</v>
      </c>
      <c r="X362" s="12" t="s">
        <v>1696</v>
      </c>
      <c r="Y362" s="12" t="s">
        <v>1696</v>
      </c>
      <c r="Z362" s="12" t="s">
        <v>1696</v>
      </c>
      <c r="AA362" s="12" t="s">
        <v>1696</v>
      </c>
      <c r="AB362" s="12" t="s">
        <v>1696</v>
      </c>
      <c r="AE362" s="29">
        <v>0.30208333333575865</v>
      </c>
    </row>
    <row r="363">
      <c r="A363" s="26">
        <v>43705.46690395834</v>
      </c>
      <c r="B363" s="12" t="s">
        <v>2419</v>
      </c>
      <c r="C363" s="12" t="s">
        <v>2420</v>
      </c>
      <c r="D363" s="12" t="s">
        <v>1622</v>
      </c>
      <c r="E363" s="12" t="s">
        <v>1809</v>
      </c>
      <c r="F363" s="27">
        <v>43705.0</v>
      </c>
      <c r="G363" s="12" t="s">
        <v>2262</v>
      </c>
      <c r="H363" s="29">
        <v>0.625</v>
      </c>
      <c r="I363" s="26">
        <v>43705.72916666667</v>
      </c>
      <c r="J363" s="12" t="s">
        <v>1625</v>
      </c>
      <c r="L363" s="12" t="s">
        <v>1788</v>
      </c>
      <c r="M363" s="12" t="s">
        <v>1706</v>
      </c>
      <c r="N363" s="12" t="s">
        <v>2334</v>
      </c>
      <c r="O363" s="12" t="s">
        <v>1744</v>
      </c>
      <c r="P363" s="12" t="s">
        <v>1696</v>
      </c>
      <c r="Q363" s="12" t="s">
        <v>1696</v>
      </c>
      <c r="R363" s="12" t="s">
        <v>1696</v>
      </c>
      <c r="S363" s="12" t="s">
        <v>1696</v>
      </c>
      <c r="T363" s="12" t="s">
        <v>1696</v>
      </c>
      <c r="U363" s="12" t="s">
        <v>1696</v>
      </c>
      <c r="V363" s="12" t="s">
        <v>1696</v>
      </c>
      <c r="W363" s="12" t="s">
        <v>1696</v>
      </c>
      <c r="X363" s="12" t="s">
        <v>1696</v>
      </c>
      <c r="Y363" s="12" t="s">
        <v>1696</v>
      </c>
      <c r="Z363" s="12" t="s">
        <v>1696</v>
      </c>
      <c r="AA363" s="12" t="s">
        <v>1696</v>
      </c>
      <c r="AB363" s="12" t="s">
        <v>1696</v>
      </c>
      <c r="AE363" s="29">
        <v>0.47916666666424135</v>
      </c>
    </row>
    <row r="364">
      <c r="A364" s="26">
        <v>43717.7090765625</v>
      </c>
      <c r="B364" s="12" t="s">
        <v>1733</v>
      </c>
      <c r="C364" s="12" t="s">
        <v>1727</v>
      </c>
      <c r="D364" s="12" t="s">
        <v>1728</v>
      </c>
      <c r="E364" s="12" t="s">
        <v>1683</v>
      </c>
      <c r="F364" s="27">
        <v>33126.0</v>
      </c>
      <c r="G364" s="12" t="s">
        <v>1984</v>
      </c>
      <c r="H364" s="29">
        <v>0.41666666666424135</v>
      </c>
      <c r="J364" s="12" t="s">
        <v>1730</v>
      </c>
      <c r="L364" s="12" t="s">
        <v>1626</v>
      </c>
      <c r="M364" s="12" t="s">
        <v>1785</v>
      </c>
      <c r="N364" s="12" t="s">
        <v>2088</v>
      </c>
      <c r="O364" s="12" t="s">
        <v>1735</v>
      </c>
      <c r="P364" s="12" t="s">
        <v>1696</v>
      </c>
      <c r="Q364" s="12" t="s">
        <v>1696</v>
      </c>
      <c r="R364" s="12" t="s">
        <v>1696</v>
      </c>
      <c r="S364" s="12" t="s">
        <v>1696</v>
      </c>
      <c r="T364" s="12" t="s">
        <v>1696</v>
      </c>
      <c r="U364" s="12" t="s">
        <v>1696</v>
      </c>
      <c r="V364" s="12" t="s">
        <v>1696</v>
      </c>
      <c r="W364" s="12" t="s">
        <v>1696</v>
      </c>
      <c r="X364" s="12" t="s">
        <v>1696</v>
      </c>
      <c r="Y364" s="12" t="s">
        <v>1696</v>
      </c>
      <c r="Z364" s="12" t="s">
        <v>1696</v>
      </c>
      <c r="AA364" s="12" t="s">
        <v>1696</v>
      </c>
      <c r="AB364" s="12" t="s">
        <v>1696</v>
      </c>
      <c r="AE364" s="29">
        <v>0.33333333333575865</v>
      </c>
    </row>
    <row r="365">
      <c r="A365" s="26">
        <v>43718.728991446755</v>
      </c>
      <c r="B365" s="12" t="s">
        <v>1733</v>
      </c>
      <c r="C365" s="12" t="s">
        <v>1727</v>
      </c>
      <c r="D365" s="12" t="s">
        <v>1728</v>
      </c>
      <c r="E365" s="12" t="s">
        <v>2415</v>
      </c>
      <c r="F365" s="27">
        <v>43719.0</v>
      </c>
      <c r="G365" s="12" t="s">
        <v>2421</v>
      </c>
      <c r="H365" s="29">
        <v>0.5416666666642413</v>
      </c>
      <c r="J365" s="12" t="s">
        <v>1625</v>
      </c>
      <c r="L365" s="12" t="s">
        <v>1788</v>
      </c>
      <c r="M365" s="12" t="s">
        <v>1785</v>
      </c>
      <c r="N365" s="12" t="s">
        <v>2007</v>
      </c>
      <c r="O365" s="12" t="s">
        <v>1735</v>
      </c>
      <c r="P365" s="12" t="s">
        <v>1696</v>
      </c>
      <c r="Q365" s="12" t="s">
        <v>1696</v>
      </c>
      <c r="R365" s="12" t="s">
        <v>1696</v>
      </c>
      <c r="S365" s="12" t="s">
        <v>1696</v>
      </c>
      <c r="T365" s="12" t="s">
        <v>1696</v>
      </c>
      <c r="U365" s="12" t="s">
        <v>1696</v>
      </c>
      <c r="V365" s="12" t="s">
        <v>1696</v>
      </c>
      <c r="W365" s="12" t="s">
        <v>1696</v>
      </c>
      <c r="X365" s="12" t="s">
        <v>1696</v>
      </c>
      <c r="Y365" s="12" t="s">
        <v>1696</v>
      </c>
      <c r="Z365" s="12" t="s">
        <v>1696</v>
      </c>
      <c r="AA365" s="12" t="s">
        <v>1696</v>
      </c>
      <c r="AB365" s="12" t="s">
        <v>1696</v>
      </c>
      <c r="AE365" s="29">
        <v>0.3125</v>
      </c>
    </row>
    <row r="366">
      <c r="A366" s="26">
        <v>43719.278933090274</v>
      </c>
      <c r="B366" s="12" t="s">
        <v>1717</v>
      </c>
      <c r="C366" s="12" t="s">
        <v>2422</v>
      </c>
      <c r="D366" s="12" t="s">
        <v>1916</v>
      </c>
      <c r="E366" s="12" t="s">
        <v>1809</v>
      </c>
      <c r="F366" s="27">
        <v>43719.0</v>
      </c>
      <c r="G366" s="12" t="s">
        <v>2423</v>
      </c>
      <c r="H366" s="29">
        <v>0.020833333335758653</v>
      </c>
      <c r="I366" s="26">
        <v>43719.04166666667</v>
      </c>
      <c r="J366" s="12" t="s">
        <v>1704</v>
      </c>
      <c r="L366" s="12" t="s">
        <v>1720</v>
      </c>
      <c r="M366" s="12" t="s">
        <v>1781</v>
      </c>
      <c r="N366" s="12" t="s">
        <v>2424</v>
      </c>
      <c r="O366" s="12" t="s">
        <v>2425</v>
      </c>
      <c r="P366" s="12" t="s">
        <v>1696</v>
      </c>
      <c r="Q366" s="12" t="s">
        <v>1696</v>
      </c>
      <c r="R366" s="12" t="s">
        <v>1696</v>
      </c>
      <c r="S366" s="12" t="s">
        <v>1696</v>
      </c>
      <c r="T366" s="12" t="s">
        <v>1696</v>
      </c>
      <c r="U366" s="12" t="s">
        <v>1696</v>
      </c>
      <c r="V366" s="12" t="s">
        <v>1696</v>
      </c>
      <c r="W366" s="12" t="s">
        <v>1696</v>
      </c>
      <c r="X366" s="12" t="s">
        <v>1696</v>
      </c>
      <c r="Y366" s="12" t="s">
        <v>1696</v>
      </c>
      <c r="Z366" s="12" t="s">
        <v>1696</v>
      </c>
      <c r="AA366" s="12" t="s">
        <v>1696</v>
      </c>
      <c r="AB366" s="12" t="s">
        <v>1696</v>
      </c>
      <c r="AE366" s="29">
        <v>0.29166666666424135</v>
      </c>
    </row>
    <row r="367">
      <c r="A367" s="26">
        <v>43724.26830996528</v>
      </c>
      <c r="B367" s="12" t="s">
        <v>1699</v>
      </c>
      <c r="C367" s="12" t="s">
        <v>262</v>
      </c>
      <c r="D367" s="12" t="s">
        <v>1916</v>
      </c>
      <c r="E367" s="12" t="s">
        <v>1714</v>
      </c>
      <c r="F367" s="27">
        <v>43724.0</v>
      </c>
      <c r="G367" s="12" t="s">
        <v>1819</v>
      </c>
      <c r="H367" s="29">
        <v>0.5833333333357587</v>
      </c>
      <c r="I367" s="26">
        <v>43724.625</v>
      </c>
      <c r="J367" s="12" t="s">
        <v>1625</v>
      </c>
      <c r="L367" s="12" t="s">
        <v>1788</v>
      </c>
      <c r="M367" s="12" t="s">
        <v>1706</v>
      </c>
      <c r="N367" s="12" t="s">
        <v>2426</v>
      </c>
      <c r="O367" s="12" t="s">
        <v>1708</v>
      </c>
      <c r="P367" s="12" t="s">
        <v>1696</v>
      </c>
      <c r="Q367" s="12" t="s">
        <v>1696</v>
      </c>
      <c r="R367" s="12" t="s">
        <v>1696</v>
      </c>
      <c r="S367" s="12" t="s">
        <v>1696</v>
      </c>
      <c r="T367" s="12" t="s">
        <v>1696</v>
      </c>
      <c r="U367" s="12" t="s">
        <v>1696</v>
      </c>
      <c r="V367" s="12" t="s">
        <v>1696</v>
      </c>
      <c r="W367" s="12" t="s">
        <v>1696</v>
      </c>
      <c r="X367" s="12" t="s">
        <v>1696</v>
      </c>
      <c r="Y367" s="12" t="s">
        <v>1696</v>
      </c>
      <c r="Z367" s="12" t="s">
        <v>1696</v>
      </c>
      <c r="AA367" s="12" t="s">
        <v>1696</v>
      </c>
      <c r="AB367" s="12" t="s">
        <v>1696</v>
      </c>
      <c r="AE367" s="29">
        <v>0.3125</v>
      </c>
    </row>
    <row r="368">
      <c r="A368" s="26">
        <v>43724.687475196755</v>
      </c>
      <c r="B368" s="12" t="s">
        <v>1733</v>
      </c>
      <c r="C368" s="12" t="s">
        <v>1727</v>
      </c>
      <c r="D368" s="12" t="s">
        <v>1728</v>
      </c>
      <c r="E368" s="12" t="s">
        <v>1809</v>
      </c>
      <c r="F368" s="27">
        <v>33133.0</v>
      </c>
      <c r="G368" s="12" t="s">
        <v>2220</v>
      </c>
      <c r="H368" s="29">
        <v>0.6666666666642413</v>
      </c>
      <c r="J368" s="12" t="s">
        <v>1704</v>
      </c>
      <c r="L368" s="12" t="s">
        <v>1626</v>
      </c>
      <c r="M368" s="12" t="s">
        <v>1785</v>
      </c>
      <c r="N368" s="12" t="s">
        <v>2427</v>
      </c>
      <c r="O368" s="12" t="s">
        <v>1735</v>
      </c>
      <c r="P368" s="12" t="s">
        <v>1696</v>
      </c>
      <c r="Q368" s="12" t="s">
        <v>1696</v>
      </c>
      <c r="R368" s="12" t="s">
        <v>1696</v>
      </c>
      <c r="S368" s="12" t="s">
        <v>1696</v>
      </c>
      <c r="T368" s="12" t="s">
        <v>1696</v>
      </c>
      <c r="U368" s="12" t="s">
        <v>1696</v>
      </c>
      <c r="V368" s="12" t="s">
        <v>1696</v>
      </c>
      <c r="W368" s="12" t="s">
        <v>1696</v>
      </c>
      <c r="X368" s="12" t="s">
        <v>1696</v>
      </c>
      <c r="Y368" s="12" t="s">
        <v>1696</v>
      </c>
      <c r="Z368" s="12" t="s">
        <v>1696</v>
      </c>
      <c r="AA368" s="12" t="s">
        <v>1696</v>
      </c>
      <c r="AB368" s="12" t="s">
        <v>1696</v>
      </c>
      <c r="AE368" s="29">
        <v>0.38541666666424135</v>
      </c>
    </row>
    <row r="369">
      <c r="A369" s="26">
        <v>43725.310827511574</v>
      </c>
      <c r="B369" s="12" t="s">
        <v>1699</v>
      </c>
      <c r="C369" s="12" t="s">
        <v>262</v>
      </c>
      <c r="D369" s="12" t="s">
        <v>1916</v>
      </c>
      <c r="E369" s="12" t="s">
        <v>2428</v>
      </c>
      <c r="F369" s="27">
        <v>43725.0</v>
      </c>
      <c r="G369" s="12" t="s">
        <v>1819</v>
      </c>
      <c r="H369" s="29">
        <v>0.5416666666642413</v>
      </c>
      <c r="I369" s="26">
        <v>43725.60416666667</v>
      </c>
      <c r="J369" s="12" t="s">
        <v>1625</v>
      </c>
      <c r="L369" s="12" t="s">
        <v>1788</v>
      </c>
      <c r="M369" s="12" t="s">
        <v>1712</v>
      </c>
      <c r="O369" s="12" t="s">
        <v>1708</v>
      </c>
      <c r="P369" s="12" t="s">
        <v>1696</v>
      </c>
      <c r="Q369" s="12" t="s">
        <v>1696</v>
      </c>
      <c r="R369" s="12" t="s">
        <v>1696</v>
      </c>
      <c r="S369" s="12" t="s">
        <v>1696</v>
      </c>
      <c r="T369" s="12" t="s">
        <v>1696</v>
      </c>
      <c r="U369" s="12" t="s">
        <v>1696</v>
      </c>
      <c r="V369" s="12" t="s">
        <v>1696</v>
      </c>
      <c r="W369" s="12" t="s">
        <v>1696</v>
      </c>
      <c r="X369" s="12" t="s">
        <v>1696</v>
      </c>
      <c r="Y369" s="12" t="s">
        <v>1696</v>
      </c>
      <c r="Z369" s="12" t="s">
        <v>1696</v>
      </c>
      <c r="AA369" s="12" t="s">
        <v>1696</v>
      </c>
      <c r="AB369" s="12" t="s">
        <v>1696</v>
      </c>
      <c r="AE369" s="29">
        <v>0.30208333333575865</v>
      </c>
    </row>
    <row r="370">
      <c r="A370" s="26">
        <v>43725.41551450231</v>
      </c>
      <c r="B370" s="12" t="s">
        <v>1797</v>
      </c>
      <c r="C370" s="12" t="s">
        <v>2011</v>
      </c>
      <c r="D370" s="12" t="s">
        <v>1916</v>
      </c>
      <c r="E370" s="12" t="s">
        <v>1714</v>
      </c>
      <c r="F370" s="27">
        <v>43725.0</v>
      </c>
      <c r="G370" s="12" t="s">
        <v>2429</v>
      </c>
      <c r="H370" s="29">
        <v>0.5416666666642413</v>
      </c>
      <c r="I370" s="26">
        <v>43725.625</v>
      </c>
      <c r="J370" s="12" t="s">
        <v>1658</v>
      </c>
      <c r="L370" s="12" t="s">
        <v>1720</v>
      </c>
      <c r="M370" s="12" t="s">
        <v>1918</v>
      </c>
      <c r="N370" s="12" t="s">
        <v>2251</v>
      </c>
      <c r="O370" s="12" t="s">
        <v>1802</v>
      </c>
      <c r="P370" s="12" t="s">
        <v>1696</v>
      </c>
      <c r="Q370" s="12" t="s">
        <v>1696</v>
      </c>
      <c r="R370" s="12" t="s">
        <v>1696</v>
      </c>
      <c r="S370" s="12" t="s">
        <v>1696</v>
      </c>
      <c r="T370" s="12" t="s">
        <v>1696</v>
      </c>
      <c r="U370" s="12" t="s">
        <v>1696</v>
      </c>
      <c r="V370" s="12" t="s">
        <v>1696</v>
      </c>
      <c r="W370" s="12" t="s">
        <v>1696</v>
      </c>
      <c r="X370" s="12" t="s">
        <v>1696</v>
      </c>
      <c r="Y370" s="12" t="s">
        <v>1696</v>
      </c>
      <c r="Z370" s="12" t="s">
        <v>1696</v>
      </c>
      <c r="AA370" s="12" t="s">
        <v>1696</v>
      </c>
      <c r="AB370" s="12" t="s">
        <v>1696</v>
      </c>
      <c r="AE370" s="29">
        <v>0.42708333333575865</v>
      </c>
    </row>
    <row r="371">
      <c r="A371" s="26">
        <v>43726.26800806713</v>
      </c>
      <c r="B371" s="12" t="s">
        <v>1744</v>
      </c>
      <c r="C371" s="12" t="s">
        <v>262</v>
      </c>
      <c r="D371" s="12" t="s">
        <v>1916</v>
      </c>
      <c r="E371" s="12" t="s">
        <v>1714</v>
      </c>
      <c r="F371" s="27">
        <v>43726.0</v>
      </c>
      <c r="G371" s="12" t="s">
        <v>1819</v>
      </c>
      <c r="H371" s="29">
        <v>0.5416666666642413</v>
      </c>
      <c r="I371" s="26">
        <v>43726.60416666667</v>
      </c>
      <c r="J371" s="12" t="s">
        <v>1625</v>
      </c>
      <c r="L371" s="12" t="s">
        <v>1788</v>
      </c>
      <c r="M371" s="12" t="s">
        <v>1706</v>
      </c>
      <c r="N371" s="12" t="s">
        <v>2426</v>
      </c>
      <c r="O371" s="12" t="s">
        <v>1708</v>
      </c>
      <c r="P371" s="12" t="s">
        <v>1696</v>
      </c>
      <c r="Q371" s="12" t="s">
        <v>1696</v>
      </c>
      <c r="R371" s="12" t="s">
        <v>1696</v>
      </c>
      <c r="S371" s="12" t="s">
        <v>1696</v>
      </c>
      <c r="T371" s="12" t="s">
        <v>1696</v>
      </c>
      <c r="U371" s="12" t="s">
        <v>1696</v>
      </c>
      <c r="V371" s="12" t="s">
        <v>1696</v>
      </c>
      <c r="W371" s="12" t="s">
        <v>1696</v>
      </c>
      <c r="X371" s="12" t="s">
        <v>1696</v>
      </c>
      <c r="Y371" s="12" t="s">
        <v>1696</v>
      </c>
      <c r="Z371" s="12" t="s">
        <v>1696</v>
      </c>
      <c r="AA371" s="12" t="s">
        <v>1696</v>
      </c>
      <c r="AB371" s="12" t="s">
        <v>1696</v>
      </c>
      <c r="AE371" s="29">
        <v>0.3125</v>
      </c>
    </row>
    <row r="372">
      <c r="A372" s="26">
        <v>43726.37518136574</v>
      </c>
      <c r="B372" s="12" t="s">
        <v>1735</v>
      </c>
      <c r="C372" s="12" t="s">
        <v>1727</v>
      </c>
      <c r="D372" s="12" t="s">
        <v>1728</v>
      </c>
      <c r="E372" s="12" t="s">
        <v>1809</v>
      </c>
      <c r="F372" s="27">
        <v>43726.0</v>
      </c>
      <c r="G372" s="12" t="s">
        <v>2430</v>
      </c>
      <c r="H372" s="29">
        <v>0.6666666666642413</v>
      </c>
      <c r="J372" s="12" t="s">
        <v>1704</v>
      </c>
      <c r="L372" s="12" t="s">
        <v>1626</v>
      </c>
      <c r="M372" s="12" t="s">
        <v>1785</v>
      </c>
      <c r="N372" s="12" t="s">
        <v>2431</v>
      </c>
      <c r="O372" s="12" t="s">
        <v>2432</v>
      </c>
      <c r="P372" s="12" t="s">
        <v>1696</v>
      </c>
      <c r="Q372" s="12" t="s">
        <v>1696</v>
      </c>
      <c r="R372" s="12" t="s">
        <v>1696</v>
      </c>
      <c r="S372" s="12" t="s">
        <v>1696</v>
      </c>
      <c r="T372" s="12" t="s">
        <v>1696</v>
      </c>
      <c r="U372" s="12" t="s">
        <v>1696</v>
      </c>
      <c r="V372" s="12" t="s">
        <v>1696</v>
      </c>
      <c r="W372" s="12" t="s">
        <v>1696</v>
      </c>
      <c r="X372" s="12" t="s">
        <v>1696</v>
      </c>
      <c r="Y372" s="12" t="s">
        <v>1696</v>
      </c>
      <c r="Z372" s="12" t="s">
        <v>1696</v>
      </c>
      <c r="AA372" s="12" t="s">
        <v>1696</v>
      </c>
      <c r="AB372" s="12" t="s">
        <v>1696</v>
      </c>
      <c r="AE372" s="29">
        <v>0.38541666666424135</v>
      </c>
    </row>
    <row r="373">
      <c r="A373" s="26">
        <v>43727.33444310185</v>
      </c>
      <c r="B373" s="12" t="s">
        <v>1699</v>
      </c>
      <c r="C373" s="12" t="s">
        <v>262</v>
      </c>
      <c r="D373" s="12" t="s">
        <v>1916</v>
      </c>
      <c r="E373" s="12" t="s">
        <v>1714</v>
      </c>
      <c r="F373" s="27">
        <v>43727.0</v>
      </c>
      <c r="G373" s="12" t="s">
        <v>1819</v>
      </c>
      <c r="H373" s="29">
        <v>0.5416666666642413</v>
      </c>
      <c r="I373" s="26">
        <v>43727.60416666667</v>
      </c>
      <c r="J373" s="12" t="s">
        <v>1625</v>
      </c>
      <c r="L373" s="12" t="s">
        <v>1788</v>
      </c>
      <c r="M373" s="12" t="s">
        <v>1712</v>
      </c>
      <c r="O373" s="12" t="s">
        <v>1708</v>
      </c>
      <c r="P373" s="12" t="s">
        <v>1696</v>
      </c>
      <c r="Q373" s="12" t="s">
        <v>1696</v>
      </c>
      <c r="R373" s="12" t="s">
        <v>1696</v>
      </c>
      <c r="S373" s="12" t="s">
        <v>1696</v>
      </c>
      <c r="T373" s="12" t="s">
        <v>1696</v>
      </c>
      <c r="U373" s="12" t="s">
        <v>1696</v>
      </c>
      <c r="V373" s="12" t="s">
        <v>1696</v>
      </c>
      <c r="W373" s="12" t="s">
        <v>1696</v>
      </c>
      <c r="X373" s="12" t="s">
        <v>1696</v>
      </c>
      <c r="Y373" s="12" t="s">
        <v>1696</v>
      </c>
      <c r="Z373" s="12" t="s">
        <v>1696</v>
      </c>
      <c r="AA373" s="12" t="s">
        <v>1696</v>
      </c>
      <c r="AB373" s="12" t="s">
        <v>1696</v>
      </c>
      <c r="AE373" s="29">
        <v>0.32291666666424135</v>
      </c>
    </row>
    <row r="374">
      <c r="A374" s="26">
        <v>43727.34919997685</v>
      </c>
      <c r="B374" s="12" t="s">
        <v>1733</v>
      </c>
      <c r="C374" s="12" t="s">
        <v>1727</v>
      </c>
      <c r="D374" s="12" t="s">
        <v>1728</v>
      </c>
      <c r="E374" s="12" t="s">
        <v>2015</v>
      </c>
      <c r="F374" s="27">
        <v>43727.0</v>
      </c>
      <c r="G374" s="12" t="s">
        <v>2433</v>
      </c>
      <c r="H374" s="29">
        <v>0.6666666666642413</v>
      </c>
      <c r="J374" s="12" t="s">
        <v>1704</v>
      </c>
      <c r="L374" s="12" t="s">
        <v>1626</v>
      </c>
      <c r="M374" s="12" t="s">
        <v>1785</v>
      </c>
      <c r="N374" s="12" t="s">
        <v>2434</v>
      </c>
      <c r="O374" s="12" t="s">
        <v>1735</v>
      </c>
      <c r="P374" s="12" t="s">
        <v>1696</v>
      </c>
      <c r="Q374" s="12" t="s">
        <v>1696</v>
      </c>
      <c r="R374" s="12" t="s">
        <v>1696</v>
      </c>
      <c r="S374" s="12" t="s">
        <v>1696</v>
      </c>
      <c r="T374" s="12" t="s">
        <v>1696</v>
      </c>
      <c r="U374" s="12" t="s">
        <v>1696</v>
      </c>
      <c r="V374" s="12" t="s">
        <v>1696</v>
      </c>
      <c r="W374" s="12" t="s">
        <v>1696</v>
      </c>
      <c r="X374" s="12" t="s">
        <v>1696</v>
      </c>
      <c r="Y374" s="12" t="s">
        <v>1696</v>
      </c>
      <c r="Z374" s="12" t="s">
        <v>1696</v>
      </c>
      <c r="AA374" s="12" t="s">
        <v>1696</v>
      </c>
      <c r="AB374" s="12" t="s">
        <v>1696</v>
      </c>
      <c r="AE374" s="29">
        <v>0.41666666666424135</v>
      </c>
    </row>
    <row r="375">
      <c r="A375" s="26">
        <v>43727.40941795139</v>
      </c>
      <c r="B375" s="12" t="s">
        <v>1717</v>
      </c>
      <c r="C375" s="12" t="s">
        <v>1718</v>
      </c>
      <c r="D375" s="12" t="s">
        <v>1916</v>
      </c>
      <c r="E375" s="12" t="s">
        <v>2435</v>
      </c>
      <c r="F375" s="27">
        <v>43727.0</v>
      </c>
      <c r="G375" s="12" t="s">
        <v>2436</v>
      </c>
      <c r="H375" s="29">
        <v>0.5625</v>
      </c>
      <c r="I375" s="26">
        <v>43727.60416666667</v>
      </c>
      <c r="J375" s="12" t="s">
        <v>1658</v>
      </c>
      <c r="L375" s="12" t="s">
        <v>1720</v>
      </c>
      <c r="M375" s="12" t="s">
        <v>1918</v>
      </c>
      <c r="N375" s="12" t="s">
        <v>2251</v>
      </c>
      <c r="O375" s="12" t="s">
        <v>2274</v>
      </c>
      <c r="P375" s="12" t="s">
        <v>1696</v>
      </c>
      <c r="Q375" s="12" t="s">
        <v>1696</v>
      </c>
      <c r="R375" s="12" t="s">
        <v>1696</v>
      </c>
      <c r="S375" s="12" t="s">
        <v>1696</v>
      </c>
      <c r="T375" s="12" t="s">
        <v>1696</v>
      </c>
      <c r="U375" s="12" t="s">
        <v>1696</v>
      </c>
      <c r="V375" s="12" t="s">
        <v>1696</v>
      </c>
      <c r="W375" s="12" t="s">
        <v>1696</v>
      </c>
      <c r="X375" s="12" t="s">
        <v>1696</v>
      </c>
      <c r="Y375" s="12" t="s">
        <v>1696</v>
      </c>
      <c r="Z375" s="12" t="s">
        <v>1696</v>
      </c>
      <c r="AA375" s="12" t="s">
        <v>1696</v>
      </c>
      <c r="AB375" s="12" t="s">
        <v>1696</v>
      </c>
      <c r="AE375" s="29">
        <v>0.40972222221898846</v>
      </c>
    </row>
    <row r="376">
      <c r="A376" s="26">
        <v>43728.30886796296</v>
      </c>
      <c r="B376" s="12" t="s">
        <v>2437</v>
      </c>
      <c r="C376" s="12" t="s">
        <v>2420</v>
      </c>
      <c r="D376" s="12" t="s">
        <v>1916</v>
      </c>
      <c r="E376" s="12" t="s">
        <v>1809</v>
      </c>
      <c r="F376" s="27">
        <v>43728.0</v>
      </c>
      <c r="G376" s="12" t="s">
        <v>2438</v>
      </c>
      <c r="H376" s="29">
        <v>0.5</v>
      </c>
      <c r="I376" s="26">
        <v>43728.54166666667</v>
      </c>
      <c r="J376" s="12" t="s">
        <v>1658</v>
      </c>
      <c r="L376" s="12" t="s">
        <v>1720</v>
      </c>
      <c r="M376" s="12" t="s">
        <v>2439</v>
      </c>
      <c r="N376" s="12" t="s">
        <v>2334</v>
      </c>
      <c r="O376" s="12" t="s">
        <v>2439</v>
      </c>
      <c r="P376" s="12" t="s">
        <v>1696</v>
      </c>
      <c r="Q376" s="12" t="s">
        <v>1696</v>
      </c>
      <c r="R376" s="12" t="s">
        <v>1696</v>
      </c>
      <c r="S376" s="12" t="s">
        <v>1696</v>
      </c>
      <c r="T376" s="12" t="s">
        <v>1696</v>
      </c>
      <c r="U376" s="12" t="s">
        <v>1696</v>
      </c>
      <c r="V376" s="12" t="s">
        <v>1696</v>
      </c>
      <c r="W376" s="12" t="s">
        <v>1696</v>
      </c>
      <c r="X376" s="12" t="s">
        <v>1696</v>
      </c>
      <c r="Y376" s="12" t="s">
        <v>1696</v>
      </c>
      <c r="Z376" s="12" t="s">
        <v>1696</v>
      </c>
      <c r="AA376" s="12" t="s">
        <v>1696</v>
      </c>
      <c r="AB376" s="12" t="s">
        <v>1696</v>
      </c>
      <c r="AE376" s="29">
        <v>0.3125</v>
      </c>
    </row>
    <row r="377">
      <c r="A377" s="26">
        <v>43731.36523236111</v>
      </c>
      <c r="B377" s="12" t="s">
        <v>1717</v>
      </c>
      <c r="C377" s="12" t="s">
        <v>1718</v>
      </c>
      <c r="D377" s="12" t="s">
        <v>1916</v>
      </c>
      <c r="E377" s="12" t="s">
        <v>1836</v>
      </c>
      <c r="F377" s="27">
        <v>43731.0</v>
      </c>
      <c r="G377" s="12" t="s">
        <v>2440</v>
      </c>
      <c r="H377" s="29">
        <v>0.5729166666642413</v>
      </c>
      <c r="I377" s="26">
        <v>43731.58333333333</v>
      </c>
      <c r="J377" s="12" t="s">
        <v>1658</v>
      </c>
      <c r="L377" s="12" t="s">
        <v>1720</v>
      </c>
      <c r="M377" s="12" t="s">
        <v>1918</v>
      </c>
      <c r="N377" s="12" t="s">
        <v>2441</v>
      </c>
      <c r="O377" s="12" t="s">
        <v>2274</v>
      </c>
      <c r="P377" s="12" t="s">
        <v>1696</v>
      </c>
      <c r="Q377" s="12" t="s">
        <v>1696</v>
      </c>
      <c r="R377" s="12" t="s">
        <v>1696</v>
      </c>
      <c r="S377" s="12" t="s">
        <v>1696</v>
      </c>
      <c r="T377" s="12" t="s">
        <v>1696</v>
      </c>
      <c r="U377" s="12" t="s">
        <v>1696</v>
      </c>
      <c r="V377" s="12" t="s">
        <v>1696</v>
      </c>
      <c r="W377" s="12" t="s">
        <v>1696</v>
      </c>
      <c r="X377" s="12" t="s">
        <v>1696</v>
      </c>
      <c r="Y377" s="12" t="s">
        <v>1696</v>
      </c>
      <c r="Z377" s="12" t="s">
        <v>1696</v>
      </c>
      <c r="AA377" s="12" t="s">
        <v>1696</v>
      </c>
      <c r="AB377" s="12" t="s">
        <v>1696</v>
      </c>
      <c r="AE377" s="29">
        <v>0.36597222222189885</v>
      </c>
    </row>
    <row r="378">
      <c r="A378" s="26">
        <v>43734.32605019676</v>
      </c>
      <c r="B378" s="12" t="s">
        <v>1717</v>
      </c>
      <c r="C378" s="12" t="s">
        <v>2442</v>
      </c>
      <c r="D378" s="12" t="s">
        <v>1916</v>
      </c>
      <c r="E378" s="12" t="s">
        <v>2443</v>
      </c>
      <c r="F378" s="27">
        <v>43734.0</v>
      </c>
      <c r="G378" s="12" t="s">
        <v>2444</v>
      </c>
      <c r="H378" s="29">
        <v>0.5625</v>
      </c>
      <c r="I378" s="26">
        <v>43734.64583333333</v>
      </c>
      <c r="J378" s="12" t="s">
        <v>1704</v>
      </c>
      <c r="L378" s="12" t="s">
        <v>1720</v>
      </c>
      <c r="M378" s="12" t="s">
        <v>2360</v>
      </c>
      <c r="O378" s="12" t="s">
        <v>2095</v>
      </c>
      <c r="P378" s="12" t="s">
        <v>1696</v>
      </c>
      <c r="Q378" s="12" t="s">
        <v>1696</v>
      </c>
      <c r="R378" s="12" t="s">
        <v>1696</v>
      </c>
      <c r="S378" s="12" t="s">
        <v>1696</v>
      </c>
      <c r="T378" s="12" t="s">
        <v>1696</v>
      </c>
      <c r="U378" s="12" t="s">
        <v>1696</v>
      </c>
      <c r="V378" s="12" t="s">
        <v>1696</v>
      </c>
      <c r="W378" s="12" t="s">
        <v>1696</v>
      </c>
      <c r="X378" s="12" t="s">
        <v>1696</v>
      </c>
      <c r="Y378" s="12" t="s">
        <v>1696</v>
      </c>
      <c r="Z378" s="12" t="s">
        <v>1696</v>
      </c>
      <c r="AA378" s="12" t="s">
        <v>1696</v>
      </c>
      <c r="AB378" s="12" t="s">
        <v>1696</v>
      </c>
      <c r="AE378" s="29">
        <v>0.32638888889050577</v>
      </c>
    </row>
    <row r="379">
      <c r="A379" s="26">
        <v>43734.45528391204</v>
      </c>
      <c r="B379" s="12" t="s">
        <v>1891</v>
      </c>
      <c r="C379" s="12" t="s">
        <v>2445</v>
      </c>
      <c r="D379" s="12" t="s">
        <v>1916</v>
      </c>
      <c r="E379" s="12" t="s">
        <v>2058</v>
      </c>
      <c r="F379" s="27">
        <v>43734.0</v>
      </c>
      <c r="G379" s="12" t="s">
        <v>2326</v>
      </c>
      <c r="H379" s="29">
        <v>0.16666666666424135</v>
      </c>
      <c r="I379" s="26">
        <v>43734.1875</v>
      </c>
      <c r="J379" s="12" t="s">
        <v>1658</v>
      </c>
      <c r="L379" s="12" t="s">
        <v>2446</v>
      </c>
      <c r="M379" s="12" t="s">
        <v>1706</v>
      </c>
      <c r="N379" s="12" t="s">
        <v>2447</v>
      </c>
      <c r="O379" s="12" t="s">
        <v>1708</v>
      </c>
      <c r="P379" s="12" t="s">
        <v>1696</v>
      </c>
      <c r="Q379" s="12" t="s">
        <v>1696</v>
      </c>
      <c r="R379" s="12" t="s">
        <v>1696</v>
      </c>
      <c r="S379" s="12" t="s">
        <v>1696</v>
      </c>
      <c r="T379" s="12" t="s">
        <v>1696</v>
      </c>
      <c r="U379" s="12" t="s">
        <v>1696</v>
      </c>
      <c r="V379" s="12" t="s">
        <v>1696</v>
      </c>
      <c r="W379" s="12" t="s">
        <v>1696</v>
      </c>
      <c r="X379" s="12" t="s">
        <v>1696</v>
      </c>
      <c r="Y379" s="12" t="s">
        <v>1696</v>
      </c>
      <c r="Z379" s="12" t="s">
        <v>1696</v>
      </c>
      <c r="AA379" s="12" t="s">
        <v>1696</v>
      </c>
      <c r="AB379" s="12" t="s">
        <v>1696</v>
      </c>
      <c r="AE379" s="29">
        <v>0.45833333333575865</v>
      </c>
    </row>
    <row r="380">
      <c r="A380" s="26">
        <v>43738.62739782408</v>
      </c>
      <c r="B380" s="12" t="s">
        <v>1717</v>
      </c>
      <c r="C380" s="12" t="s">
        <v>1718</v>
      </c>
      <c r="D380" s="12" t="s">
        <v>1916</v>
      </c>
      <c r="E380" s="12" t="s">
        <v>2218</v>
      </c>
      <c r="F380" s="27">
        <v>43739.0</v>
      </c>
      <c r="G380" s="12" t="s">
        <v>2436</v>
      </c>
      <c r="H380" s="29">
        <v>0.5208333333357587</v>
      </c>
      <c r="I380" s="26">
        <v>43739.57291666667</v>
      </c>
      <c r="J380" s="12" t="s">
        <v>1658</v>
      </c>
      <c r="L380" s="12" t="s">
        <v>1720</v>
      </c>
      <c r="M380" s="12" t="s">
        <v>1918</v>
      </c>
      <c r="N380" s="12" t="s">
        <v>2448</v>
      </c>
      <c r="O380" s="12" t="s">
        <v>2274</v>
      </c>
      <c r="P380" s="12" t="s">
        <v>1696</v>
      </c>
      <c r="Q380" s="12" t="s">
        <v>1696</v>
      </c>
      <c r="R380" s="12" t="s">
        <v>1696</v>
      </c>
      <c r="S380" s="12" t="s">
        <v>1696</v>
      </c>
      <c r="T380" s="12" t="s">
        <v>1696</v>
      </c>
      <c r="U380" s="12" t="s">
        <v>1696</v>
      </c>
      <c r="V380" s="12" t="s">
        <v>1696</v>
      </c>
      <c r="W380" s="12" t="s">
        <v>1696</v>
      </c>
      <c r="X380" s="12" t="s">
        <v>1696</v>
      </c>
      <c r="Y380" s="12" t="s">
        <v>1696</v>
      </c>
      <c r="Z380" s="12" t="s">
        <v>1696</v>
      </c>
      <c r="AA380" s="12" t="s">
        <v>1696</v>
      </c>
      <c r="AB380" s="12" t="s">
        <v>1696</v>
      </c>
      <c r="AE380" s="29">
        <v>0.30208333333575865</v>
      </c>
    </row>
    <row r="381">
      <c r="A381" s="26">
        <v>43739.534279618056</v>
      </c>
      <c r="B381" s="12" t="s">
        <v>1744</v>
      </c>
      <c r="C381" s="12" t="s">
        <v>2389</v>
      </c>
      <c r="D381" s="12" t="s">
        <v>1916</v>
      </c>
      <c r="E381" s="12" t="s">
        <v>1623</v>
      </c>
      <c r="F381" s="27">
        <v>43739.0</v>
      </c>
      <c r="G381" s="12" t="s">
        <v>2269</v>
      </c>
      <c r="H381" s="29">
        <v>0.7916666666642413</v>
      </c>
      <c r="I381" s="26">
        <v>43739.8125</v>
      </c>
      <c r="J381" s="12" t="s">
        <v>1704</v>
      </c>
      <c r="L381" s="12" t="s">
        <v>2449</v>
      </c>
      <c r="M381" s="12" t="s">
        <v>1706</v>
      </c>
      <c r="N381" s="12" t="s">
        <v>2450</v>
      </c>
      <c r="O381" s="12" t="s">
        <v>1708</v>
      </c>
      <c r="P381" s="12" t="s">
        <v>1696</v>
      </c>
      <c r="Q381" s="12" t="s">
        <v>1696</v>
      </c>
      <c r="R381" s="12" t="s">
        <v>1696</v>
      </c>
      <c r="S381" s="12" t="s">
        <v>1696</v>
      </c>
      <c r="T381" s="12" t="s">
        <v>1696</v>
      </c>
      <c r="U381" s="12" t="s">
        <v>1696</v>
      </c>
      <c r="V381" s="12" t="s">
        <v>1696</v>
      </c>
      <c r="W381" s="12" t="s">
        <v>1696</v>
      </c>
      <c r="X381" s="12" t="s">
        <v>1696</v>
      </c>
      <c r="Y381" s="12" t="s">
        <v>1696</v>
      </c>
      <c r="Z381" s="12" t="s">
        <v>1696</v>
      </c>
      <c r="AA381" s="12" t="s">
        <v>1696</v>
      </c>
      <c r="AB381" s="12" t="s">
        <v>1696</v>
      </c>
      <c r="AE381" s="29">
        <v>0.625</v>
      </c>
    </row>
    <row r="382">
      <c r="A382" s="26">
        <v>43739.54267258102</v>
      </c>
      <c r="B382" s="12" t="s">
        <v>2437</v>
      </c>
      <c r="C382" s="12" t="s">
        <v>2420</v>
      </c>
      <c r="D382" s="12" t="s">
        <v>1622</v>
      </c>
      <c r="E382" s="12" t="s">
        <v>1843</v>
      </c>
      <c r="F382" s="27">
        <v>43740.0</v>
      </c>
      <c r="G382" s="12" t="s">
        <v>1763</v>
      </c>
      <c r="H382" s="29">
        <v>0.75</v>
      </c>
      <c r="I382" s="26">
        <v>43740.77083333333</v>
      </c>
      <c r="J382" s="12" t="s">
        <v>2451</v>
      </c>
      <c r="L382" s="12" t="s">
        <v>1626</v>
      </c>
      <c r="M382" s="12" t="s">
        <v>2259</v>
      </c>
      <c r="N382" s="12" t="s">
        <v>2452</v>
      </c>
      <c r="O382" s="12" t="s">
        <v>2259</v>
      </c>
      <c r="P382" s="12" t="s">
        <v>2453</v>
      </c>
      <c r="AE382" s="29">
        <v>0.5833333333357587</v>
      </c>
    </row>
    <row r="383">
      <c r="A383" s="26">
        <v>43740.31267363426</v>
      </c>
      <c r="B383" s="12" t="s">
        <v>1797</v>
      </c>
      <c r="C383" s="12" t="s">
        <v>2047</v>
      </c>
      <c r="D383" s="12" t="s">
        <v>1916</v>
      </c>
      <c r="E383" s="12" t="s">
        <v>1799</v>
      </c>
      <c r="F383" s="27">
        <v>43740.0</v>
      </c>
      <c r="G383" s="12" t="s">
        <v>2454</v>
      </c>
      <c r="H383" s="29">
        <v>0.5416666666642413</v>
      </c>
      <c r="I383" s="26">
        <v>43740.64583333333</v>
      </c>
      <c r="J383" s="12" t="s">
        <v>1658</v>
      </c>
      <c r="L383" s="12" t="s">
        <v>1720</v>
      </c>
      <c r="M383" s="12" t="s">
        <v>1918</v>
      </c>
      <c r="N383" s="12" t="s">
        <v>2455</v>
      </c>
      <c r="O383" s="12" t="s">
        <v>1802</v>
      </c>
      <c r="P383" s="12" t="s">
        <v>2453</v>
      </c>
      <c r="AE383" s="29">
        <v>0.3194444444452529</v>
      </c>
    </row>
    <row r="384">
      <c r="A384" s="26">
        <v>43740.34041193287</v>
      </c>
      <c r="B384" s="12" t="s">
        <v>1699</v>
      </c>
      <c r="C384" s="12" t="s">
        <v>262</v>
      </c>
      <c r="D384" s="12" t="s">
        <v>1916</v>
      </c>
      <c r="E384" s="12" t="s">
        <v>2428</v>
      </c>
      <c r="F384" s="27">
        <v>43740.0</v>
      </c>
      <c r="G384" s="12" t="s">
        <v>2456</v>
      </c>
      <c r="H384" s="29">
        <v>0.5416666666642413</v>
      </c>
      <c r="I384" s="26">
        <v>43740.60416666667</v>
      </c>
      <c r="J384" s="12" t="s">
        <v>2451</v>
      </c>
      <c r="L384" s="12" t="s">
        <v>1626</v>
      </c>
      <c r="M384" s="12" t="s">
        <v>1706</v>
      </c>
      <c r="N384" s="12" t="s">
        <v>2457</v>
      </c>
      <c r="O384" s="12" t="s">
        <v>1708</v>
      </c>
      <c r="P384" s="12" t="s">
        <v>2453</v>
      </c>
      <c r="AE384" s="29">
        <v>0.33333333333575865</v>
      </c>
    </row>
    <row r="385">
      <c r="A385" s="26">
        <v>43741.296664884256</v>
      </c>
      <c r="B385" s="12" t="s">
        <v>2437</v>
      </c>
      <c r="C385" s="12" t="s">
        <v>2420</v>
      </c>
      <c r="D385" s="12" t="s">
        <v>1622</v>
      </c>
      <c r="E385" s="12" t="s">
        <v>2236</v>
      </c>
      <c r="F385" s="27">
        <v>43741.0</v>
      </c>
      <c r="G385" s="12" t="s">
        <v>2458</v>
      </c>
      <c r="H385" s="29">
        <v>0.41666666666424135</v>
      </c>
      <c r="I385" s="26">
        <v>43740.41666666667</v>
      </c>
      <c r="J385" s="12" t="s">
        <v>2451</v>
      </c>
      <c r="L385" s="12" t="s">
        <v>1626</v>
      </c>
      <c r="M385" s="12" t="s">
        <v>1706</v>
      </c>
      <c r="N385" s="12" t="s">
        <v>2452</v>
      </c>
      <c r="O385" s="12" t="s">
        <v>1744</v>
      </c>
      <c r="P385" s="12" t="s">
        <v>2453</v>
      </c>
      <c r="AE385" s="29">
        <v>0.3125</v>
      </c>
    </row>
    <row r="386">
      <c r="A386" s="26">
        <v>43741.361155844905</v>
      </c>
      <c r="B386" s="12" t="s">
        <v>2437</v>
      </c>
      <c r="C386" s="12" t="s">
        <v>2420</v>
      </c>
      <c r="D386" s="12" t="s">
        <v>1916</v>
      </c>
      <c r="E386" s="12" t="s">
        <v>2459</v>
      </c>
      <c r="F386" s="27">
        <v>43741.0</v>
      </c>
      <c r="G386" s="12" t="s">
        <v>2460</v>
      </c>
      <c r="H386" s="29">
        <v>0.41666666666424135</v>
      </c>
      <c r="I386" s="26">
        <v>43741.66666666667</v>
      </c>
      <c r="J386" s="12" t="s">
        <v>2451</v>
      </c>
      <c r="L386" s="12" t="s">
        <v>1626</v>
      </c>
      <c r="M386" s="12" t="s">
        <v>1706</v>
      </c>
      <c r="N386" s="12" t="s">
        <v>2452</v>
      </c>
      <c r="O386" s="12" t="s">
        <v>2395</v>
      </c>
      <c r="P386" s="12" t="s">
        <v>2453</v>
      </c>
      <c r="AE386" s="29">
        <v>0.375</v>
      </c>
    </row>
    <row r="387">
      <c r="A387" s="26">
        <v>43741.444447685186</v>
      </c>
      <c r="B387" s="12" t="s">
        <v>2437</v>
      </c>
      <c r="C387" s="12" t="s">
        <v>2420</v>
      </c>
      <c r="D387" s="12" t="s">
        <v>1916</v>
      </c>
      <c r="E387" s="12" t="s">
        <v>2428</v>
      </c>
      <c r="F387" s="27">
        <v>43741.0</v>
      </c>
      <c r="G387" s="12" t="s">
        <v>2461</v>
      </c>
      <c r="H387" s="29">
        <v>0.6666666666642413</v>
      </c>
      <c r="I387" s="26">
        <v>43741.70833333333</v>
      </c>
      <c r="J387" s="12" t="s">
        <v>2451</v>
      </c>
      <c r="L387" s="12" t="s">
        <v>1626</v>
      </c>
      <c r="M387" s="12" t="s">
        <v>1706</v>
      </c>
      <c r="N387" s="12" t="s">
        <v>2452</v>
      </c>
      <c r="O387" s="12" t="s">
        <v>2395</v>
      </c>
      <c r="P387" s="12" t="s">
        <v>2453</v>
      </c>
      <c r="AE387" s="29">
        <v>0.9583333333357587</v>
      </c>
    </row>
    <row r="388">
      <c r="A388" s="26">
        <v>43741.46477439815</v>
      </c>
      <c r="B388" s="12" t="s">
        <v>1744</v>
      </c>
      <c r="C388" s="12" t="s">
        <v>2230</v>
      </c>
      <c r="D388" s="12" t="s">
        <v>1916</v>
      </c>
      <c r="E388" s="12" t="s">
        <v>2038</v>
      </c>
      <c r="F388" s="27">
        <v>43741.0</v>
      </c>
      <c r="G388" s="12" t="s">
        <v>1819</v>
      </c>
      <c r="H388" s="29">
        <v>0.625</v>
      </c>
      <c r="I388" s="26">
        <v>43741.6875</v>
      </c>
      <c r="J388" s="12" t="s">
        <v>2451</v>
      </c>
      <c r="L388" s="12" t="s">
        <v>1626</v>
      </c>
      <c r="M388" s="12" t="s">
        <v>1706</v>
      </c>
      <c r="N388" s="12" t="s">
        <v>2452</v>
      </c>
      <c r="O388" s="12" t="s">
        <v>1708</v>
      </c>
      <c r="P388" s="12" t="s">
        <v>2453</v>
      </c>
      <c r="AE388" s="29">
        <v>0.46875</v>
      </c>
    </row>
    <row r="389">
      <c r="A389" s="26">
        <v>43741.4851649537</v>
      </c>
      <c r="B389" s="12" t="s">
        <v>1717</v>
      </c>
      <c r="C389" s="12" t="s">
        <v>1718</v>
      </c>
      <c r="D389" s="12" t="s">
        <v>1916</v>
      </c>
      <c r="E389" s="12" t="s">
        <v>2462</v>
      </c>
      <c r="F389" s="27">
        <v>43741.0</v>
      </c>
      <c r="G389" s="12" t="s">
        <v>2463</v>
      </c>
      <c r="H389" s="29">
        <v>0.5006944444467081</v>
      </c>
      <c r="I389" s="26">
        <v>43741.52083333333</v>
      </c>
      <c r="J389" s="12" t="s">
        <v>1658</v>
      </c>
      <c r="L389" s="12" t="s">
        <v>1720</v>
      </c>
      <c r="M389" s="12" t="s">
        <v>1918</v>
      </c>
      <c r="N389" s="12" t="s">
        <v>2146</v>
      </c>
      <c r="O389" s="12" t="s">
        <v>2464</v>
      </c>
      <c r="P389" s="12" t="s">
        <v>2453</v>
      </c>
      <c r="AE389" s="29">
        <v>0.32291666666424135</v>
      </c>
    </row>
    <row r="390">
      <c r="A390" s="26">
        <v>43741.71352362269</v>
      </c>
      <c r="B390" s="12" t="s">
        <v>1699</v>
      </c>
      <c r="C390" s="12" t="s">
        <v>262</v>
      </c>
      <c r="D390" s="12" t="s">
        <v>1916</v>
      </c>
      <c r="E390" s="12" t="s">
        <v>2465</v>
      </c>
      <c r="F390" s="27">
        <v>43742.0</v>
      </c>
      <c r="G390" s="12" t="s">
        <v>1637</v>
      </c>
      <c r="H390" s="29">
        <v>0.5833333333357587</v>
      </c>
      <c r="I390" s="26">
        <v>43742.625</v>
      </c>
      <c r="J390" s="12" t="s">
        <v>2466</v>
      </c>
      <c r="K390" s="12">
        <v>3.0</v>
      </c>
      <c r="L390" s="12" t="s">
        <v>1720</v>
      </c>
      <c r="M390" s="12" t="s">
        <v>2467</v>
      </c>
      <c r="O390" s="12" t="s">
        <v>2072</v>
      </c>
      <c r="P390" s="12" t="s">
        <v>2453</v>
      </c>
      <c r="AE390" s="29">
        <v>0.33333333333575865</v>
      </c>
    </row>
    <row r="391">
      <c r="A391" s="26">
        <v>43742.26729585648</v>
      </c>
      <c r="B391" s="12" t="s">
        <v>1717</v>
      </c>
      <c r="C391" s="12" t="s">
        <v>1718</v>
      </c>
      <c r="D391" s="12" t="s">
        <v>1916</v>
      </c>
      <c r="E391" s="12" t="s">
        <v>1794</v>
      </c>
      <c r="F391" s="27">
        <v>43742.0</v>
      </c>
      <c r="G391" s="12" t="s">
        <v>2267</v>
      </c>
      <c r="H391" s="29">
        <v>0.5625</v>
      </c>
      <c r="I391" s="26">
        <v>43742.60416666667</v>
      </c>
      <c r="J391" s="12" t="s">
        <v>2468</v>
      </c>
      <c r="K391" s="12">
        <v>3.0</v>
      </c>
      <c r="L391" s="12" t="s">
        <v>1720</v>
      </c>
      <c r="M391" s="12" t="s">
        <v>2268</v>
      </c>
      <c r="N391" s="12" t="s">
        <v>2455</v>
      </c>
      <c r="O391" s="12" t="s">
        <v>2274</v>
      </c>
      <c r="P391" s="12" t="s">
        <v>2453</v>
      </c>
      <c r="AE391" s="29">
        <v>0.33333333333575865</v>
      </c>
    </row>
    <row r="392">
      <c r="A392" s="26">
        <v>43746.36720766204</v>
      </c>
      <c r="B392" s="12" t="s">
        <v>1717</v>
      </c>
      <c r="C392" s="12" t="s">
        <v>1718</v>
      </c>
      <c r="D392" s="12" t="s">
        <v>1916</v>
      </c>
      <c r="E392" s="12" t="s">
        <v>2469</v>
      </c>
      <c r="F392" s="27">
        <v>43746.0</v>
      </c>
      <c r="G392" s="12" t="s">
        <v>2470</v>
      </c>
      <c r="H392" s="29">
        <v>0.6145833333357587</v>
      </c>
      <c r="I392" s="26">
        <v>43746.625</v>
      </c>
      <c r="J392" s="12" t="s">
        <v>1658</v>
      </c>
      <c r="L392" s="12" t="s">
        <v>1720</v>
      </c>
      <c r="M392" s="12" t="s">
        <v>1918</v>
      </c>
      <c r="N392" s="12" t="s">
        <v>2251</v>
      </c>
      <c r="O392" s="12" t="s">
        <v>2274</v>
      </c>
      <c r="P392" s="12" t="s">
        <v>2453</v>
      </c>
      <c r="AC392" s="12" t="s">
        <v>2471</v>
      </c>
      <c r="AE392" s="29">
        <v>0.38541666666424135</v>
      </c>
    </row>
    <row r="393">
      <c r="A393" s="26">
        <v>43747.420042743055</v>
      </c>
      <c r="B393" s="12" t="s">
        <v>1797</v>
      </c>
      <c r="C393" s="12" t="s">
        <v>2047</v>
      </c>
      <c r="D393" s="12" t="s">
        <v>1916</v>
      </c>
      <c r="E393" s="12" t="s">
        <v>2194</v>
      </c>
      <c r="F393" s="27">
        <v>43747.0</v>
      </c>
      <c r="G393" s="12" t="s">
        <v>2472</v>
      </c>
      <c r="H393" s="29">
        <v>0.625</v>
      </c>
      <c r="I393" s="26">
        <v>43747.66666666667</v>
      </c>
      <c r="J393" s="12" t="s">
        <v>1658</v>
      </c>
      <c r="L393" s="12" t="s">
        <v>1720</v>
      </c>
      <c r="M393" s="12" t="s">
        <v>1918</v>
      </c>
      <c r="O393" s="12" t="s">
        <v>2473</v>
      </c>
      <c r="P393" s="12" t="s">
        <v>2474</v>
      </c>
      <c r="AE393" s="29">
        <v>0.4375</v>
      </c>
    </row>
    <row r="394">
      <c r="A394" s="26">
        <v>43748.2878087037</v>
      </c>
      <c r="B394" s="12" t="s">
        <v>1744</v>
      </c>
      <c r="C394" s="12" t="s">
        <v>1710</v>
      </c>
      <c r="D394" s="12" t="s">
        <v>1916</v>
      </c>
      <c r="E394" s="12" t="s">
        <v>1818</v>
      </c>
      <c r="F394" s="27">
        <v>43748.0</v>
      </c>
      <c r="G394" s="12" t="s">
        <v>2475</v>
      </c>
      <c r="H394" s="29">
        <v>0.5416666666642413</v>
      </c>
      <c r="I394" s="26">
        <v>43748.58333333333</v>
      </c>
      <c r="J394" s="12" t="s">
        <v>2451</v>
      </c>
      <c r="L394" s="12" t="s">
        <v>2449</v>
      </c>
      <c r="M394" s="12" t="s">
        <v>1706</v>
      </c>
      <c r="N394" s="12" t="s">
        <v>2476</v>
      </c>
      <c r="O394" s="12" t="s">
        <v>1708</v>
      </c>
      <c r="P394" s="12" t="s">
        <v>2474</v>
      </c>
      <c r="AE394" s="29">
        <v>0.34375</v>
      </c>
    </row>
    <row r="395">
      <c r="A395" s="26">
        <v>43748.63852334491</v>
      </c>
      <c r="B395" s="12" t="s">
        <v>1717</v>
      </c>
      <c r="C395" s="12" t="s">
        <v>1718</v>
      </c>
      <c r="D395" s="12" t="s">
        <v>1916</v>
      </c>
      <c r="E395" s="12" t="s">
        <v>2477</v>
      </c>
      <c r="F395" s="27">
        <v>43748.0</v>
      </c>
      <c r="G395" s="12" t="s">
        <v>2478</v>
      </c>
      <c r="H395" s="29">
        <v>0.6979166666642413</v>
      </c>
      <c r="I395" s="26">
        <v>43748.73958333333</v>
      </c>
      <c r="J395" s="12" t="s">
        <v>1658</v>
      </c>
      <c r="L395" s="12" t="s">
        <v>1720</v>
      </c>
      <c r="M395" s="12" t="s">
        <v>1918</v>
      </c>
      <c r="O395" s="12" t="s">
        <v>2132</v>
      </c>
      <c r="P395" s="12" t="s">
        <v>2474</v>
      </c>
      <c r="AE395" s="29">
        <v>0.6388888888905058</v>
      </c>
    </row>
    <row r="396">
      <c r="A396" s="26">
        <v>43752.375165254634</v>
      </c>
      <c r="B396" s="12" t="s">
        <v>1733</v>
      </c>
      <c r="C396" s="12" t="s">
        <v>1727</v>
      </c>
      <c r="D396" s="12" t="s">
        <v>1728</v>
      </c>
      <c r="E396" s="12" t="s">
        <v>2415</v>
      </c>
      <c r="F396" s="27">
        <v>43752.0</v>
      </c>
      <c r="G396" s="12" t="s">
        <v>2385</v>
      </c>
      <c r="H396" s="29">
        <v>0.625</v>
      </c>
      <c r="J396" s="12" t="s">
        <v>2451</v>
      </c>
      <c r="L396" s="12" t="s">
        <v>2479</v>
      </c>
      <c r="M396" s="12" t="s">
        <v>1785</v>
      </c>
      <c r="N396" s="12" t="s">
        <v>2480</v>
      </c>
      <c r="O396" s="12" t="s">
        <v>1735</v>
      </c>
      <c r="P396" s="12" t="s">
        <v>2474</v>
      </c>
      <c r="AE396" s="29">
        <v>0.41666666666424135</v>
      </c>
    </row>
    <row r="397">
      <c r="A397" s="26">
        <v>43752.37637513889</v>
      </c>
      <c r="B397" s="12" t="s">
        <v>2481</v>
      </c>
      <c r="C397" s="12" t="s">
        <v>2482</v>
      </c>
      <c r="D397" s="12" t="s">
        <v>1728</v>
      </c>
      <c r="E397" s="12" t="s">
        <v>1683</v>
      </c>
      <c r="F397" s="27">
        <v>43752.0</v>
      </c>
      <c r="G397" s="12" t="s">
        <v>1984</v>
      </c>
      <c r="H397" s="29">
        <v>0.5</v>
      </c>
      <c r="J397" s="12" t="s">
        <v>1730</v>
      </c>
      <c r="L397" s="12" t="s">
        <v>1626</v>
      </c>
      <c r="M397" s="12" t="s">
        <v>2063</v>
      </c>
      <c r="N397" s="12" t="s">
        <v>2088</v>
      </c>
      <c r="O397" s="12" t="s">
        <v>2483</v>
      </c>
      <c r="P397" s="12" t="s">
        <v>2474</v>
      </c>
      <c r="AE397" s="29">
        <v>0.4375</v>
      </c>
    </row>
    <row r="398">
      <c r="A398" s="26">
        <v>43753.36580854167</v>
      </c>
      <c r="B398" s="12" t="s">
        <v>1717</v>
      </c>
      <c r="C398" s="12" t="s">
        <v>1718</v>
      </c>
      <c r="D398" s="12" t="s">
        <v>1916</v>
      </c>
      <c r="E398" s="12" t="s">
        <v>2162</v>
      </c>
      <c r="F398" s="27">
        <v>43753.0</v>
      </c>
      <c r="G398" s="12" t="s">
        <v>1792</v>
      </c>
      <c r="H398" s="29">
        <v>0.6041666666642413</v>
      </c>
      <c r="I398" s="26">
        <v>43753.625</v>
      </c>
      <c r="J398" s="12" t="s">
        <v>1704</v>
      </c>
      <c r="L398" s="12" t="s">
        <v>1626</v>
      </c>
      <c r="M398" s="12" t="s">
        <v>1781</v>
      </c>
      <c r="N398" s="12" t="s">
        <v>2484</v>
      </c>
      <c r="O398" s="12" t="s">
        <v>1717</v>
      </c>
      <c r="P398" s="12" t="s">
        <v>2474</v>
      </c>
      <c r="AE398" s="29">
        <v>0.39583333333575865</v>
      </c>
    </row>
    <row r="399">
      <c r="A399" s="26">
        <v>43753.57594016204</v>
      </c>
      <c r="B399" s="12" t="s">
        <v>2088</v>
      </c>
      <c r="C399" s="12" t="s">
        <v>2485</v>
      </c>
      <c r="D399" s="12" t="s">
        <v>1958</v>
      </c>
      <c r="E399" s="12" t="s">
        <v>2486</v>
      </c>
      <c r="F399" s="27">
        <v>43754.0</v>
      </c>
      <c r="G399" s="12" t="s">
        <v>1746</v>
      </c>
      <c r="H399" s="29">
        <v>0.5625</v>
      </c>
      <c r="I399" s="26">
        <v>43754.57291666667</v>
      </c>
      <c r="J399" s="12" t="s">
        <v>1730</v>
      </c>
      <c r="L399" s="12" t="s">
        <v>1626</v>
      </c>
      <c r="M399" s="12" t="s">
        <v>1634</v>
      </c>
      <c r="O399" s="12" t="s">
        <v>2487</v>
      </c>
      <c r="P399" s="12" t="s">
        <v>2474</v>
      </c>
      <c r="AE399" s="29">
        <v>0.5</v>
      </c>
    </row>
    <row r="400">
      <c r="A400" s="26">
        <v>43755.28520549768</v>
      </c>
      <c r="B400" s="12" t="s">
        <v>1744</v>
      </c>
      <c r="C400" s="12" t="s">
        <v>1710</v>
      </c>
      <c r="D400" s="12" t="s">
        <v>1916</v>
      </c>
      <c r="E400" s="12" t="s">
        <v>2218</v>
      </c>
      <c r="F400" s="27">
        <v>43755.0</v>
      </c>
      <c r="G400" s="12" t="s">
        <v>2488</v>
      </c>
      <c r="H400" s="29">
        <v>0.5833333333357587</v>
      </c>
      <c r="I400" s="26">
        <v>43755.64583333333</v>
      </c>
      <c r="J400" s="12" t="s">
        <v>2451</v>
      </c>
      <c r="L400" s="12" t="s">
        <v>2479</v>
      </c>
      <c r="M400" s="12" t="s">
        <v>1706</v>
      </c>
      <c r="N400" s="12" t="s">
        <v>2452</v>
      </c>
      <c r="O400" s="12" t="s">
        <v>1708</v>
      </c>
      <c r="P400" s="12" t="s">
        <v>2474</v>
      </c>
      <c r="AE400" s="29">
        <v>0.34375</v>
      </c>
    </row>
    <row r="401">
      <c r="A401" s="26">
        <v>43759.344396307875</v>
      </c>
      <c r="B401" s="12" t="s">
        <v>1717</v>
      </c>
      <c r="C401" s="12" t="s">
        <v>1718</v>
      </c>
      <c r="D401" s="12" t="s">
        <v>1916</v>
      </c>
      <c r="E401" s="12" t="s">
        <v>2218</v>
      </c>
      <c r="F401" s="27">
        <v>43759.0</v>
      </c>
      <c r="G401" s="12" t="s">
        <v>2436</v>
      </c>
      <c r="H401" s="29">
        <v>0.5833333333357587</v>
      </c>
      <c r="I401" s="26">
        <v>43759.64583333333</v>
      </c>
      <c r="J401" s="12" t="s">
        <v>1658</v>
      </c>
      <c r="L401" s="12" t="s">
        <v>1720</v>
      </c>
      <c r="M401" s="12" t="s">
        <v>1918</v>
      </c>
      <c r="N401" s="12" t="s">
        <v>2251</v>
      </c>
      <c r="O401" s="12" t="s">
        <v>2274</v>
      </c>
      <c r="P401" s="12" t="s">
        <v>2474</v>
      </c>
      <c r="AE401" s="29">
        <v>0.45833333333575865</v>
      </c>
    </row>
    <row r="402">
      <c r="A402" s="26">
        <v>43760.405569386574</v>
      </c>
      <c r="B402" s="12" t="s">
        <v>1744</v>
      </c>
      <c r="C402" s="12" t="s">
        <v>2389</v>
      </c>
      <c r="D402" s="12" t="s">
        <v>1916</v>
      </c>
      <c r="E402" s="12" t="s">
        <v>1714</v>
      </c>
      <c r="F402" s="27">
        <v>43760.0</v>
      </c>
      <c r="G402" s="12" t="s">
        <v>2489</v>
      </c>
      <c r="H402" s="29">
        <v>0.625</v>
      </c>
      <c r="I402" s="26">
        <v>43760.6875</v>
      </c>
      <c r="J402" s="12" t="s">
        <v>2451</v>
      </c>
      <c r="L402" s="12" t="s">
        <v>2479</v>
      </c>
      <c r="M402" s="12" t="s">
        <v>1706</v>
      </c>
      <c r="N402" s="12" t="s">
        <v>2490</v>
      </c>
      <c r="O402" s="12" t="s">
        <v>1708</v>
      </c>
      <c r="P402" s="12" t="s">
        <v>2474</v>
      </c>
      <c r="AE402" s="29">
        <v>0.47916666666424135</v>
      </c>
    </row>
    <row r="403">
      <c r="A403" s="26">
        <v>43761.51098082176</v>
      </c>
      <c r="B403" s="12" t="s">
        <v>1744</v>
      </c>
      <c r="C403" s="12" t="s">
        <v>2230</v>
      </c>
      <c r="D403" s="12" t="s">
        <v>1916</v>
      </c>
      <c r="E403" s="12" t="s">
        <v>2428</v>
      </c>
      <c r="F403" s="27">
        <v>43761.0</v>
      </c>
      <c r="G403" s="12" t="s">
        <v>2456</v>
      </c>
      <c r="H403" s="29">
        <v>0.625</v>
      </c>
      <c r="I403" s="26">
        <v>43761.66666666667</v>
      </c>
      <c r="J403" s="12" t="s">
        <v>2451</v>
      </c>
      <c r="L403" s="12" t="s">
        <v>2479</v>
      </c>
      <c r="M403" s="12" t="s">
        <v>1706</v>
      </c>
      <c r="N403" s="12" t="s">
        <v>2491</v>
      </c>
      <c r="O403" s="12" t="s">
        <v>1708</v>
      </c>
      <c r="P403" s="12" t="s">
        <v>2474</v>
      </c>
      <c r="AE403" s="29">
        <v>0.5208333333357587</v>
      </c>
    </row>
    <row r="404">
      <c r="A404" s="26">
        <v>43762.36540851852</v>
      </c>
      <c r="B404" s="12" t="s">
        <v>1733</v>
      </c>
      <c r="C404" s="12" t="s">
        <v>1727</v>
      </c>
      <c r="D404" s="12" t="s">
        <v>1728</v>
      </c>
      <c r="E404" s="12" t="s">
        <v>1809</v>
      </c>
      <c r="F404" s="27">
        <v>43762.0</v>
      </c>
      <c r="G404" s="12" t="s">
        <v>2492</v>
      </c>
      <c r="H404" s="29">
        <v>0.6666666666642413</v>
      </c>
      <c r="J404" s="12" t="s">
        <v>1704</v>
      </c>
      <c r="L404" s="12" t="s">
        <v>1626</v>
      </c>
      <c r="M404" s="12" t="s">
        <v>1785</v>
      </c>
      <c r="N404" s="12" t="s">
        <v>2493</v>
      </c>
      <c r="O404" s="12" t="s">
        <v>1735</v>
      </c>
      <c r="P404" s="12" t="s">
        <v>2474</v>
      </c>
      <c r="AE404" s="29">
        <v>0.38541666666424135</v>
      </c>
    </row>
    <row r="405">
      <c r="A405" s="26">
        <v>43762.6260196875</v>
      </c>
      <c r="B405" s="12" t="s">
        <v>1744</v>
      </c>
      <c r="C405" s="12" t="s">
        <v>2230</v>
      </c>
      <c r="D405" s="12" t="s">
        <v>1916</v>
      </c>
      <c r="E405" s="12" t="s">
        <v>2428</v>
      </c>
      <c r="F405" s="27">
        <v>43762.0</v>
      </c>
      <c r="G405" s="12" t="s">
        <v>2494</v>
      </c>
      <c r="H405" s="29">
        <v>0.7083333333357587</v>
      </c>
      <c r="I405" s="26">
        <v>43762.75</v>
      </c>
      <c r="J405" s="12" t="s">
        <v>2451</v>
      </c>
      <c r="L405" s="12" t="s">
        <v>2479</v>
      </c>
      <c r="M405" s="12" t="s">
        <v>1706</v>
      </c>
      <c r="N405" s="12" t="s">
        <v>2495</v>
      </c>
      <c r="O405" s="12" t="s">
        <v>1708</v>
      </c>
      <c r="P405" s="12" t="s">
        <v>2474</v>
      </c>
      <c r="AE405" s="29">
        <v>0.6041666666642413</v>
      </c>
    </row>
    <row r="406">
      <c r="A406" s="26">
        <v>43767.32580607639</v>
      </c>
      <c r="B406" s="12" t="s">
        <v>1744</v>
      </c>
      <c r="C406" s="12" t="s">
        <v>2230</v>
      </c>
      <c r="D406" s="12" t="s">
        <v>1916</v>
      </c>
      <c r="E406" s="12" t="s">
        <v>2496</v>
      </c>
      <c r="F406" s="27">
        <v>43767.0</v>
      </c>
      <c r="G406" s="12" t="s">
        <v>2475</v>
      </c>
      <c r="H406" s="29">
        <v>0.5</v>
      </c>
      <c r="I406" s="26">
        <v>43767.54166666667</v>
      </c>
      <c r="J406" s="12" t="s">
        <v>2451</v>
      </c>
      <c r="L406" s="12" t="s">
        <v>1626</v>
      </c>
      <c r="M406" s="12" t="s">
        <v>1706</v>
      </c>
      <c r="N406" s="12" t="s">
        <v>1779</v>
      </c>
      <c r="O406" s="12" t="s">
        <v>1708</v>
      </c>
      <c r="P406" s="12" t="s">
        <v>2474</v>
      </c>
      <c r="AE406" s="29">
        <v>0.32291666666424135</v>
      </c>
    </row>
    <row r="407">
      <c r="A407" s="26">
        <v>43767.33928335649</v>
      </c>
      <c r="B407" s="12" t="s">
        <v>1717</v>
      </c>
      <c r="C407" s="12" t="s">
        <v>2497</v>
      </c>
      <c r="D407" s="12" t="s">
        <v>1916</v>
      </c>
      <c r="E407" s="12" t="s">
        <v>2354</v>
      </c>
      <c r="F407" s="27">
        <v>43767.0</v>
      </c>
      <c r="G407" s="12" t="s">
        <v>2498</v>
      </c>
      <c r="H407" s="29">
        <v>0.5625</v>
      </c>
      <c r="I407" s="26">
        <v>43767.58333333333</v>
      </c>
      <c r="J407" s="12" t="s">
        <v>1704</v>
      </c>
      <c r="L407" s="12" t="s">
        <v>1720</v>
      </c>
      <c r="M407" s="12" t="s">
        <v>2360</v>
      </c>
      <c r="O407" s="12" t="s">
        <v>2095</v>
      </c>
      <c r="P407" s="12" t="s">
        <v>2474</v>
      </c>
      <c r="AE407" s="29">
        <v>0.35416666666424135</v>
      </c>
    </row>
    <row r="408">
      <c r="A408" s="26">
        <v>43768.34480842593</v>
      </c>
      <c r="B408" s="12" t="s">
        <v>2437</v>
      </c>
      <c r="C408" s="12" t="s">
        <v>2420</v>
      </c>
      <c r="D408" s="12" t="s">
        <v>1916</v>
      </c>
      <c r="E408" s="12" t="s">
        <v>2499</v>
      </c>
      <c r="F408" s="27">
        <v>43768.0</v>
      </c>
      <c r="G408" s="12" t="s">
        <v>2499</v>
      </c>
      <c r="H408" s="29">
        <v>0.5625</v>
      </c>
      <c r="I408" s="26">
        <v>43768.625</v>
      </c>
      <c r="J408" s="12" t="s">
        <v>1693</v>
      </c>
      <c r="L408" s="12" t="s">
        <v>1626</v>
      </c>
      <c r="M408" s="12" t="s">
        <v>1706</v>
      </c>
      <c r="N408" s="12" t="s">
        <v>2500</v>
      </c>
      <c r="O408" s="12" t="s">
        <v>1744</v>
      </c>
      <c r="P408" s="12" t="s">
        <v>2474</v>
      </c>
      <c r="AE408" s="29">
        <v>0.34375</v>
      </c>
    </row>
    <row r="409">
      <c r="A409" s="26">
        <v>43768.37417189815</v>
      </c>
      <c r="B409" s="12" t="s">
        <v>1733</v>
      </c>
      <c r="C409" s="12" t="s">
        <v>1727</v>
      </c>
      <c r="D409" s="12" t="s">
        <v>1728</v>
      </c>
      <c r="E409" s="12" t="s">
        <v>1809</v>
      </c>
      <c r="F409" s="27">
        <v>43768.0</v>
      </c>
      <c r="G409" s="12" t="s">
        <v>2275</v>
      </c>
      <c r="H409" s="29">
        <v>0.6666666666642413</v>
      </c>
      <c r="J409" s="12" t="s">
        <v>1704</v>
      </c>
      <c r="L409" s="12" t="s">
        <v>1720</v>
      </c>
      <c r="M409" s="12" t="s">
        <v>2501</v>
      </c>
      <c r="N409" s="12" t="s">
        <v>2502</v>
      </c>
      <c r="O409" s="12" t="s">
        <v>1735</v>
      </c>
      <c r="P409" s="12" t="s">
        <v>2474</v>
      </c>
      <c r="AE409" s="29">
        <v>0.38541666666424135</v>
      </c>
    </row>
    <row r="410">
      <c r="A410" s="26">
        <v>43768.69496842593</v>
      </c>
      <c r="B410" s="12" t="s">
        <v>1733</v>
      </c>
      <c r="C410" s="12" t="s">
        <v>1727</v>
      </c>
      <c r="D410" s="12" t="s">
        <v>1728</v>
      </c>
      <c r="E410" s="12" t="s">
        <v>2015</v>
      </c>
      <c r="F410" s="27">
        <v>43769.0</v>
      </c>
      <c r="G410" s="12" t="s">
        <v>2401</v>
      </c>
      <c r="H410" s="29">
        <v>0.5416666666642413</v>
      </c>
      <c r="J410" s="12" t="s">
        <v>1704</v>
      </c>
      <c r="L410" s="12" t="s">
        <v>1720</v>
      </c>
      <c r="M410" s="12" t="s">
        <v>1785</v>
      </c>
      <c r="N410" s="12" t="s">
        <v>2503</v>
      </c>
      <c r="O410" s="12" t="s">
        <v>1735</v>
      </c>
      <c r="P410" s="12" t="s">
        <v>2474</v>
      </c>
      <c r="AE410" s="29">
        <v>0.41666666666424135</v>
      </c>
    </row>
    <row r="411">
      <c r="A411" s="26">
        <v>43769.40224134259</v>
      </c>
      <c r="B411" s="12" t="s">
        <v>1744</v>
      </c>
      <c r="C411" s="12" t="s">
        <v>2230</v>
      </c>
      <c r="D411" s="12" t="s">
        <v>1916</v>
      </c>
      <c r="E411" s="12" t="s">
        <v>2428</v>
      </c>
      <c r="F411" s="27">
        <v>43769.0</v>
      </c>
      <c r="G411" s="12" t="s">
        <v>2504</v>
      </c>
      <c r="H411" s="29">
        <v>0.5833333333357587</v>
      </c>
      <c r="I411" s="26">
        <v>43769.64583333333</v>
      </c>
      <c r="J411" s="12" t="s">
        <v>1693</v>
      </c>
      <c r="L411" s="12" t="s">
        <v>1626</v>
      </c>
      <c r="M411" s="12" t="s">
        <v>1706</v>
      </c>
      <c r="N411" s="12" t="s">
        <v>2505</v>
      </c>
      <c r="O411" s="12" t="s">
        <v>1708</v>
      </c>
      <c r="P411" s="12" t="s">
        <v>2474</v>
      </c>
      <c r="AE411" s="29">
        <v>0.39583333333575865</v>
      </c>
    </row>
    <row r="412">
      <c r="A412" s="26">
        <v>43770.357981747686</v>
      </c>
      <c r="B412" s="12" t="s">
        <v>1891</v>
      </c>
      <c r="C412" s="12" t="s">
        <v>2445</v>
      </c>
      <c r="D412" s="12" t="s">
        <v>1916</v>
      </c>
      <c r="E412" s="12" t="s">
        <v>2058</v>
      </c>
      <c r="F412" s="27">
        <v>43770.0</v>
      </c>
      <c r="G412" s="12" t="s">
        <v>2506</v>
      </c>
      <c r="H412" s="29">
        <v>0.625</v>
      </c>
      <c r="I412" s="26">
        <v>43770.66666666667</v>
      </c>
      <c r="J412" s="12" t="s">
        <v>1704</v>
      </c>
      <c r="L412" s="12" t="s">
        <v>1720</v>
      </c>
      <c r="M412" s="12" t="s">
        <v>1706</v>
      </c>
      <c r="N412" s="12" t="s">
        <v>1817</v>
      </c>
      <c r="O412" s="12" t="s">
        <v>1708</v>
      </c>
      <c r="P412" s="12" t="s">
        <v>2474</v>
      </c>
      <c r="AE412" s="29">
        <v>0.375</v>
      </c>
    </row>
    <row r="413">
      <c r="A413" s="26">
        <v>43772.294793506946</v>
      </c>
      <c r="B413" s="12" t="s">
        <v>2362</v>
      </c>
      <c r="C413" s="12" t="s">
        <v>2507</v>
      </c>
      <c r="D413" s="12" t="s">
        <v>2209</v>
      </c>
      <c r="E413" s="12" t="s">
        <v>1809</v>
      </c>
      <c r="F413" s="27">
        <v>43773.0</v>
      </c>
      <c r="G413" s="12" t="s">
        <v>1823</v>
      </c>
      <c r="H413" s="29">
        <v>0.625</v>
      </c>
      <c r="I413" s="26">
        <v>43773.64583333333</v>
      </c>
      <c r="J413" s="12" t="s">
        <v>1693</v>
      </c>
      <c r="L413" s="12" t="s">
        <v>1626</v>
      </c>
      <c r="M413" s="12" t="s">
        <v>2362</v>
      </c>
      <c r="N413" s="12" t="s">
        <v>2452</v>
      </c>
      <c r="O413" s="12" t="s">
        <v>2362</v>
      </c>
      <c r="P413" s="12" t="s">
        <v>2474</v>
      </c>
      <c r="AC413" s="12" t="s">
        <v>2508</v>
      </c>
      <c r="AD413" s="12" t="s">
        <v>2509</v>
      </c>
      <c r="AE413" s="29">
        <v>0.3125</v>
      </c>
    </row>
    <row r="414">
      <c r="A414" s="26">
        <v>43773.30928537037</v>
      </c>
      <c r="B414" s="12" t="s">
        <v>1744</v>
      </c>
      <c r="C414" s="12" t="s">
        <v>2230</v>
      </c>
      <c r="D414" s="12" t="s">
        <v>2209</v>
      </c>
      <c r="E414" s="12" t="s">
        <v>1623</v>
      </c>
      <c r="F414" s="27">
        <v>43773.0</v>
      </c>
      <c r="G414" s="12" t="s">
        <v>2001</v>
      </c>
      <c r="H414" s="29">
        <v>0.5833333333357587</v>
      </c>
      <c r="I414" s="26">
        <v>43773.60416666667</v>
      </c>
      <c r="J414" s="12" t="s">
        <v>1704</v>
      </c>
      <c r="L414" s="12" t="s">
        <v>1720</v>
      </c>
      <c r="M414" s="12" t="s">
        <v>1706</v>
      </c>
      <c r="N414" s="12" t="s">
        <v>2510</v>
      </c>
      <c r="O414" s="12" t="s">
        <v>1708</v>
      </c>
      <c r="P414" s="12" t="s">
        <v>2474</v>
      </c>
      <c r="AE414" s="29">
        <v>0.3055555555547471</v>
      </c>
    </row>
    <row r="415">
      <c r="A415" s="26">
        <v>43773.70439370371</v>
      </c>
      <c r="B415" s="12" t="s">
        <v>1733</v>
      </c>
      <c r="C415" s="12" t="s">
        <v>1727</v>
      </c>
      <c r="D415" s="12" t="s">
        <v>1728</v>
      </c>
      <c r="E415" s="12" t="s">
        <v>1809</v>
      </c>
      <c r="F415" s="27">
        <v>43774.0</v>
      </c>
      <c r="G415" s="12" t="s">
        <v>2511</v>
      </c>
      <c r="H415" s="29">
        <v>0.6666666666642413</v>
      </c>
      <c r="J415" s="12" t="s">
        <v>1704</v>
      </c>
      <c r="L415" s="12" t="s">
        <v>1626</v>
      </c>
      <c r="M415" s="12" t="s">
        <v>1785</v>
      </c>
      <c r="N415" s="12" t="s">
        <v>2512</v>
      </c>
      <c r="O415" s="12" t="s">
        <v>1735</v>
      </c>
      <c r="P415" s="12" t="s">
        <v>2474</v>
      </c>
      <c r="AE415" s="29">
        <v>0.38541666666424135</v>
      </c>
    </row>
    <row r="416">
      <c r="A416" s="26">
        <v>43774.34510162037</v>
      </c>
      <c r="B416" s="12" t="s">
        <v>1744</v>
      </c>
      <c r="C416" s="12" t="s">
        <v>2389</v>
      </c>
      <c r="D416" s="12" t="s">
        <v>2209</v>
      </c>
      <c r="E416" s="12" t="s">
        <v>1964</v>
      </c>
      <c r="F416" s="27">
        <v>43774.0</v>
      </c>
      <c r="G416" s="12" t="s">
        <v>2513</v>
      </c>
      <c r="H416" s="29">
        <v>0.39583333333575865</v>
      </c>
      <c r="I416" s="26">
        <v>43774.41666666667</v>
      </c>
      <c r="J416" s="12" t="s">
        <v>2514</v>
      </c>
      <c r="L416" s="12" t="s">
        <v>2479</v>
      </c>
      <c r="M416" s="12" t="s">
        <v>1706</v>
      </c>
      <c r="N416" s="12" t="s">
        <v>2452</v>
      </c>
      <c r="O416" s="12" t="s">
        <v>1708</v>
      </c>
      <c r="P416" s="12" t="s">
        <v>2474</v>
      </c>
      <c r="AE416" s="29">
        <v>0.375</v>
      </c>
    </row>
    <row r="417">
      <c r="A417" s="26">
        <v>43775.398638819446</v>
      </c>
      <c r="B417" s="12" t="s">
        <v>1733</v>
      </c>
      <c r="C417" s="12" t="s">
        <v>1727</v>
      </c>
      <c r="D417" s="12" t="s">
        <v>1728</v>
      </c>
      <c r="E417" s="12" t="s">
        <v>1809</v>
      </c>
      <c r="F417" s="27">
        <v>43775.0</v>
      </c>
      <c r="G417" s="12" t="s">
        <v>2515</v>
      </c>
      <c r="H417" s="29">
        <v>0.6666666666642413</v>
      </c>
      <c r="J417" s="12" t="s">
        <v>1704</v>
      </c>
      <c r="L417" s="12" t="s">
        <v>1626</v>
      </c>
      <c r="M417" s="12" t="s">
        <v>1785</v>
      </c>
      <c r="N417" s="12" t="s">
        <v>2516</v>
      </c>
      <c r="O417" s="12" t="s">
        <v>1735</v>
      </c>
      <c r="P417" s="12" t="s">
        <v>2474</v>
      </c>
      <c r="AE417" s="29">
        <v>0.39583333333575865</v>
      </c>
    </row>
    <row r="418">
      <c r="A418" s="26">
        <v>43776.3551572338</v>
      </c>
      <c r="B418" s="12" t="s">
        <v>1733</v>
      </c>
      <c r="C418" s="12" t="s">
        <v>1727</v>
      </c>
      <c r="D418" s="12" t="s">
        <v>1728</v>
      </c>
      <c r="E418" s="12" t="s">
        <v>2015</v>
      </c>
      <c r="F418" s="27">
        <v>43776.0</v>
      </c>
      <c r="G418" s="12" t="s">
        <v>2517</v>
      </c>
      <c r="H418" s="29">
        <v>0.625</v>
      </c>
      <c r="J418" s="12" t="s">
        <v>1704</v>
      </c>
      <c r="L418" s="12" t="s">
        <v>1626</v>
      </c>
      <c r="M418" s="12" t="s">
        <v>2518</v>
      </c>
      <c r="N418" s="12" t="s">
        <v>2519</v>
      </c>
      <c r="O418" s="12" t="s">
        <v>1735</v>
      </c>
      <c r="P418" s="12" t="s">
        <v>2474</v>
      </c>
      <c r="AE418" s="29">
        <v>0.42708333333575865</v>
      </c>
    </row>
    <row r="419">
      <c r="A419" s="26">
        <v>43781.307208680555</v>
      </c>
      <c r="B419" s="12" t="s">
        <v>1717</v>
      </c>
      <c r="C419" s="12" t="s">
        <v>1718</v>
      </c>
      <c r="D419" s="12" t="s">
        <v>1916</v>
      </c>
      <c r="E419" s="12" t="s">
        <v>2162</v>
      </c>
      <c r="F419" s="27">
        <v>43781.0</v>
      </c>
      <c r="G419" s="12" t="s">
        <v>1792</v>
      </c>
      <c r="H419" s="29">
        <v>0.5625</v>
      </c>
      <c r="I419" s="26">
        <v>43781.58333333333</v>
      </c>
      <c r="J419" s="12" t="s">
        <v>1704</v>
      </c>
      <c r="L419" s="12" t="s">
        <v>1626</v>
      </c>
      <c r="M419" s="12" t="s">
        <v>1781</v>
      </c>
      <c r="N419" s="12" t="s">
        <v>2520</v>
      </c>
      <c r="O419" s="12" t="s">
        <v>1717</v>
      </c>
      <c r="P419" s="12" t="s">
        <v>2474</v>
      </c>
      <c r="AE419" s="29">
        <v>0.34375</v>
      </c>
    </row>
    <row r="420">
      <c r="A420" s="26">
        <v>43781.3447200463</v>
      </c>
      <c r="B420" s="12" t="s">
        <v>1733</v>
      </c>
      <c r="C420" s="12" t="s">
        <v>1727</v>
      </c>
      <c r="D420" s="12" t="s">
        <v>1728</v>
      </c>
      <c r="E420" s="12" t="s">
        <v>1945</v>
      </c>
      <c r="F420" s="27">
        <v>43781.0</v>
      </c>
      <c r="G420" s="12" t="s">
        <v>1875</v>
      </c>
      <c r="H420" s="29">
        <v>0.4375</v>
      </c>
      <c r="J420" s="12" t="s">
        <v>1730</v>
      </c>
      <c r="L420" s="12" t="s">
        <v>2352</v>
      </c>
      <c r="M420" s="12" t="s">
        <v>1785</v>
      </c>
      <c r="N420" s="12" t="s">
        <v>2088</v>
      </c>
      <c r="O420" s="12" t="s">
        <v>1735</v>
      </c>
      <c r="P420" s="12" t="s">
        <v>2474</v>
      </c>
      <c r="AE420" s="29">
        <v>0.36458333333575865</v>
      </c>
    </row>
    <row r="421">
      <c r="A421" s="26">
        <v>43781.7121816088</v>
      </c>
      <c r="B421" s="12" t="s">
        <v>1733</v>
      </c>
      <c r="C421" s="12" t="s">
        <v>1727</v>
      </c>
      <c r="D421" s="12" t="s">
        <v>1728</v>
      </c>
      <c r="E421" s="12" t="s">
        <v>2521</v>
      </c>
      <c r="F421" s="27">
        <v>43782.0</v>
      </c>
      <c r="G421" s="12" t="s">
        <v>2385</v>
      </c>
      <c r="H421" s="29">
        <v>0.625</v>
      </c>
      <c r="J421" s="12" t="s">
        <v>2451</v>
      </c>
      <c r="L421" s="12" t="s">
        <v>1626</v>
      </c>
      <c r="M421" s="12" t="s">
        <v>1907</v>
      </c>
      <c r="O421" s="12" t="s">
        <v>1735</v>
      </c>
      <c r="P421" s="12" t="s">
        <v>2474</v>
      </c>
      <c r="AE421" s="29">
        <v>0.39583333333575865</v>
      </c>
    </row>
    <row r="422">
      <c r="A422" s="26">
        <v>43788.587120509255</v>
      </c>
      <c r="B422" s="12" t="s">
        <v>2088</v>
      </c>
      <c r="C422" s="12" t="s">
        <v>2522</v>
      </c>
      <c r="D422" s="12" t="s">
        <v>1916</v>
      </c>
      <c r="E422" s="12" t="s">
        <v>1746</v>
      </c>
      <c r="F422" s="27">
        <v>43788.0</v>
      </c>
      <c r="G422" s="12" t="s">
        <v>1746</v>
      </c>
      <c r="H422" s="29">
        <v>0.6527777777810115</v>
      </c>
      <c r="I422" s="26">
        <v>43788.69791666667</v>
      </c>
      <c r="J422" s="12" t="s">
        <v>1730</v>
      </c>
      <c r="L422" s="12" t="s">
        <v>2479</v>
      </c>
      <c r="M422" s="12" t="s">
        <v>1706</v>
      </c>
      <c r="O422" s="12" t="s">
        <v>1708</v>
      </c>
      <c r="P422" s="12" t="s">
        <v>2474</v>
      </c>
      <c r="AE422" s="29">
        <v>0.6041666666642413</v>
      </c>
    </row>
    <row r="423">
      <c r="A423" s="26">
        <v>43790.57471898149</v>
      </c>
      <c r="B423" s="12" t="s">
        <v>2088</v>
      </c>
      <c r="C423" s="12" t="s">
        <v>2522</v>
      </c>
      <c r="D423" s="12" t="s">
        <v>1622</v>
      </c>
      <c r="E423" s="12" t="s">
        <v>2523</v>
      </c>
      <c r="F423" s="27">
        <v>43791.0</v>
      </c>
      <c r="G423" s="12" t="s">
        <v>2524</v>
      </c>
      <c r="H423" s="29">
        <v>0.625</v>
      </c>
      <c r="I423" s="26">
        <v>43791.64583333333</v>
      </c>
      <c r="J423" s="12" t="s">
        <v>1685</v>
      </c>
      <c r="L423" s="12" t="s">
        <v>2479</v>
      </c>
      <c r="M423" s="12" t="s">
        <v>2088</v>
      </c>
      <c r="N423" s="12" t="s">
        <v>2525</v>
      </c>
      <c r="O423" s="12" t="s">
        <v>2088</v>
      </c>
      <c r="P423" s="12" t="s">
        <v>2474</v>
      </c>
      <c r="AE423" s="29">
        <v>0.35416666666424135</v>
      </c>
    </row>
    <row r="424">
      <c r="A424" s="26">
        <v>43791.54214936343</v>
      </c>
      <c r="B424" s="12" t="s">
        <v>1891</v>
      </c>
      <c r="C424" s="12" t="s">
        <v>2445</v>
      </c>
      <c r="D424" s="12" t="s">
        <v>1916</v>
      </c>
      <c r="E424" s="12" t="s">
        <v>2058</v>
      </c>
      <c r="F424" s="27">
        <v>43791.0</v>
      </c>
      <c r="G424" s="12" t="s">
        <v>2506</v>
      </c>
      <c r="H424" s="29">
        <v>0.6875</v>
      </c>
      <c r="I424" s="26">
        <v>43791.20833333333</v>
      </c>
      <c r="J424" s="12" t="s">
        <v>1658</v>
      </c>
      <c r="L424" s="12" t="s">
        <v>1626</v>
      </c>
      <c r="M424" s="12" t="s">
        <v>1706</v>
      </c>
      <c r="N424" s="12" t="s">
        <v>1817</v>
      </c>
      <c r="O424" s="12" t="s">
        <v>1708</v>
      </c>
      <c r="P424" s="12" t="s">
        <v>2474</v>
      </c>
      <c r="AE424" s="29">
        <v>0.5625</v>
      </c>
    </row>
    <row r="425">
      <c r="A425" s="26">
        <v>43791.57806768519</v>
      </c>
      <c r="B425" s="12" t="s">
        <v>1891</v>
      </c>
      <c r="C425" s="12" t="s">
        <v>2445</v>
      </c>
      <c r="D425" s="12" t="s">
        <v>1916</v>
      </c>
      <c r="E425" s="12" t="s">
        <v>2058</v>
      </c>
      <c r="F425" s="27">
        <v>43791.0</v>
      </c>
      <c r="G425" s="12" t="s">
        <v>2526</v>
      </c>
      <c r="H425" s="29">
        <v>0.6875</v>
      </c>
      <c r="I425" s="26">
        <v>43791.71875</v>
      </c>
      <c r="J425" s="12" t="s">
        <v>1658</v>
      </c>
      <c r="L425" s="12" t="s">
        <v>1626</v>
      </c>
      <c r="M425" s="12" t="s">
        <v>1706</v>
      </c>
      <c r="N425" s="12" t="s">
        <v>1817</v>
      </c>
      <c r="O425" s="12" t="s">
        <v>1708</v>
      </c>
      <c r="P425" s="12" t="s">
        <v>2474</v>
      </c>
      <c r="AE425" s="29">
        <v>0.5729166666642413</v>
      </c>
    </row>
    <row r="426">
      <c r="A426" s="26">
        <v>43794.66033221065</v>
      </c>
      <c r="B426" s="12" t="s">
        <v>1733</v>
      </c>
      <c r="C426" s="12" t="s">
        <v>1727</v>
      </c>
      <c r="D426" s="12" t="s">
        <v>1728</v>
      </c>
      <c r="E426" s="12" t="s">
        <v>2527</v>
      </c>
      <c r="F426" s="27">
        <v>43795.0</v>
      </c>
      <c r="G426" s="12" t="s">
        <v>2528</v>
      </c>
      <c r="H426" s="29">
        <v>0.625</v>
      </c>
      <c r="J426" s="12" t="s">
        <v>2451</v>
      </c>
      <c r="L426" s="12" t="s">
        <v>1626</v>
      </c>
      <c r="M426" s="12" t="s">
        <v>1785</v>
      </c>
      <c r="N426" s="12" t="s">
        <v>2529</v>
      </c>
      <c r="O426" s="12" t="s">
        <v>1735</v>
      </c>
      <c r="P426" s="12" t="s">
        <v>2474</v>
      </c>
      <c r="AE426" s="29">
        <v>0.375</v>
      </c>
    </row>
    <row r="427">
      <c r="A427" s="26">
        <v>43795.39589626157</v>
      </c>
      <c r="B427" s="12" t="s">
        <v>1717</v>
      </c>
      <c r="C427" s="12" t="s">
        <v>1718</v>
      </c>
      <c r="D427" s="12" t="s">
        <v>1916</v>
      </c>
      <c r="E427" s="12" t="s">
        <v>2443</v>
      </c>
      <c r="F427" s="27">
        <v>43795.0</v>
      </c>
      <c r="G427" s="12" t="s">
        <v>1792</v>
      </c>
      <c r="H427" s="29">
        <v>0.6041666666642413</v>
      </c>
      <c r="I427" s="26">
        <v>43795.6875</v>
      </c>
      <c r="J427" s="12" t="s">
        <v>1704</v>
      </c>
      <c r="L427" s="12" t="s">
        <v>1720</v>
      </c>
      <c r="M427" s="12" t="s">
        <v>2360</v>
      </c>
      <c r="O427" s="12" t="s">
        <v>1717</v>
      </c>
      <c r="P427" s="12" t="s">
        <v>2474</v>
      </c>
      <c r="AE427" s="29">
        <v>0.40625</v>
      </c>
    </row>
    <row r="428">
      <c r="A428" s="26">
        <v>43795.838383449074</v>
      </c>
      <c r="B428" s="12" t="s">
        <v>2530</v>
      </c>
      <c r="C428" s="12" t="s">
        <v>2531</v>
      </c>
      <c r="D428" s="12" t="s">
        <v>1622</v>
      </c>
      <c r="E428" s="12" t="s">
        <v>2530</v>
      </c>
      <c r="F428" s="27">
        <v>43796.0</v>
      </c>
      <c r="G428" s="12" t="s">
        <v>2530</v>
      </c>
      <c r="H428" s="29">
        <v>0.0</v>
      </c>
      <c r="I428" s="26">
        <v>43796.0</v>
      </c>
      <c r="J428" s="12" t="s">
        <v>2530</v>
      </c>
      <c r="L428" s="12" t="s">
        <v>2530</v>
      </c>
      <c r="P428" s="12" t="s">
        <v>2474</v>
      </c>
      <c r="AE428" s="29">
        <v>0.0</v>
      </c>
    </row>
    <row r="429">
      <c r="A429" s="26">
        <v>43801.68857849537</v>
      </c>
      <c r="B429" s="12" t="s">
        <v>1733</v>
      </c>
      <c r="C429" s="12" t="s">
        <v>1727</v>
      </c>
      <c r="D429" s="12" t="s">
        <v>1728</v>
      </c>
      <c r="E429" s="12" t="s">
        <v>1809</v>
      </c>
      <c r="F429" s="27">
        <v>43802.0</v>
      </c>
      <c r="G429" s="12" t="s">
        <v>2492</v>
      </c>
      <c r="H429" s="29">
        <v>0.6666666666642413</v>
      </c>
      <c r="J429" s="12" t="s">
        <v>1704</v>
      </c>
      <c r="L429" s="12" t="s">
        <v>1626</v>
      </c>
      <c r="M429" s="12" t="s">
        <v>1785</v>
      </c>
      <c r="N429" s="12" t="s">
        <v>2532</v>
      </c>
      <c r="O429" s="12" t="s">
        <v>1735</v>
      </c>
      <c r="P429" s="12" t="s">
        <v>2474</v>
      </c>
      <c r="AE429" s="29">
        <v>0.38541666666424135</v>
      </c>
    </row>
    <row r="430">
      <c r="A430" s="26">
        <v>43803.362104050924</v>
      </c>
      <c r="B430" s="12" t="s">
        <v>1733</v>
      </c>
      <c r="C430" s="12" t="s">
        <v>1727</v>
      </c>
      <c r="D430" s="12" t="s">
        <v>1728</v>
      </c>
      <c r="E430" s="12" t="s">
        <v>1809</v>
      </c>
      <c r="F430" s="27">
        <v>43803.0</v>
      </c>
      <c r="G430" s="12" t="s">
        <v>2533</v>
      </c>
      <c r="H430" s="29">
        <v>0.6666666666642413</v>
      </c>
      <c r="J430" s="12" t="s">
        <v>1704</v>
      </c>
      <c r="L430" s="12" t="s">
        <v>1626</v>
      </c>
      <c r="M430" s="12" t="s">
        <v>2534</v>
      </c>
      <c r="N430" s="12" t="s">
        <v>2535</v>
      </c>
      <c r="O430" s="12" t="s">
        <v>1735</v>
      </c>
      <c r="P430" s="12" t="s">
        <v>2474</v>
      </c>
      <c r="AE430" s="29">
        <v>0.38541666666424135</v>
      </c>
    </row>
    <row r="431">
      <c r="A431" s="26">
        <v>43804.32515821759</v>
      </c>
      <c r="B431" s="12" t="s">
        <v>2437</v>
      </c>
      <c r="C431" s="12" t="s">
        <v>2420</v>
      </c>
      <c r="D431" s="12" t="s">
        <v>1916</v>
      </c>
      <c r="E431" s="12" t="s">
        <v>2536</v>
      </c>
      <c r="F431" s="27">
        <v>43804.0</v>
      </c>
      <c r="G431" s="12" t="s">
        <v>2262</v>
      </c>
      <c r="H431" s="29">
        <v>0.5833333333357587</v>
      </c>
      <c r="I431" s="26">
        <v>43804.64583333333</v>
      </c>
      <c r="J431" s="12" t="s">
        <v>1658</v>
      </c>
      <c r="L431" s="12" t="s">
        <v>2479</v>
      </c>
      <c r="M431" s="12" t="s">
        <v>1706</v>
      </c>
      <c r="N431" s="12" t="s">
        <v>2452</v>
      </c>
      <c r="O431" s="12" t="s">
        <v>2395</v>
      </c>
      <c r="P431" s="12" t="s">
        <v>2474</v>
      </c>
      <c r="AE431" s="29">
        <v>0.32291666666424135</v>
      </c>
    </row>
    <row r="432">
      <c r="A432" s="26">
        <v>43804.35753459491</v>
      </c>
      <c r="B432" s="12" t="s">
        <v>1733</v>
      </c>
      <c r="C432" s="12" t="s">
        <v>1727</v>
      </c>
      <c r="D432" s="12" t="s">
        <v>1728</v>
      </c>
      <c r="E432" s="12" t="s">
        <v>2015</v>
      </c>
      <c r="F432" s="27">
        <v>43804.0</v>
      </c>
      <c r="G432" s="12" t="s">
        <v>2275</v>
      </c>
      <c r="H432" s="29">
        <v>0.5833333333357587</v>
      </c>
      <c r="J432" s="12" t="s">
        <v>1704</v>
      </c>
      <c r="L432" s="12" t="s">
        <v>1626</v>
      </c>
      <c r="M432" s="12" t="s">
        <v>2501</v>
      </c>
      <c r="N432" s="12" t="s">
        <v>2537</v>
      </c>
      <c r="O432" s="12" t="s">
        <v>1735</v>
      </c>
      <c r="P432" s="12" t="s">
        <v>2474</v>
      </c>
      <c r="AE432" s="29">
        <v>0.41666666666424135</v>
      </c>
    </row>
    <row r="433">
      <c r="A433" s="26">
        <v>43808.556866203704</v>
      </c>
      <c r="B433" s="12" t="s">
        <v>2538</v>
      </c>
      <c r="C433" s="12" t="s">
        <v>1718</v>
      </c>
      <c r="D433" s="12" t="s">
        <v>1958</v>
      </c>
      <c r="E433" s="12" t="s">
        <v>2162</v>
      </c>
      <c r="F433" s="27">
        <v>43809.0</v>
      </c>
      <c r="G433" s="12" t="s">
        <v>1847</v>
      </c>
      <c r="H433" s="29">
        <v>0.5208333333357587</v>
      </c>
      <c r="I433" s="26">
        <v>43809.54166666667</v>
      </c>
      <c r="J433" s="12" t="s">
        <v>1704</v>
      </c>
      <c r="L433" s="12" t="s">
        <v>1720</v>
      </c>
      <c r="M433" s="12" t="s">
        <v>1781</v>
      </c>
      <c r="N433" s="12" t="s">
        <v>2251</v>
      </c>
      <c r="O433" s="12" t="s">
        <v>2095</v>
      </c>
      <c r="P433" s="12" t="s">
        <v>2474</v>
      </c>
      <c r="AE433" s="29">
        <v>0.30208333333575865</v>
      </c>
    </row>
    <row r="434">
      <c r="A434" s="26">
        <v>43810.30505822916</v>
      </c>
      <c r="B434" s="12" t="s">
        <v>1733</v>
      </c>
      <c r="C434" s="12" t="s">
        <v>1727</v>
      </c>
      <c r="D434" s="12" t="s">
        <v>1728</v>
      </c>
      <c r="E434" s="12" t="s">
        <v>2539</v>
      </c>
      <c r="F434" s="27">
        <v>43810.0</v>
      </c>
      <c r="G434" s="12" t="s">
        <v>2385</v>
      </c>
      <c r="H434" s="29">
        <v>0.5833333333357587</v>
      </c>
      <c r="J434" s="12" t="s">
        <v>2451</v>
      </c>
      <c r="L434" s="12" t="s">
        <v>2479</v>
      </c>
      <c r="M434" s="12" t="s">
        <v>1785</v>
      </c>
      <c r="N434" s="12" t="s">
        <v>2540</v>
      </c>
      <c r="O434" s="12" t="s">
        <v>1735</v>
      </c>
      <c r="P434" s="12" t="s">
        <v>2474</v>
      </c>
      <c r="AE434" s="29">
        <v>0.375</v>
      </c>
    </row>
    <row r="435">
      <c r="A435" s="26">
        <v>43815.37188416667</v>
      </c>
      <c r="B435" s="12" t="s">
        <v>1797</v>
      </c>
      <c r="C435" s="12" t="s">
        <v>2047</v>
      </c>
      <c r="D435" s="12" t="s">
        <v>1916</v>
      </c>
      <c r="E435" s="12" t="s">
        <v>2541</v>
      </c>
      <c r="F435" s="27">
        <v>43815.0</v>
      </c>
      <c r="G435" s="12" t="s">
        <v>2542</v>
      </c>
      <c r="H435" s="29">
        <v>0.46875</v>
      </c>
      <c r="I435" s="26">
        <v>43815.54166666667</v>
      </c>
      <c r="J435" s="12" t="s">
        <v>1685</v>
      </c>
      <c r="K435" s="12">
        <v>1.0</v>
      </c>
      <c r="L435" s="12" t="s">
        <v>1720</v>
      </c>
      <c r="M435" s="12" t="s">
        <v>1918</v>
      </c>
      <c r="O435" s="12" t="s">
        <v>1802</v>
      </c>
      <c r="P435" s="12" t="s">
        <v>2474</v>
      </c>
      <c r="AE435" s="29">
        <v>0.38541666666424135</v>
      </c>
    </row>
    <row r="436">
      <c r="A436" s="26">
        <v>43815.5069779051</v>
      </c>
      <c r="B436" s="12" t="s">
        <v>1733</v>
      </c>
      <c r="C436" s="12" t="s">
        <v>1727</v>
      </c>
      <c r="D436" s="12" t="s">
        <v>1728</v>
      </c>
      <c r="E436" s="12" t="s">
        <v>1683</v>
      </c>
      <c r="F436" s="27">
        <v>43815.0</v>
      </c>
      <c r="G436" s="12" t="s">
        <v>1875</v>
      </c>
      <c r="H436" s="29">
        <v>0.6145833333357587</v>
      </c>
      <c r="J436" s="12" t="s">
        <v>1730</v>
      </c>
      <c r="L436" s="12" t="s">
        <v>1626</v>
      </c>
      <c r="M436" s="12" t="s">
        <v>1785</v>
      </c>
      <c r="N436" s="12" t="s">
        <v>2543</v>
      </c>
      <c r="O436" s="12" t="s">
        <v>1735</v>
      </c>
      <c r="P436" s="12" t="s">
        <v>2474</v>
      </c>
      <c r="AE436" s="29">
        <v>0.53125</v>
      </c>
    </row>
    <row r="437">
      <c r="A437" s="26">
        <v>43817.40760157407</v>
      </c>
      <c r="B437" s="12" t="s">
        <v>1717</v>
      </c>
      <c r="C437" s="12" t="s">
        <v>1718</v>
      </c>
      <c r="D437" s="12" t="s">
        <v>1916</v>
      </c>
      <c r="E437" s="12" t="s">
        <v>2544</v>
      </c>
      <c r="F437" s="27">
        <v>43817.0</v>
      </c>
      <c r="G437" s="12" t="s">
        <v>1792</v>
      </c>
      <c r="H437" s="29">
        <v>0.625</v>
      </c>
      <c r="I437" s="26">
        <v>43817.63541666667</v>
      </c>
      <c r="J437" s="12" t="s">
        <v>1658</v>
      </c>
      <c r="L437" s="12" t="s">
        <v>1720</v>
      </c>
      <c r="M437" s="12" t="s">
        <v>1918</v>
      </c>
      <c r="O437" s="12" t="s">
        <v>2274</v>
      </c>
      <c r="P437" s="12" t="s">
        <v>2474</v>
      </c>
      <c r="AE437" s="29">
        <v>0.45833333333575865</v>
      </c>
    </row>
    <row r="438">
      <c r="A438" s="26">
        <v>43818.407351851856</v>
      </c>
      <c r="B438" s="12" t="s">
        <v>2538</v>
      </c>
      <c r="C438" s="12" t="s">
        <v>1718</v>
      </c>
      <c r="D438" s="12" t="s">
        <v>1916</v>
      </c>
      <c r="E438" s="12" t="s">
        <v>1836</v>
      </c>
      <c r="F438" s="27">
        <v>43818.0</v>
      </c>
      <c r="G438" s="12" t="s">
        <v>2545</v>
      </c>
      <c r="H438" s="29">
        <v>0.48958333333575865</v>
      </c>
      <c r="I438" s="26">
        <v>43818.50069444445</v>
      </c>
      <c r="J438" s="12" t="s">
        <v>1658</v>
      </c>
      <c r="L438" s="12" t="s">
        <v>1720</v>
      </c>
      <c r="M438" s="12" t="s">
        <v>1781</v>
      </c>
      <c r="N438" s="12" t="s">
        <v>2452</v>
      </c>
      <c r="O438" s="12" t="s">
        <v>1756</v>
      </c>
      <c r="P438" s="12" t="s">
        <v>2474</v>
      </c>
      <c r="AE438" s="29">
        <v>0.42708333333575865</v>
      </c>
    </row>
    <row r="439">
      <c r="A439" s="26">
        <v>43818.426369803245</v>
      </c>
      <c r="B439" s="12" t="s">
        <v>1891</v>
      </c>
      <c r="C439" s="12" t="s">
        <v>2445</v>
      </c>
      <c r="D439" s="12" t="s">
        <v>1916</v>
      </c>
      <c r="E439" s="12" t="s">
        <v>2058</v>
      </c>
      <c r="F439" s="27">
        <v>43818.0</v>
      </c>
      <c r="G439" s="12" t="s">
        <v>2506</v>
      </c>
      <c r="H439" s="29">
        <v>0.5833333333357587</v>
      </c>
      <c r="I439" s="26">
        <v>43818.61458333333</v>
      </c>
      <c r="J439" s="12" t="s">
        <v>2451</v>
      </c>
      <c r="L439" s="12" t="s">
        <v>2479</v>
      </c>
      <c r="M439" s="12" t="s">
        <v>1706</v>
      </c>
      <c r="N439" s="12" t="s">
        <v>1817</v>
      </c>
      <c r="O439" s="12" t="s">
        <v>1708</v>
      </c>
      <c r="P439" s="12" t="s">
        <v>2474</v>
      </c>
      <c r="AE439" s="29">
        <v>0.45833333333575865</v>
      </c>
    </row>
    <row r="440">
      <c r="A440" s="26">
        <v>43819.586192766204</v>
      </c>
      <c r="B440" s="12" t="s">
        <v>2088</v>
      </c>
      <c r="C440" s="12" t="s">
        <v>2546</v>
      </c>
      <c r="D440" s="12" t="s">
        <v>1916</v>
      </c>
      <c r="E440" s="12" t="s">
        <v>2547</v>
      </c>
      <c r="F440" s="27">
        <v>43822.0</v>
      </c>
      <c r="G440" s="12" t="s">
        <v>1746</v>
      </c>
      <c r="H440" s="29">
        <v>0.35416666666424135</v>
      </c>
      <c r="I440" s="26">
        <v>43822.375</v>
      </c>
      <c r="J440" s="12" t="s">
        <v>1730</v>
      </c>
      <c r="L440" s="12" t="s">
        <v>1626</v>
      </c>
      <c r="M440" s="12" t="s">
        <v>1785</v>
      </c>
      <c r="N440" s="12" t="s">
        <v>2088</v>
      </c>
      <c r="O440" s="12" t="s">
        <v>2088</v>
      </c>
      <c r="P440" s="12" t="s">
        <v>2474</v>
      </c>
      <c r="AE440" s="29">
        <v>0.29166666666424135</v>
      </c>
    </row>
    <row r="441">
      <c r="A441" s="26">
        <v>43829.4694525463</v>
      </c>
      <c r="B441" s="12" t="s">
        <v>2088</v>
      </c>
      <c r="C441" s="12" t="s">
        <v>2546</v>
      </c>
      <c r="D441" s="12" t="s">
        <v>1916</v>
      </c>
      <c r="E441" s="12" t="s">
        <v>1746</v>
      </c>
      <c r="F441" s="27">
        <v>43829.0</v>
      </c>
      <c r="G441" s="12" t="s">
        <v>1746</v>
      </c>
      <c r="H441" s="29">
        <v>0.5416666666642413</v>
      </c>
      <c r="I441" s="26">
        <v>43829.55208333333</v>
      </c>
      <c r="J441" s="12" t="s">
        <v>1730</v>
      </c>
      <c r="L441" s="12" t="s">
        <v>1626</v>
      </c>
      <c r="M441" s="12" t="s">
        <v>1785</v>
      </c>
      <c r="O441" s="12" t="s">
        <v>2088</v>
      </c>
      <c r="P441" s="12" t="s">
        <v>2474</v>
      </c>
      <c r="AE441" s="29">
        <v>0.5</v>
      </c>
    </row>
    <row r="442">
      <c r="A442" s="26">
        <v>43835.62294898149</v>
      </c>
      <c r="B442" s="12" t="s">
        <v>2362</v>
      </c>
      <c r="C442" s="12" t="s">
        <v>2507</v>
      </c>
      <c r="D442" s="12" t="s">
        <v>1622</v>
      </c>
      <c r="E442" s="12" t="s">
        <v>1809</v>
      </c>
      <c r="F442" s="27">
        <v>43836.0</v>
      </c>
      <c r="G442" s="12" t="s">
        <v>2212</v>
      </c>
      <c r="H442" s="29">
        <v>0.6666666666642413</v>
      </c>
      <c r="I442" s="26">
        <v>43836.6875</v>
      </c>
      <c r="J442" s="12" t="s">
        <v>1693</v>
      </c>
      <c r="L442" s="12" t="s">
        <v>1626</v>
      </c>
      <c r="N442" s="12" t="s">
        <v>2452</v>
      </c>
      <c r="O442" s="12" t="s">
        <v>2362</v>
      </c>
      <c r="P442" s="12" t="s">
        <v>2474</v>
      </c>
      <c r="AC442" s="12" t="s">
        <v>2367</v>
      </c>
      <c r="AD442" s="12" t="s">
        <v>2367</v>
      </c>
    </row>
    <row r="443">
      <c r="A443" s="26">
        <v>43836.39580564815</v>
      </c>
      <c r="B443" s="12" t="s">
        <v>1699</v>
      </c>
      <c r="C443" s="12" t="s">
        <v>1710</v>
      </c>
      <c r="D443" s="12" t="s">
        <v>1916</v>
      </c>
      <c r="E443" s="12" t="s">
        <v>2239</v>
      </c>
      <c r="F443" s="27">
        <v>43836.0</v>
      </c>
      <c r="G443" s="12" t="s">
        <v>2269</v>
      </c>
      <c r="H443" s="29">
        <v>0.5625</v>
      </c>
      <c r="I443" s="26">
        <v>43836.58333333333</v>
      </c>
      <c r="J443" s="12" t="s">
        <v>2451</v>
      </c>
      <c r="L443" s="12" t="s">
        <v>1720</v>
      </c>
      <c r="M443" s="12" t="s">
        <v>1706</v>
      </c>
      <c r="N443" s="12" t="s">
        <v>2548</v>
      </c>
      <c r="O443" s="12" t="s">
        <v>1708</v>
      </c>
      <c r="P443" s="12" t="s">
        <v>2474</v>
      </c>
      <c r="AE443" s="29">
        <v>0.4375</v>
      </c>
    </row>
    <row r="444">
      <c r="A444" s="26">
        <v>43837.278942743054</v>
      </c>
      <c r="B444" s="12" t="s">
        <v>2088</v>
      </c>
      <c r="C444" s="12" t="s">
        <v>2546</v>
      </c>
      <c r="D444" s="12" t="s">
        <v>1916</v>
      </c>
      <c r="E444" s="12" t="s">
        <v>1746</v>
      </c>
      <c r="F444" s="27">
        <v>43837.0</v>
      </c>
      <c r="G444" s="12" t="s">
        <v>1746</v>
      </c>
      <c r="H444" s="29">
        <v>0.34375</v>
      </c>
      <c r="I444" s="26">
        <v>43837.35416666667</v>
      </c>
      <c r="J444" s="12" t="s">
        <v>1730</v>
      </c>
      <c r="L444" s="12" t="s">
        <v>1626</v>
      </c>
      <c r="M444" s="12" t="s">
        <v>1781</v>
      </c>
      <c r="O444" s="12" t="s">
        <v>2088</v>
      </c>
      <c r="P444" s="12" t="s">
        <v>2474</v>
      </c>
      <c r="AE444" s="29">
        <v>0.29166666666424135</v>
      </c>
    </row>
    <row r="445">
      <c r="A445" s="26">
        <v>43838.40704177083</v>
      </c>
      <c r="B445" s="12" t="s">
        <v>1797</v>
      </c>
      <c r="C445" s="12" t="s">
        <v>2011</v>
      </c>
      <c r="D445" s="12" t="s">
        <v>1916</v>
      </c>
      <c r="E445" s="12" t="s">
        <v>1964</v>
      </c>
      <c r="F445" s="27">
        <v>43838.0</v>
      </c>
      <c r="G445" s="12" t="s">
        <v>2417</v>
      </c>
      <c r="H445" s="29">
        <v>0.5416666666642413</v>
      </c>
      <c r="I445" s="26">
        <v>43838.58333333333</v>
      </c>
      <c r="J445" s="12" t="s">
        <v>1658</v>
      </c>
      <c r="L445" s="12" t="s">
        <v>1720</v>
      </c>
      <c r="M445" s="12" t="s">
        <v>1918</v>
      </c>
      <c r="O445" s="12" t="s">
        <v>1802</v>
      </c>
      <c r="P445" s="12" t="s">
        <v>2474</v>
      </c>
      <c r="AE445" s="29">
        <v>0.40625</v>
      </c>
    </row>
    <row r="446">
      <c r="A446" s="26">
        <v>43839.57638414352</v>
      </c>
      <c r="B446" s="12" t="s">
        <v>2088</v>
      </c>
      <c r="C446" s="12" t="s">
        <v>2546</v>
      </c>
      <c r="D446" s="12" t="s">
        <v>1916</v>
      </c>
      <c r="E446" s="12" t="s">
        <v>1746</v>
      </c>
      <c r="F446" s="27">
        <v>43840.0</v>
      </c>
      <c r="G446" s="12" t="s">
        <v>1746</v>
      </c>
      <c r="H446" s="29">
        <v>0.9479166666642413</v>
      </c>
      <c r="I446" s="26">
        <v>43840.58333333333</v>
      </c>
      <c r="J446" s="12" t="s">
        <v>1730</v>
      </c>
      <c r="L446" s="12" t="s">
        <v>1626</v>
      </c>
      <c r="M446" s="12" t="s">
        <v>1785</v>
      </c>
      <c r="O446" s="12" t="s">
        <v>2088</v>
      </c>
      <c r="P446" s="12" t="s">
        <v>2474</v>
      </c>
      <c r="AE446" s="29">
        <v>0.39583333333575865</v>
      </c>
    </row>
    <row r="447">
      <c r="A447" s="26">
        <v>43842.903670706015</v>
      </c>
      <c r="B447" s="12" t="s">
        <v>1726</v>
      </c>
      <c r="C447" s="12" t="s">
        <v>1727</v>
      </c>
      <c r="D447" s="12" t="s">
        <v>1728</v>
      </c>
      <c r="E447" s="12" t="s">
        <v>2415</v>
      </c>
      <c r="F447" s="27">
        <v>43843.0</v>
      </c>
      <c r="G447" s="12" t="s">
        <v>2385</v>
      </c>
      <c r="H447" s="29">
        <v>0.625</v>
      </c>
      <c r="J447" s="12" t="s">
        <v>2451</v>
      </c>
      <c r="L447" s="12" t="s">
        <v>2549</v>
      </c>
      <c r="M447" s="12" t="s">
        <v>1907</v>
      </c>
      <c r="N447" s="12" t="s">
        <v>2480</v>
      </c>
      <c r="O447" s="12" t="s">
        <v>1735</v>
      </c>
      <c r="P447" s="12" t="s">
        <v>2474</v>
      </c>
      <c r="AE447" s="29">
        <v>0.4375</v>
      </c>
    </row>
    <row r="448">
      <c r="A448" s="26">
        <v>43843.394855</v>
      </c>
      <c r="B448" s="12" t="s">
        <v>1717</v>
      </c>
      <c r="C448" s="12" t="s">
        <v>1718</v>
      </c>
      <c r="D448" s="12" t="s">
        <v>1916</v>
      </c>
      <c r="E448" s="12" t="s">
        <v>2162</v>
      </c>
      <c r="F448" s="27">
        <v>43843.0</v>
      </c>
      <c r="G448" s="12" t="s">
        <v>1792</v>
      </c>
      <c r="H448" s="29">
        <v>0.6145833333357587</v>
      </c>
      <c r="I448" s="26">
        <v>43843.63541666667</v>
      </c>
      <c r="J448" s="12" t="s">
        <v>1704</v>
      </c>
      <c r="L448" s="12" t="s">
        <v>1626</v>
      </c>
      <c r="M448" s="12" t="s">
        <v>1781</v>
      </c>
      <c r="N448" s="12" t="s">
        <v>2550</v>
      </c>
      <c r="O448" s="12" t="s">
        <v>1756</v>
      </c>
      <c r="P448" s="12" t="s">
        <v>2474</v>
      </c>
      <c r="AE448" s="29">
        <v>0.3993055555547471</v>
      </c>
    </row>
    <row r="449">
      <c r="A449" s="26">
        <v>43843.415392407405</v>
      </c>
      <c r="B449" s="12" t="s">
        <v>1891</v>
      </c>
      <c r="C449" s="12" t="s">
        <v>2445</v>
      </c>
      <c r="D449" s="12" t="s">
        <v>1916</v>
      </c>
      <c r="E449" s="12" t="s">
        <v>2058</v>
      </c>
      <c r="F449" s="27">
        <v>43843.0</v>
      </c>
      <c r="G449" s="12" t="s">
        <v>2551</v>
      </c>
      <c r="H449" s="29">
        <v>0.04166666666424135</v>
      </c>
      <c r="I449" s="26">
        <v>43843.25</v>
      </c>
      <c r="J449" s="12" t="s">
        <v>1658</v>
      </c>
      <c r="L449" s="12" t="s">
        <v>2449</v>
      </c>
      <c r="M449" s="12" t="s">
        <v>1706</v>
      </c>
      <c r="N449" s="12" t="s">
        <v>2552</v>
      </c>
      <c r="O449" s="12" t="s">
        <v>2395</v>
      </c>
      <c r="P449" s="12" t="s">
        <v>2474</v>
      </c>
      <c r="AE449" s="29">
        <v>0.3125</v>
      </c>
    </row>
    <row r="450">
      <c r="A450" s="26">
        <v>43844.30260429398</v>
      </c>
      <c r="B450" s="12" t="s">
        <v>1744</v>
      </c>
      <c r="C450" s="12" t="s">
        <v>1966</v>
      </c>
      <c r="D450" s="12" t="s">
        <v>1916</v>
      </c>
      <c r="E450" s="12" t="s">
        <v>2553</v>
      </c>
      <c r="F450" s="27">
        <v>43844.0</v>
      </c>
      <c r="G450" s="12" t="s">
        <v>2554</v>
      </c>
      <c r="H450" s="29">
        <v>0.625</v>
      </c>
      <c r="I450" s="26">
        <v>43844.66666666667</v>
      </c>
      <c r="J450" s="12" t="s">
        <v>1658</v>
      </c>
      <c r="L450" s="12" t="s">
        <v>2449</v>
      </c>
      <c r="M450" s="12" t="s">
        <v>1706</v>
      </c>
      <c r="N450" s="12" t="s">
        <v>2555</v>
      </c>
      <c r="O450" s="12" t="s">
        <v>1708</v>
      </c>
      <c r="P450" s="12" t="s">
        <v>2474</v>
      </c>
      <c r="AE450" s="29">
        <v>0.29166666666424135</v>
      </c>
    </row>
    <row r="451">
      <c r="A451" s="26">
        <v>43845.42157708333</v>
      </c>
      <c r="B451" s="12" t="s">
        <v>2437</v>
      </c>
      <c r="C451" s="12" t="s">
        <v>2420</v>
      </c>
      <c r="D451" s="12" t="s">
        <v>1916</v>
      </c>
      <c r="E451" s="12" t="s">
        <v>2428</v>
      </c>
      <c r="F451" s="27">
        <v>43845.0</v>
      </c>
      <c r="G451" s="12" t="s">
        <v>2556</v>
      </c>
      <c r="H451" s="29">
        <v>0.5</v>
      </c>
      <c r="I451" s="26">
        <v>43845.58333333333</v>
      </c>
      <c r="J451" s="12" t="s">
        <v>1704</v>
      </c>
      <c r="L451" s="12" t="s">
        <v>1626</v>
      </c>
      <c r="M451" s="12" t="s">
        <v>1706</v>
      </c>
      <c r="N451" s="12" t="s">
        <v>2557</v>
      </c>
      <c r="O451" s="12" t="s">
        <v>2395</v>
      </c>
      <c r="P451" s="12" t="s">
        <v>2474</v>
      </c>
      <c r="AE451" s="29">
        <v>0.41666666666424135</v>
      </c>
    </row>
    <row r="452">
      <c r="A452" s="26">
        <v>43846.39961170139</v>
      </c>
      <c r="B452" s="12" t="s">
        <v>2538</v>
      </c>
      <c r="C452" s="12" t="s">
        <v>1718</v>
      </c>
      <c r="D452" s="12" t="s">
        <v>1916</v>
      </c>
      <c r="E452" s="12" t="s">
        <v>2443</v>
      </c>
      <c r="F452" s="27">
        <v>43846.0</v>
      </c>
      <c r="G452" s="12" t="s">
        <v>2558</v>
      </c>
      <c r="H452" s="29">
        <v>0.6666666666642413</v>
      </c>
      <c r="I452" s="26">
        <v>43846.6875</v>
      </c>
      <c r="J452" s="12" t="s">
        <v>1658</v>
      </c>
      <c r="L452" s="12" t="s">
        <v>1720</v>
      </c>
      <c r="M452" s="12" t="s">
        <v>1781</v>
      </c>
      <c r="N452" s="12" t="s">
        <v>2559</v>
      </c>
      <c r="O452" s="12" t="s">
        <v>1756</v>
      </c>
      <c r="P452" s="12" t="s">
        <v>2474</v>
      </c>
      <c r="AE452" s="29">
        <v>0.45833333333575865</v>
      </c>
    </row>
    <row r="453">
      <c r="A453" s="26">
        <v>43847.28927138889</v>
      </c>
      <c r="B453" s="12" t="s">
        <v>1733</v>
      </c>
      <c r="C453" s="12" t="s">
        <v>1727</v>
      </c>
      <c r="D453" s="12" t="s">
        <v>1728</v>
      </c>
      <c r="E453" s="12" t="s">
        <v>2329</v>
      </c>
      <c r="F453" s="27">
        <v>43847.0</v>
      </c>
      <c r="G453" s="12" t="s">
        <v>2560</v>
      </c>
      <c r="H453" s="29">
        <v>0.5833333333357587</v>
      </c>
      <c r="J453" s="12" t="s">
        <v>1704</v>
      </c>
      <c r="L453" s="12" t="s">
        <v>2549</v>
      </c>
      <c r="M453" s="12" t="s">
        <v>1907</v>
      </c>
      <c r="N453" s="12" t="s">
        <v>2561</v>
      </c>
      <c r="O453" s="12" t="s">
        <v>1735</v>
      </c>
      <c r="P453" s="12" t="s">
        <v>2474</v>
      </c>
      <c r="AE453" s="29">
        <v>0.375</v>
      </c>
    </row>
    <row r="454">
      <c r="A454" s="26">
        <v>43853.48716658565</v>
      </c>
      <c r="B454" s="12" t="s">
        <v>1744</v>
      </c>
      <c r="C454" s="12" t="s">
        <v>2389</v>
      </c>
      <c r="D454" s="12" t="s">
        <v>1916</v>
      </c>
      <c r="E454" s="12" t="s">
        <v>1926</v>
      </c>
      <c r="F454" s="27">
        <v>43853.0</v>
      </c>
      <c r="G454" s="12" t="s">
        <v>2380</v>
      </c>
      <c r="H454" s="29">
        <v>0.6875</v>
      </c>
      <c r="I454" s="26">
        <v>43853.72916666667</v>
      </c>
      <c r="J454" s="12" t="s">
        <v>1658</v>
      </c>
      <c r="L454" s="12" t="s">
        <v>1720</v>
      </c>
      <c r="M454" s="12" t="s">
        <v>1706</v>
      </c>
      <c r="N454" s="12" t="s">
        <v>2562</v>
      </c>
      <c r="O454" s="12" t="s">
        <v>1708</v>
      </c>
      <c r="P454" s="12" t="s">
        <v>2474</v>
      </c>
      <c r="AE454" s="29">
        <v>0.5416666666642413</v>
      </c>
    </row>
    <row r="455">
      <c r="A455" s="26">
        <v>43854.464147673614</v>
      </c>
      <c r="B455" s="12" t="s">
        <v>1744</v>
      </c>
      <c r="C455" s="12" t="s">
        <v>2389</v>
      </c>
      <c r="D455" s="12" t="s">
        <v>1916</v>
      </c>
      <c r="E455" s="12" t="s">
        <v>1809</v>
      </c>
      <c r="F455" s="27">
        <v>43854.0</v>
      </c>
      <c r="G455" s="12" t="s">
        <v>2563</v>
      </c>
      <c r="H455" s="29">
        <v>0.6875</v>
      </c>
      <c r="I455" s="26">
        <v>43854.70833333333</v>
      </c>
      <c r="J455" s="12" t="s">
        <v>1658</v>
      </c>
      <c r="L455" s="12" t="s">
        <v>1720</v>
      </c>
      <c r="M455" s="12" t="s">
        <v>1706</v>
      </c>
      <c r="N455" s="12" t="s">
        <v>2564</v>
      </c>
      <c r="O455" s="12" t="s">
        <v>1708</v>
      </c>
      <c r="P455" s="12" t="s">
        <v>2474</v>
      </c>
      <c r="AE455" s="29">
        <v>0.5625</v>
      </c>
    </row>
    <row r="456">
      <c r="A456" s="26">
        <v>43858.34182861111</v>
      </c>
      <c r="B456" s="12" t="s">
        <v>1717</v>
      </c>
      <c r="C456" s="12" t="s">
        <v>1718</v>
      </c>
      <c r="D456" s="12" t="s">
        <v>1916</v>
      </c>
      <c r="E456" s="12" t="s">
        <v>2162</v>
      </c>
      <c r="F456" s="27">
        <v>43858.0</v>
      </c>
      <c r="G456" s="12" t="s">
        <v>1792</v>
      </c>
      <c r="H456" s="29">
        <v>0.6041666666642413</v>
      </c>
      <c r="I456" s="26">
        <v>43858.64583333333</v>
      </c>
      <c r="J456" s="12" t="s">
        <v>1658</v>
      </c>
      <c r="L456" s="12" t="s">
        <v>1720</v>
      </c>
      <c r="M456" s="12" t="s">
        <v>2360</v>
      </c>
      <c r="O456" s="12" t="s">
        <v>1717</v>
      </c>
      <c r="P456" s="12" t="s">
        <v>2474</v>
      </c>
      <c r="AE456" s="29">
        <v>0.39583333333575865</v>
      </c>
    </row>
    <row r="457">
      <c r="A457" s="26">
        <v>43858.36289945601</v>
      </c>
      <c r="B457" s="12" t="s">
        <v>1733</v>
      </c>
      <c r="C457" s="12" t="s">
        <v>1727</v>
      </c>
      <c r="D457" s="12" t="s">
        <v>1728</v>
      </c>
      <c r="E457" s="12" t="s">
        <v>1683</v>
      </c>
      <c r="F457" s="27">
        <v>43858.0</v>
      </c>
      <c r="G457" s="12" t="s">
        <v>2565</v>
      </c>
      <c r="H457" s="29">
        <v>0.625</v>
      </c>
      <c r="J457" s="12" t="s">
        <v>2566</v>
      </c>
      <c r="L457" s="12" t="s">
        <v>2549</v>
      </c>
      <c r="M457" s="12" t="s">
        <v>1785</v>
      </c>
      <c r="N457" s="12" t="s">
        <v>2088</v>
      </c>
      <c r="O457" s="12" t="s">
        <v>1735</v>
      </c>
      <c r="P457" s="12" t="s">
        <v>2474</v>
      </c>
      <c r="AE457" s="29">
        <v>0.39583333333575865</v>
      </c>
    </row>
    <row r="458">
      <c r="A458" s="26">
        <v>43861.26121699074</v>
      </c>
      <c r="B458" s="12" t="s">
        <v>1744</v>
      </c>
      <c r="C458" s="12" t="s">
        <v>2389</v>
      </c>
      <c r="D458" s="12" t="s">
        <v>1916</v>
      </c>
      <c r="E458" s="12" t="s">
        <v>2567</v>
      </c>
      <c r="F458" s="27">
        <v>43861.0</v>
      </c>
      <c r="G458" s="12" t="s">
        <v>2568</v>
      </c>
      <c r="H458" s="29">
        <v>0.45833333333575865</v>
      </c>
      <c r="I458" s="26">
        <v>43861.625</v>
      </c>
      <c r="J458" s="12" t="s">
        <v>1658</v>
      </c>
      <c r="L458" s="12" t="s">
        <v>1720</v>
      </c>
      <c r="M458" s="12" t="s">
        <v>1706</v>
      </c>
      <c r="N458" s="12" t="s">
        <v>2569</v>
      </c>
      <c r="O458" s="12" t="s">
        <v>1708</v>
      </c>
      <c r="P458" s="12" t="s">
        <v>2474</v>
      </c>
      <c r="AE458" s="29">
        <v>0.29166666666424135</v>
      </c>
    </row>
    <row r="459">
      <c r="A459" s="26">
        <v>43863.64696052083</v>
      </c>
      <c r="B459" s="12" t="s">
        <v>2362</v>
      </c>
      <c r="C459" s="12" t="s">
        <v>2507</v>
      </c>
      <c r="D459" s="12" t="s">
        <v>1622</v>
      </c>
      <c r="E459" s="12" t="s">
        <v>1809</v>
      </c>
      <c r="F459" s="27">
        <v>43864.0</v>
      </c>
      <c r="G459" s="12" t="s">
        <v>2570</v>
      </c>
      <c r="H459" s="29">
        <v>0.6666666666642413</v>
      </c>
      <c r="I459" s="26">
        <v>43864.1875</v>
      </c>
      <c r="J459" s="12" t="s">
        <v>1658</v>
      </c>
      <c r="L459" s="12" t="s">
        <v>1626</v>
      </c>
      <c r="M459" s="12" t="s">
        <v>2362</v>
      </c>
      <c r="N459" s="12" t="s">
        <v>2571</v>
      </c>
      <c r="O459" s="12" t="s">
        <v>2362</v>
      </c>
      <c r="P459" s="12" t="s">
        <v>2474</v>
      </c>
      <c r="AC459" s="12" t="s">
        <v>2572</v>
      </c>
      <c r="AD459" s="12" t="s">
        <v>2572</v>
      </c>
      <c r="AE459" s="29">
        <v>0.32291666666424135</v>
      </c>
    </row>
    <row r="460">
      <c r="A460" s="26">
        <v>43863.809528495374</v>
      </c>
      <c r="B460" s="12" t="s">
        <v>1726</v>
      </c>
      <c r="C460" s="12" t="s">
        <v>1727</v>
      </c>
      <c r="D460" s="12" t="s">
        <v>1728</v>
      </c>
      <c r="E460" s="12" t="s">
        <v>2573</v>
      </c>
      <c r="F460" s="27">
        <v>43864.0</v>
      </c>
      <c r="G460" s="12" t="s">
        <v>2574</v>
      </c>
      <c r="H460" s="29">
        <v>0.625</v>
      </c>
      <c r="J460" s="12" t="s">
        <v>1704</v>
      </c>
      <c r="L460" s="12" t="s">
        <v>2549</v>
      </c>
      <c r="M460" s="12" t="s">
        <v>1785</v>
      </c>
      <c r="N460" s="12" t="s">
        <v>2008</v>
      </c>
      <c r="O460" s="12" t="s">
        <v>1735</v>
      </c>
      <c r="P460" s="12" t="s">
        <v>2474</v>
      </c>
      <c r="AE460" s="29">
        <v>0.4375</v>
      </c>
    </row>
    <row r="461">
      <c r="A461" s="26">
        <v>43864.33085761574</v>
      </c>
      <c r="B461" s="12" t="s">
        <v>1744</v>
      </c>
      <c r="C461" s="12" t="s">
        <v>2389</v>
      </c>
      <c r="D461" s="12" t="s">
        <v>1916</v>
      </c>
      <c r="E461" s="12" t="s">
        <v>2239</v>
      </c>
      <c r="F461" s="27">
        <v>43864.0</v>
      </c>
      <c r="G461" s="12" t="s">
        <v>2575</v>
      </c>
      <c r="H461" s="29">
        <v>0.47916666666424135</v>
      </c>
      <c r="I461" s="26">
        <v>43864.5</v>
      </c>
      <c r="J461" s="12" t="s">
        <v>1658</v>
      </c>
      <c r="L461" s="12" t="s">
        <v>1720</v>
      </c>
      <c r="M461" s="12" t="s">
        <v>1706</v>
      </c>
      <c r="N461" s="12" t="s">
        <v>2576</v>
      </c>
      <c r="O461" s="12" t="s">
        <v>1708</v>
      </c>
      <c r="P461" s="12" t="s">
        <v>2474</v>
      </c>
      <c r="AE461" s="29">
        <v>0.35416666666424135</v>
      </c>
    </row>
    <row r="462">
      <c r="A462" s="26">
        <v>43865.3704878125</v>
      </c>
      <c r="B462" s="12" t="s">
        <v>1744</v>
      </c>
      <c r="C462" s="12" t="s">
        <v>262</v>
      </c>
      <c r="D462" s="12" t="s">
        <v>1916</v>
      </c>
      <c r="E462" s="12" t="s">
        <v>2239</v>
      </c>
      <c r="F462" s="27">
        <v>43865.0</v>
      </c>
      <c r="G462" s="12" t="s">
        <v>2292</v>
      </c>
      <c r="H462" s="29">
        <v>0.5208333333357587</v>
      </c>
      <c r="I462" s="26">
        <v>43865.54166666667</v>
      </c>
      <c r="J462" s="12" t="s">
        <v>1658</v>
      </c>
      <c r="L462" s="12" t="s">
        <v>1720</v>
      </c>
      <c r="M462" s="12" t="s">
        <v>1706</v>
      </c>
      <c r="N462" s="12" t="s">
        <v>2577</v>
      </c>
      <c r="O462" s="12" t="s">
        <v>1708</v>
      </c>
      <c r="P462" s="12" t="s">
        <v>2474</v>
      </c>
      <c r="AE462" s="29">
        <v>0.39583333333575865</v>
      </c>
    </row>
    <row r="463">
      <c r="A463" s="26">
        <v>43867.46352467593</v>
      </c>
      <c r="B463" s="12" t="s">
        <v>1744</v>
      </c>
      <c r="C463" s="12" t="s">
        <v>262</v>
      </c>
      <c r="D463" s="12" t="s">
        <v>1916</v>
      </c>
      <c r="E463" s="12" t="s">
        <v>2578</v>
      </c>
      <c r="F463" s="27">
        <v>43867.0</v>
      </c>
      <c r="G463" s="12" t="s">
        <v>2579</v>
      </c>
      <c r="H463" s="29">
        <v>0.625</v>
      </c>
      <c r="I463" s="26">
        <v>43867.64583333333</v>
      </c>
      <c r="J463" s="12" t="s">
        <v>1658</v>
      </c>
      <c r="L463" s="12" t="s">
        <v>1720</v>
      </c>
      <c r="M463" s="12" t="s">
        <v>1706</v>
      </c>
      <c r="N463" s="12" t="s">
        <v>2580</v>
      </c>
      <c r="O463" s="12" t="s">
        <v>1708</v>
      </c>
      <c r="P463" s="12" t="s">
        <v>2474</v>
      </c>
      <c r="AE463" s="29">
        <v>0.47916666666424135</v>
      </c>
    </row>
    <row r="464">
      <c r="A464" s="26">
        <v>43868.48051929398</v>
      </c>
      <c r="B464" s="12" t="s">
        <v>1699</v>
      </c>
      <c r="C464" s="12" t="s">
        <v>2389</v>
      </c>
      <c r="D464" s="12" t="s">
        <v>1916</v>
      </c>
      <c r="E464" s="12" t="s">
        <v>2248</v>
      </c>
      <c r="F464" s="27">
        <v>43868.0</v>
      </c>
      <c r="G464" s="12" t="s">
        <v>2563</v>
      </c>
      <c r="H464" s="29">
        <v>0.6458333333357587</v>
      </c>
      <c r="I464" s="26">
        <v>43868.66666666667</v>
      </c>
      <c r="J464" s="12" t="s">
        <v>1658</v>
      </c>
      <c r="L464" s="12" t="s">
        <v>1720</v>
      </c>
      <c r="M464" s="12" t="s">
        <v>1706</v>
      </c>
      <c r="N464" s="12" t="s">
        <v>2581</v>
      </c>
      <c r="O464" s="12" t="s">
        <v>1708</v>
      </c>
      <c r="P464" s="12" t="s">
        <v>2474</v>
      </c>
      <c r="AE464" s="29">
        <v>0.5104166666642413</v>
      </c>
    </row>
    <row r="465">
      <c r="A465" s="26">
        <v>43871.28128048611</v>
      </c>
      <c r="B465" s="12" t="s">
        <v>1726</v>
      </c>
      <c r="C465" s="12" t="s">
        <v>1727</v>
      </c>
      <c r="D465" s="12" t="s">
        <v>1728</v>
      </c>
      <c r="E465" s="12" t="s">
        <v>2582</v>
      </c>
      <c r="F465" s="27">
        <v>43871.0</v>
      </c>
      <c r="G465" s="12" t="s">
        <v>2385</v>
      </c>
      <c r="H465" s="29">
        <v>0.625</v>
      </c>
      <c r="J465" s="12" t="s">
        <v>2451</v>
      </c>
      <c r="L465" s="12" t="s">
        <v>2549</v>
      </c>
      <c r="M465" s="12" t="s">
        <v>1907</v>
      </c>
      <c r="N465" s="12" t="s">
        <v>2583</v>
      </c>
      <c r="O465" s="12" t="s">
        <v>1735</v>
      </c>
      <c r="P465" s="12" t="s">
        <v>2474</v>
      </c>
      <c r="AE465" s="29">
        <v>0.41666666666424135</v>
      </c>
    </row>
    <row r="466">
      <c r="A466" s="26">
        <v>43871.37630462963</v>
      </c>
      <c r="B466" s="12" t="s">
        <v>2088</v>
      </c>
      <c r="C466" s="12" t="s">
        <v>2546</v>
      </c>
      <c r="D466" s="12" t="s">
        <v>1958</v>
      </c>
      <c r="E466" s="12" t="s">
        <v>2547</v>
      </c>
      <c r="F466" s="27">
        <v>43871.0</v>
      </c>
      <c r="G466" s="12" t="s">
        <v>1746</v>
      </c>
      <c r="H466" s="29">
        <v>0.5</v>
      </c>
      <c r="I466" s="26">
        <v>43871.52083333333</v>
      </c>
      <c r="J466" s="12" t="s">
        <v>1730</v>
      </c>
      <c r="L466" s="12" t="s">
        <v>2479</v>
      </c>
      <c r="M466" s="12" t="s">
        <v>1634</v>
      </c>
      <c r="N466" s="12" t="s">
        <v>2584</v>
      </c>
      <c r="O466" s="12" t="s">
        <v>2585</v>
      </c>
      <c r="P466" s="12" t="s">
        <v>2474</v>
      </c>
      <c r="AE466" s="29">
        <v>0.41666666666424135</v>
      </c>
    </row>
    <row r="467">
      <c r="A467" s="26">
        <v>43871.56591048611</v>
      </c>
      <c r="B467" s="12" t="s">
        <v>2538</v>
      </c>
      <c r="C467" s="12" t="s">
        <v>1718</v>
      </c>
      <c r="D467" s="12" t="s">
        <v>1916</v>
      </c>
      <c r="E467" s="12" t="s">
        <v>2162</v>
      </c>
      <c r="F467" s="27">
        <v>43872.0</v>
      </c>
      <c r="G467" s="12" t="s">
        <v>1792</v>
      </c>
      <c r="H467" s="29">
        <v>0.6041666666642413</v>
      </c>
      <c r="I467" s="26">
        <v>43872.625</v>
      </c>
      <c r="J467" s="12" t="s">
        <v>1704</v>
      </c>
      <c r="L467" s="12" t="s">
        <v>1626</v>
      </c>
      <c r="M467" s="12" t="s">
        <v>1781</v>
      </c>
      <c r="N467" s="12" t="s">
        <v>2586</v>
      </c>
      <c r="O467" s="12" t="s">
        <v>2095</v>
      </c>
      <c r="P467" s="12" t="s">
        <v>2474</v>
      </c>
      <c r="AE467" s="29">
        <v>0.39583333333575865</v>
      </c>
    </row>
    <row r="468">
      <c r="A468" s="26">
        <v>43874.46721422454</v>
      </c>
      <c r="B468" s="12" t="s">
        <v>2538</v>
      </c>
      <c r="C468" s="12" t="s">
        <v>1718</v>
      </c>
      <c r="D468" s="12" t="s">
        <v>1622</v>
      </c>
      <c r="E468" s="12" t="s">
        <v>2354</v>
      </c>
      <c r="F468" s="27">
        <v>43874.0</v>
      </c>
      <c r="G468" s="12" t="s">
        <v>2587</v>
      </c>
      <c r="H468" s="29">
        <v>0.6666666666642413</v>
      </c>
      <c r="I468" s="26">
        <v>43874.6875</v>
      </c>
      <c r="J468" s="12" t="s">
        <v>1658</v>
      </c>
      <c r="L468" s="12" t="s">
        <v>1720</v>
      </c>
      <c r="M468" s="12" t="s">
        <v>1918</v>
      </c>
      <c r="N468" s="12" t="s">
        <v>2588</v>
      </c>
      <c r="O468" s="12" t="s">
        <v>2095</v>
      </c>
      <c r="P468" s="12" t="s">
        <v>2474</v>
      </c>
      <c r="AE468" s="29">
        <v>0.5006944444467081</v>
      </c>
    </row>
    <row r="469">
      <c r="A469" s="26">
        <v>43875.305054895834</v>
      </c>
      <c r="B469" s="12" t="s">
        <v>1744</v>
      </c>
      <c r="C469" s="12" t="s">
        <v>2589</v>
      </c>
      <c r="D469" s="12" t="s">
        <v>2209</v>
      </c>
      <c r="E469" s="12" t="s">
        <v>2567</v>
      </c>
      <c r="F469" s="27">
        <v>43875.0</v>
      </c>
      <c r="G469" s="12" t="s">
        <v>2590</v>
      </c>
      <c r="H469" s="29">
        <v>0.45833333333575865</v>
      </c>
      <c r="I469" s="26">
        <v>43875.5</v>
      </c>
      <c r="J469" s="12" t="s">
        <v>2451</v>
      </c>
      <c r="L469" s="12" t="s">
        <v>1626</v>
      </c>
      <c r="M469" s="12" t="s">
        <v>1706</v>
      </c>
      <c r="N469" s="12" t="s">
        <v>2591</v>
      </c>
      <c r="O469" s="12" t="s">
        <v>1708</v>
      </c>
      <c r="P469" s="12" t="s">
        <v>2474</v>
      </c>
      <c r="AE469" s="29">
        <v>0.3125</v>
      </c>
    </row>
    <row r="470">
      <c r="A470" s="26">
        <v>43878.32801315973</v>
      </c>
      <c r="B470" s="12" t="s">
        <v>1699</v>
      </c>
      <c r="C470" s="12" t="s">
        <v>262</v>
      </c>
      <c r="D470" s="12" t="s">
        <v>1958</v>
      </c>
      <c r="E470" s="12" t="s">
        <v>1623</v>
      </c>
      <c r="F470" s="27">
        <v>43878.0</v>
      </c>
      <c r="G470" s="12" t="s">
        <v>2579</v>
      </c>
      <c r="H470" s="29">
        <v>0.5208333333357587</v>
      </c>
      <c r="I470" s="26">
        <v>43878.54166666667</v>
      </c>
      <c r="J470" s="12" t="s">
        <v>1658</v>
      </c>
      <c r="L470" s="12" t="s">
        <v>1720</v>
      </c>
      <c r="M470" s="12" t="s">
        <v>1706</v>
      </c>
      <c r="N470" s="12" t="s">
        <v>2592</v>
      </c>
      <c r="O470" s="12" t="s">
        <v>1708</v>
      </c>
      <c r="P470" s="12" t="s">
        <v>2474</v>
      </c>
      <c r="AE470" s="29">
        <v>0.35416666666424135</v>
      </c>
    </row>
    <row r="471">
      <c r="A471" s="26">
        <v>43878.383327187505</v>
      </c>
      <c r="B471" s="12" t="s">
        <v>1726</v>
      </c>
      <c r="C471" s="12" t="s">
        <v>1727</v>
      </c>
      <c r="D471" s="12" t="s">
        <v>1728</v>
      </c>
      <c r="E471" s="12" t="s">
        <v>2593</v>
      </c>
      <c r="F471" s="27">
        <v>43878.0</v>
      </c>
      <c r="G471" s="12" t="s">
        <v>2594</v>
      </c>
      <c r="H471" s="29">
        <v>0.6666666666642413</v>
      </c>
      <c r="J471" s="12" t="s">
        <v>1704</v>
      </c>
      <c r="L471" s="12" t="s">
        <v>2549</v>
      </c>
      <c r="M471" s="12" t="s">
        <v>1785</v>
      </c>
      <c r="N471" s="12" t="s">
        <v>2595</v>
      </c>
      <c r="O471" s="12" t="s">
        <v>1735</v>
      </c>
      <c r="P471" s="12" t="s">
        <v>2474</v>
      </c>
      <c r="AE471" s="29">
        <v>0.5</v>
      </c>
    </row>
    <row r="472">
      <c r="A472" s="26">
        <v>43879.37892613426</v>
      </c>
      <c r="B472" s="12" t="s">
        <v>1744</v>
      </c>
      <c r="C472" s="12" t="s">
        <v>262</v>
      </c>
      <c r="D472" s="12" t="s">
        <v>1916</v>
      </c>
      <c r="E472" s="12" t="s">
        <v>1623</v>
      </c>
      <c r="F472" s="27">
        <v>43879.0</v>
      </c>
      <c r="G472" s="12" t="s">
        <v>2596</v>
      </c>
      <c r="H472" s="29">
        <v>0.5416666666642413</v>
      </c>
      <c r="I472" s="26">
        <v>43879.5625</v>
      </c>
      <c r="J472" s="12" t="s">
        <v>1658</v>
      </c>
      <c r="L472" s="12" t="s">
        <v>1720</v>
      </c>
      <c r="M472" s="12" t="s">
        <v>1706</v>
      </c>
      <c r="N472" s="12" t="s">
        <v>2597</v>
      </c>
      <c r="O472" s="12" t="s">
        <v>1708</v>
      </c>
      <c r="P472" s="12" t="s">
        <v>2474</v>
      </c>
      <c r="AE472" s="29">
        <v>0.39583333333575865</v>
      </c>
    </row>
    <row r="473">
      <c r="A473" s="26">
        <v>43880.41746081019</v>
      </c>
      <c r="B473" s="12" t="s">
        <v>1699</v>
      </c>
      <c r="C473" s="12" t="s">
        <v>2389</v>
      </c>
      <c r="D473" s="12" t="s">
        <v>1916</v>
      </c>
      <c r="E473" s="12" t="s">
        <v>1623</v>
      </c>
      <c r="F473" s="27">
        <v>43880.0</v>
      </c>
      <c r="G473" s="12" t="s">
        <v>2598</v>
      </c>
      <c r="H473" s="29">
        <v>0.5208333333357587</v>
      </c>
      <c r="I473" s="26">
        <v>43880.54166666667</v>
      </c>
      <c r="J473" s="12" t="s">
        <v>1658</v>
      </c>
      <c r="L473" s="12" t="s">
        <v>1720</v>
      </c>
      <c r="M473" s="12" t="s">
        <v>1706</v>
      </c>
      <c r="N473" s="12" t="s">
        <v>2599</v>
      </c>
      <c r="O473" s="12" t="s">
        <v>1708</v>
      </c>
      <c r="P473" s="12" t="s">
        <v>2474</v>
      </c>
      <c r="AE473" s="29">
        <v>0.4375</v>
      </c>
    </row>
    <row r="474">
      <c r="A474" s="26">
        <v>43881.463268865744</v>
      </c>
      <c r="B474" s="12" t="s">
        <v>1744</v>
      </c>
      <c r="C474" s="12" t="s">
        <v>1710</v>
      </c>
      <c r="D474" s="12" t="s">
        <v>2209</v>
      </c>
      <c r="E474" s="12" t="s">
        <v>1623</v>
      </c>
      <c r="F474" s="27">
        <v>43881.0</v>
      </c>
      <c r="G474" s="12" t="s">
        <v>1746</v>
      </c>
      <c r="H474" s="29">
        <v>0.5833333333357587</v>
      </c>
      <c r="I474" s="26">
        <v>43881.60416666667</v>
      </c>
      <c r="J474" s="12" t="s">
        <v>1658</v>
      </c>
      <c r="L474" s="12" t="s">
        <v>1720</v>
      </c>
      <c r="M474" s="12" t="s">
        <v>2600</v>
      </c>
      <c r="N474" s="12" t="s">
        <v>2452</v>
      </c>
      <c r="O474" s="12" t="s">
        <v>1708</v>
      </c>
      <c r="P474" s="12" t="s">
        <v>2474</v>
      </c>
      <c r="AE474" s="29">
        <v>0.47916666666424135</v>
      </c>
    </row>
    <row r="475">
      <c r="A475" s="26">
        <v>43886.313399375</v>
      </c>
      <c r="B475" s="12" t="s">
        <v>2538</v>
      </c>
      <c r="C475" s="12" t="s">
        <v>1718</v>
      </c>
      <c r="D475" s="12" t="s">
        <v>1916</v>
      </c>
      <c r="E475" s="12" t="s">
        <v>2601</v>
      </c>
      <c r="F475" s="27">
        <v>43886.0</v>
      </c>
      <c r="G475" s="12" t="s">
        <v>2602</v>
      </c>
      <c r="H475" s="29">
        <v>0.625</v>
      </c>
      <c r="I475" s="26">
        <v>43886.66666666667</v>
      </c>
      <c r="J475" s="12" t="s">
        <v>1658</v>
      </c>
      <c r="L475" s="12" t="s">
        <v>1720</v>
      </c>
      <c r="M475" s="12" t="s">
        <v>1781</v>
      </c>
      <c r="N475" s="12" t="s">
        <v>2603</v>
      </c>
      <c r="O475" s="12" t="s">
        <v>2095</v>
      </c>
      <c r="P475" s="12" t="s">
        <v>2474</v>
      </c>
      <c r="AE475" s="29">
        <v>0.38541666666424135</v>
      </c>
    </row>
    <row r="476">
      <c r="A476" s="26">
        <v>43887.30994584491</v>
      </c>
      <c r="B476" s="12" t="s">
        <v>1717</v>
      </c>
      <c r="C476" s="12" t="s">
        <v>1718</v>
      </c>
      <c r="D476" s="12" t="s">
        <v>1916</v>
      </c>
      <c r="E476" s="12" t="s">
        <v>2604</v>
      </c>
      <c r="F476" s="27">
        <v>43887.0</v>
      </c>
      <c r="G476" s="12" t="s">
        <v>2605</v>
      </c>
      <c r="H476" s="29">
        <v>0.375</v>
      </c>
      <c r="I476" s="26">
        <v>43887.38541666667</v>
      </c>
      <c r="J476" s="12" t="s">
        <v>1658</v>
      </c>
      <c r="L476" s="12" t="s">
        <v>1720</v>
      </c>
      <c r="M476" s="12" t="s">
        <v>1781</v>
      </c>
      <c r="N476" s="12" t="s">
        <v>2603</v>
      </c>
      <c r="O476" s="12" t="s">
        <v>2095</v>
      </c>
      <c r="P476" s="12" t="s">
        <v>2474</v>
      </c>
      <c r="AE476" s="29">
        <v>0.32291666666424135</v>
      </c>
    </row>
    <row r="477">
      <c r="A477" s="26">
        <v>43893.297057986114</v>
      </c>
      <c r="B477" s="12" t="s">
        <v>1744</v>
      </c>
      <c r="C477" s="12" t="s">
        <v>2230</v>
      </c>
      <c r="D477" s="12" t="s">
        <v>1916</v>
      </c>
      <c r="E477" s="12" t="s">
        <v>1809</v>
      </c>
      <c r="F477" s="27">
        <v>43893.0</v>
      </c>
      <c r="G477" s="12" t="s">
        <v>2606</v>
      </c>
      <c r="H477" s="29">
        <v>0.6666666666642413</v>
      </c>
      <c r="I477" s="26">
        <v>43893.67708333333</v>
      </c>
      <c r="J477" s="12" t="s">
        <v>1658</v>
      </c>
      <c r="L477" s="12" t="s">
        <v>1720</v>
      </c>
      <c r="M477" s="12" t="s">
        <v>1706</v>
      </c>
      <c r="N477" s="12" t="s">
        <v>2607</v>
      </c>
      <c r="O477" s="12" t="s">
        <v>1708</v>
      </c>
      <c r="P477" s="12" t="s">
        <v>2474</v>
      </c>
      <c r="AE477" s="29">
        <v>0.29166666666424135</v>
      </c>
    </row>
    <row r="478">
      <c r="A478" s="26">
        <v>43894.47825983797</v>
      </c>
      <c r="B478" s="12" t="s">
        <v>1797</v>
      </c>
      <c r="C478" s="12" t="s">
        <v>2011</v>
      </c>
      <c r="D478" s="12" t="s">
        <v>1916</v>
      </c>
      <c r="E478" s="12" t="s">
        <v>2443</v>
      </c>
      <c r="F478" s="27">
        <v>43894.0</v>
      </c>
      <c r="G478" s="12" t="s">
        <v>2608</v>
      </c>
      <c r="H478" s="29">
        <v>0.7083333333357587</v>
      </c>
      <c r="I478" s="26">
        <v>43894.75</v>
      </c>
      <c r="J478" s="12" t="s">
        <v>1658</v>
      </c>
      <c r="L478" s="12" t="s">
        <v>1720</v>
      </c>
      <c r="M478" s="12" t="s">
        <v>1801</v>
      </c>
      <c r="N478" s="12" t="s">
        <v>2609</v>
      </c>
      <c r="O478" s="12" t="s">
        <v>1802</v>
      </c>
      <c r="P478" s="12" t="s">
        <v>2474</v>
      </c>
      <c r="AE478" s="29">
        <v>0.5104166666642413</v>
      </c>
    </row>
    <row r="479">
      <c r="A479" s="26">
        <v>43896.33656585648</v>
      </c>
      <c r="B479" s="12" t="s">
        <v>2437</v>
      </c>
      <c r="C479" s="12" t="s">
        <v>2420</v>
      </c>
      <c r="D479" s="12" t="s">
        <v>1916</v>
      </c>
      <c r="E479" s="12" t="s">
        <v>2443</v>
      </c>
      <c r="F479" s="27">
        <v>43896.0</v>
      </c>
      <c r="G479" s="12" t="s">
        <v>2610</v>
      </c>
      <c r="H479" s="29">
        <v>0.6666666666642413</v>
      </c>
      <c r="I479" s="26">
        <v>43957.6875</v>
      </c>
      <c r="J479" s="12" t="s">
        <v>1658</v>
      </c>
      <c r="L479" s="12" t="s">
        <v>1720</v>
      </c>
      <c r="M479" s="12" t="s">
        <v>2321</v>
      </c>
      <c r="N479" s="12" t="s">
        <v>2611</v>
      </c>
      <c r="O479" s="12" t="s">
        <v>2321</v>
      </c>
      <c r="P479" s="12" t="s">
        <v>2474</v>
      </c>
      <c r="AE479" s="29">
        <v>0.35416666666424135</v>
      </c>
    </row>
    <row r="480">
      <c r="A480" s="26">
        <v>43899.32906851852</v>
      </c>
      <c r="B480" s="12" t="s">
        <v>1726</v>
      </c>
      <c r="C480" s="12" t="s">
        <v>1727</v>
      </c>
      <c r="D480" s="12" t="s">
        <v>1728</v>
      </c>
      <c r="E480" s="12" t="s">
        <v>2612</v>
      </c>
      <c r="F480" s="27">
        <v>43899.0</v>
      </c>
      <c r="G480" s="12" t="s">
        <v>2613</v>
      </c>
      <c r="H480" s="29">
        <v>0.625</v>
      </c>
      <c r="J480" s="12" t="s">
        <v>2451</v>
      </c>
      <c r="L480" s="12" t="s">
        <v>2449</v>
      </c>
      <c r="M480" s="12" t="s">
        <v>1785</v>
      </c>
      <c r="N480" s="12" t="s">
        <v>2480</v>
      </c>
      <c r="O480" s="12" t="s">
        <v>1735</v>
      </c>
      <c r="P480" s="12" t="s">
        <v>2474</v>
      </c>
      <c r="AE480" s="29">
        <v>0.41666666666424135</v>
      </c>
    </row>
    <row r="481">
      <c r="A481" s="26">
        <v>43899.36991033565</v>
      </c>
      <c r="B481" s="12" t="s">
        <v>2088</v>
      </c>
      <c r="C481" s="12" t="s">
        <v>2546</v>
      </c>
      <c r="D481" s="12" t="s">
        <v>1916</v>
      </c>
      <c r="E481" s="12" t="s">
        <v>1746</v>
      </c>
      <c r="F481" s="27">
        <v>43899.0</v>
      </c>
      <c r="G481" s="12" t="s">
        <v>1746</v>
      </c>
      <c r="H481" s="29">
        <v>0.47916666666424135</v>
      </c>
      <c r="I481" s="26">
        <v>43899.5</v>
      </c>
      <c r="J481" s="12" t="s">
        <v>1730</v>
      </c>
      <c r="L481" s="12" t="s">
        <v>1720</v>
      </c>
      <c r="M481" s="12" t="s">
        <v>1706</v>
      </c>
      <c r="O481" s="12" t="s">
        <v>1708</v>
      </c>
      <c r="P481" s="12" t="s">
        <v>2474</v>
      </c>
      <c r="AE481" s="29">
        <v>0.40625</v>
      </c>
    </row>
    <row r="482">
      <c r="A482" s="26">
        <v>43900.40784344907</v>
      </c>
      <c r="B482" s="12" t="s">
        <v>2437</v>
      </c>
      <c r="C482" s="12" t="s">
        <v>2420</v>
      </c>
      <c r="D482" s="12" t="s">
        <v>1622</v>
      </c>
      <c r="E482" s="12" t="s">
        <v>1809</v>
      </c>
      <c r="F482" s="27">
        <v>43900.0</v>
      </c>
      <c r="G482" s="12" t="s">
        <v>2614</v>
      </c>
      <c r="H482" s="29">
        <v>0.625</v>
      </c>
      <c r="I482" s="26">
        <v>43900.64583333333</v>
      </c>
      <c r="J482" s="12" t="s">
        <v>1704</v>
      </c>
      <c r="L482" s="12" t="s">
        <v>1720</v>
      </c>
      <c r="M482" s="12" t="s">
        <v>1781</v>
      </c>
      <c r="N482" s="12" t="s">
        <v>2615</v>
      </c>
      <c r="O482" s="12" t="s">
        <v>2616</v>
      </c>
      <c r="P482" s="12" t="s">
        <v>2474</v>
      </c>
      <c r="AE482" s="29">
        <v>0.41666666666424135</v>
      </c>
    </row>
    <row r="483">
      <c r="A483" s="26">
        <v>43901.410883310185</v>
      </c>
      <c r="B483" s="12" t="s">
        <v>2088</v>
      </c>
      <c r="C483" s="12" t="s">
        <v>2546</v>
      </c>
      <c r="D483" s="12" t="s">
        <v>1916</v>
      </c>
      <c r="E483" s="12" t="s">
        <v>1746</v>
      </c>
      <c r="F483" s="27">
        <v>43901.0</v>
      </c>
      <c r="G483" s="12" t="s">
        <v>1746</v>
      </c>
      <c r="H483" s="29">
        <v>0.5520833333357587</v>
      </c>
      <c r="I483" s="26">
        <v>43901.5625</v>
      </c>
      <c r="J483" s="12" t="s">
        <v>1730</v>
      </c>
      <c r="L483" s="12" t="s">
        <v>2479</v>
      </c>
      <c r="M483" s="12" t="s">
        <v>1706</v>
      </c>
      <c r="O483" s="12" t="s">
        <v>2617</v>
      </c>
      <c r="P483" s="12" t="s">
        <v>2474</v>
      </c>
      <c r="AE483" s="29">
        <v>0.48958333333575865</v>
      </c>
    </row>
    <row r="484">
      <c r="A484" s="26">
        <v>43906.74159872685</v>
      </c>
      <c r="B484" s="12" t="s">
        <v>1744</v>
      </c>
      <c r="C484" s="12" t="s">
        <v>1966</v>
      </c>
      <c r="D484" s="12" t="s">
        <v>2209</v>
      </c>
      <c r="E484" s="12" t="s">
        <v>2015</v>
      </c>
      <c r="F484" s="27">
        <v>43906.0</v>
      </c>
      <c r="G484" s="12" t="s">
        <v>2618</v>
      </c>
      <c r="H484" s="29">
        <v>0.7916666666642413</v>
      </c>
      <c r="I484" s="26">
        <v>43906.83333333333</v>
      </c>
      <c r="J484" s="12" t="s">
        <v>1658</v>
      </c>
      <c r="L484" s="12" t="s">
        <v>2479</v>
      </c>
      <c r="M484" s="12" t="s">
        <v>1706</v>
      </c>
      <c r="N484" s="12" t="s">
        <v>2452</v>
      </c>
      <c r="O484" s="12" t="s">
        <v>1708</v>
      </c>
      <c r="P484" s="12" t="s">
        <v>2474</v>
      </c>
      <c r="AE484" s="29">
        <v>0.7395833333357587</v>
      </c>
    </row>
    <row r="485">
      <c r="A485" s="26">
        <v>43907.316854351855</v>
      </c>
      <c r="B485" s="12" t="s">
        <v>1744</v>
      </c>
      <c r="C485" s="12" t="s">
        <v>2230</v>
      </c>
      <c r="D485" s="12" t="s">
        <v>1916</v>
      </c>
      <c r="E485" s="12" t="s">
        <v>2015</v>
      </c>
      <c r="F485" s="27">
        <v>43907.0</v>
      </c>
      <c r="G485" s="12" t="s">
        <v>2619</v>
      </c>
      <c r="H485" s="29">
        <v>0.375</v>
      </c>
      <c r="I485" s="26">
        <v>43907.4375</v>
      </c>
      <c r="J485" s="12" t="s">
        <v>1658</v>
      </c>
      <c r="L485" s="12" t="s">
        <v>2479</v>
      </c>
      <c r="M485" s="12" t="s">
        <v>1706</v>
      </c>
      <c r="N485" s="12" t="s">
        <v>2452</v>
      </c>
      <c r="O485" s="12" t="s">
        <v>1708</v>
      </c>
      <c r="P485" s="12" t="s">
        <v>2474</v>
      </c>
      <c r="AE485" s="29">
        <v>0.3125</v>
      </c>
    </row>
    <row r="486">
      <c r="A486" s="26">
        <v>43908.36985476852</v>
      </c>
      <c r="B486" s="12" t="s">
        <v>1744</v>
      </c>
      <c r="C486" s="12" t="s">
        <v>2389</v>
      </c>
      <c r="D486" s="12" t="s">
        <v>1916</v>
      </c>
      <c r="E486" s="12" t="s">
        <v>1623</v>
      </c>
      <c r="F486" s="27">
        <v>43908.0</v>
      </c>
      <c r="G486" s="12" t="s">
        <v>2620</v>
      </c>
      <c r="H486" s="29">
        <v>0.45833333333575865</v>
      </c>
      <c r="I486" s="26">
        <v>43908.47916666667</v>
      </c>
      <c r="J486" s="12" t="s">
        <v>1658</v>
      </c>
      <c r="L486" s="12" t="s">
        <v>2479</v>
      </c>
      <c r="M486" s="12" t="s">
        <v>1706</v>
      </c>
      <c r="N486" s="12" t="s">
        <v>2452</v>
      </c>
      <c r="O486" s="12" t="s">
        <v>1708</v>
      </c>
      <c r="P486" s="12" t="s">
        <v>2474</v>
      </c>
      <c r="AE486" s="29">
        <v>0.39583333333575865</v>
      </c>
    </row>
    <row r="487">
      <c r="A487" s="26">
        <v>43908.62035174768</v>
      </c>
      <c r="B487" s="12" t="s">
        <v>1744</v>
      </c>
      <c r="C487" s="12" t="s">
        <v>2389</v>
      </c>
      <c r="D487" s="12" t="s">
        <v>2209</v>
      </c>
      <c r="E487" s="12" t="s">
        <v>1623</v>
      </c>
      <c r="F487" s="27">
        <v>43908.0</v>
      </c>
      <c r="G487" s="12" t="s">
        <v>2621</v>
      </c>
      <c r="H487" s="29">
        <v>0.7083333333357587</v>
      </c>
      <c r="I487" s="26">
        <v>43908.71875</v>
      </c>
      <c r="J487" s="12" t="s">
        <v>1658</v>
      </c>
      <c r="L487" s="12" t="s">
        <v>2479</v>
      </c>
      <c r="M487" s="12" t="s">
        <v>1706</v>
      </c>
      <c r="N487" s="12" t="s">
        <v>2452</v>
      </c>
      <c r="O487" s="12" t="s">
        <v>1708</v>
      </c>
      <c r="P487" s="12" t="s">
        <v>2474</v>
      </c>
      <c r="AE487" s="29">
        <v>0.6354166666642413</v>
      </c>
    </row>
    <row r="488">
      <c r="A488" s="26">
        <v>43910.49422699074</v>
      </c>
      <c r="B488" s="12" t="s">
        <v>2437</v>
      </c>
      <c r="C488" s="12" t="s">
        <v>2420</v>
      </c>
      <c r="D488" s="12" t="s">
        <v>1728</v>
      </c>
      <c r="E488" s="12" t="s">
        <v>1731</v>
      </c>
      <c r="F488" s="27">
        <v>43910.0</v>
      </c>
      <c r="G488" s="12" t="s">
        <v>2622</v>
      </c>
      <c r="H488" s="29">
        <v>0.625</v>
      </c>
      <c r="I488" s="26">
        <v>43910.66666666667</v>
      </c>
      <c r="J488" s="12" t="s">
        <v>1658</v>
      </c>
      <c r="L488" s="12" t="s">
        <v>2479</v>
      </c>
      <c r="M488" s="12" t="s">
        <v>1706</v>
      </c>
      <c r="N488" s="12" t="s">
        <v>2452</v>
      </c>
      <c r="O488" s="12" t="s">
        <v>2395</v>
      </c>
      <c r="P488" s="12" t="s">
        <v>2474</v>
      </c>
      <c r="AE488" s="29">
        <v>0.5104166666642413</v>
      </c>
    </row>
    <row r="489">
      <c r="A489" s="26">
        <v>43910.67200489584</v>
      </c>
      <c r="B489" s="12" t="s">
        <v>2437</v>
      </c>
      <c r="C489" s="12" t="s">
        <v>2420</v>
      </c>
      <c r="D489" s="12" t="s">
        <v>1916</v>
      </c>
      <c r="E489" s="12" t="s">
        <v>2190</v>
      </c>
      <c r="F489" s="27">
        <v>43910.0</v>
      </c>
      <c r="G489" s="12" t="s">
        <v>2623</v>
      </c>
      <c r="H489" s="29">
        <v>0.75</v>
      </c>
      <c r="I489" s="26">
        <v>43910.77083333333</v>
      </c>
      <c r="J489" s="12" t="s">
        <v>1658</v>
      </c>
      <c r="L489" s="12" t="s">
        <v>2479</v>
      </c>
      <c r="M489" s="12" t="s">
        <v>1706</v>
      </c>
      <c r="N489" s="12" t="s">
        <v>2452</v>
      </c>
      <c r="O489" s="12" t="s">
        <v>2395</v>
      </c>
      <c r="P489" s="12" t="s">
        <v>2474</v>
      </c>
      <c r="AE489" s="29">
        <v>0.6666666666642413</v>
      </c>
    </row>
    <row r="490">
      <c r="A490" s="26">
        <v>43913.44119835648</v>
      </c>
      <c r="B490" s="12" t="s">
        <v>1744</v>
      </c>
      <c r="C490" s="12" t="s">
        <v>2230</v>
      </c>
      <c r="D490" s="12" t="s">
        <v>1916</v>
      </c>
      <c r="E490" s="12" t="s">
        <v>2015</v>
      </c>
      <c r="F490" s="27">
        <v>43913.0</v>
      </c>
      <c r="G490" s="12" t="s">
        <v>2619</v>
      </c>
      <c r="H490" s="29">
        <v>0.5416666666642413</v>
      </c>
      <c r="I490" s="26">
        <v>43913.5625</v>
      </c>
      <c r="J490" s="12" t="s">
        <v>1658</v>
      </c>
      <c r="L490" s="12" t="s">
        <v>1626</v>
      </c>
      <c r="M490" s="12" t="s">
        <v>1706</v>
      </c>
      <c r="N490" s="12" t="s">
        <v>2452</v>
      </c>
      <c r="O490" s="12" t="s">
        <v>1708</v>
      </c>
      <c r="P490" s="12" t="s">
        <v>2474</v>
      </c>
      <c r="AE490" s="29">
        <v>0.4375</v>
      </c>
    </row>
    <row r="491">
      <c r="A491" s="26">
        <v>43913.62654252315</v>
      </c>
      <c r="B491" s="12" t="s">
        <v>1699</v>
      </c>
      <c r="C491" s="12" t="s">
        <v>262</v>
      </c>
      <c r="D491" s="12" t="s">
        <v>1916</v>
      </c>
      <c r="E491" s="12" t="s">
        <v>2015</v>
      </c>
      <c r="F491" s="27">
        <v>43913.0</v>
      </c>
      <c r="G491" s="12" t="s">
        <v>2619</v>
      </c>
      <c r="H491" s="29">
        <v>0.6875</v>
      </c>
      <c r="I491" s="26">
        <v>43913.72916666667</v>
      </c>
      <c r="J491" s="12" t="s">
        <v>1658</v>
      </c>
      <c r="L491" s="12" t="s">
        <v>1626</v>
      </c>
      <c r="M491" s="12" t="s">
        <v>1706</v>
      </c>
      <c r="N491" s="12" t="s">
        <v>2452</v>
      </c>
      <c r="O491" s="12" t="s">
        <v>1708</v>
      </c>
      <c r="P491" s="12" t="s">
        <v>2474</v>
      </c>
      <c r="AE491" s="29">
        <v>0.625</v>
      </c>
    </row>
    <row r="492">
      <c r="A492" s="26">
        <v>43914.42500164352</v>
      </c>
      <c r="B492" s="12" t="s">
        <v>1744</v>
      </c>
      <c r="C492" s="12" t="s">
        <v>262</v>
      </c>
      <c r="D492" s="12" t="s">
        <v>1916</v>
      </c>
      <c r="E492" s="12" t="s">
        <v>2248</v>
      </c>
      <c r="F492" s="27">
        <v>43914.0</v>
      </c>
      <c r="G492" s="12" t="s">
        <v>2417</v>
      </c>
      <c r="H492" s="29">
        <v>0.5416666666642413</v>
      </c>
      <c r="I492" s="26">
        <v>43914.5625</v>
      </c>
      <c r="J492" s="12" t="s">
        <v>1658</v>
      </c>
      <c r="L492" s="12" t="s">
        <v>1626</v>
      </c>
      <c r="M492" s="12" t="s">
        <v>1706</v>
      </c>
      <c r="N492" s="12" t="s">
        <v>2452</v>
      </c>
      <c r="O492" s="12" t="s">
        <v>1708</v>
      </c>
      <c r="P492" s="12" t="s">
        <v>2474</v>
      </c>
      <c r="AE492" s="29">
        <v>0.42708333333575865</v>
      </c>
    </row>
    <row r="493">
      <c r="A493" s="26">
        <v>43914.65506585648</v>
      </c>
      <c r="B493" s="12" t="s">
        <v>1744</v>
      </c>
      <c r="C493" s="12" t="s">
        <v>2230</v>
      </c>
      <c r="D493" s="12" t="s">
        <v>1916</v>
      </c>
      <c r="E493" s="12" t="s">
        <v>2624</v>
      </c>
      <c r="F493" s="27">
        <v>43914.0</v>
      </c>
      <c r="G493" s="12" t="s">
        <v>2417</v>
      </c>
      <c r="H493" s="29">
        <v>0.7291666666642413</v>
      </c>
      <c r="I493" s="26">
        <v>43914.75</v>
      </c>
      <c r="J493" s="12" t="s">
        <v>1658</v>
      </c>
      <c r="L493" s="12" t="s">
        <v>1626</v>
      </c>
      <c r="M493" s="12" t="s">
        <v>1706</v>
      </c>
      <c r="N493" s="12" t="s">
        <v>2452</v>
      </c>
      <c r="O493" s="12" t="s">
        <v>1708</v>
      </c>
      <c r="P493" s="12" t="s">
        <v>2474</v>
      </c>
      <c r="AE493" s="29">
        <v>0.15277777778101154</v>
      </c>
    </row>
    <row r="494">
      <c r="A494" s="26">
        <v>43915.32093909722</v>
      </c>
      <c r="B494" s="12" t="s">
        <v>1699</v>
      </c>
      <c r="C494" s="12" t="s">
        <v>1710</v>
      </c>
      <c r="D494" s="12" t="s">
        <v>1916</v>
      </c>
      <c r="E494" s="12" t="s">
        <v>1623</v>
      </c>
      <c r="F494" s="27">
        <v>43915.0</v>
      </c>
      <c r="G494" s="12" t="s">
        <v>2625</v>
      </c>
      <c r="H494" s="29">
        <v>0.5</v>
      </c>
      <c r="I494" s="26">
        <v>43915.52083333333</v>
      </c>
      <c r="J494" s="12" t="s">
        <v>1658</v>
      </c>
      <c r="L494" s="12" t="s">
        <v>1626</v>
      </c>
      <c r="M494" s="12" t="s">
        <v>1706</v>
      </c>
      <c r="N494" s="12" t="s">
        <v>2452</v>
      </c>
      <c r="O494" s="12" t="s">
        <v>1708</v>
      </c>
      <c r="P494" s="12" t="s">
        <v>2474</v>
      </c>
      <c r="AE494" s="29">
        <v>0.33333333333575865</v>
      </c>
    </row>
    <row r="495">
      <c r="A495" s="26">
        <v>43915.35615208333</v>
      </c>
      <c r="B495" s="12" t="s">
        <v>1797</v>
      </c>
      <c r="C495" s="12" t="s">
        <v>2047</v>
      </c>
      <c r="D495" s="12" t="s">
        <v>1916</v>
      </c>
      <c r="E495" s="12" t="s">
        <v>1809</v>
      </c>
      <c r="F495" s="27">
        <v>43915.0</v>
      </c>
      <c r="G495" s="12" t="s">
        <v>1792</v>
      </c>
      <c r="H495" s="29">
        <v>0.625</v>
      </c>
      <c r="I495" s="26">
        <v>43915.70833333333</v>
      </c>
      <c r="J495" s="12" t="s">
        <v>1704</v>
      </c>
      <c r="L495" s="12" t="s">
        <v>1720</v>
      </c>
      <c r="M495" s="12" t="s">
        <v>1918</v>
      </c>
      <c r="N495" s="12" t="s">
        <v>2452</v>
      </c>
      <c r="O495" s="12" t="s">
        <v>1717</v>
      </c>
      <c r="P495" s="12" t="s">
        <v>2474</v>
      </c>
      <c r="AE495" s="29">
        <v>0.36458333333575865</v>
      </c>
    </row>
    <row r="496">
      <c r="A496" s="26">
        <v>43916.33850557871</v>
      </c>
      <c r="B496" s="12" t="s">
        <v>1744</v>
      </c>
      <c r="C496" s="12" t="s">
        <v>262</v>
      </c>
      <c r="D496" s="12" t="s">
        <v>1916</v>
      </c>
      <c r="E496" s="12" t="s">
        <v>2567</v>
      </c>
      <c r="F496" s="27">
        <v>43916.0</v>
      </c>
      <c r="G496" s="12" t="s">
        <v>1637</v>
      </c>
      <c r="H496" s="29">
        <v>0.6458333333357587</v>
      </c>
      <c r="I496" s="26">
        <v>43916.66666666667</v>
      </c>
      <c r="J496" s="12" t="s">
        <v>1658</v>
      </c>
      <c r="L496" s="12" t="s">
        <v>1626</v>
      </c>
      <c r="M496" s="12" t="s">
        <v>1706</v>
      </c>
      <c r="N496" s="12" t="s">
        <v>2452</v>
      </c>
      <c r="O496" s="12" t="s">
        <v>1708</v>
      </c>
      <c r="P496" s="12" t="s">
        <v>2474</v>
      </c>
      <c r="AE496" s="29">
        <v>0.375</v>
      </c>
    </row>
    <row r="497">
      <c r="A497" s="26">
        <v>43922.27999945602</v>
      </c>
      <c r="B497" s="12" t="s">
        <v>1699</v>
      </c>
      <c r="C497" s="12" t="s">
        <v>2389</v>
      </c>
      <c r="D497" s="12" t="s">
        <v>1916</v>
      </c>
      <c r="E497" s="12" t="s">
        <v>1623</v>
      </c>
      <c r="F497" s="27">
        <v>43922.0</v>
      </c>
      <c r="G497" s="12" t="s">
        <v>1823</v>
      </c>
      <c r="H497" s="29">
        <v>0.6666666666642413</v>
      </c>
      <c r="I497" s="26">
        <v>43922.6875</v>
      </c>
      <c r="J497" s="12" t="s">
        <v>1658</v>
      </c>
      <c r="L497" s="12" t="s">
        <v>1626</v>
      </c>
      <c r="M497" s="12" t="s">
        <v>1706</v>
      </c>
      <c r="N497" s="12" t="s">
        <v>2626</v>
      </c>
      <c r="O497" s="12" t="s">
        <v>1708</v>
      </c>
      <c r="P497" s="12" t="s">
        <v>2474</v>
      </c>
      <c r="AE497" s="29">
        <v>0.29166666666424135</v>
      </c>
    </row>
    <row r="498">
      <c r="A498" s="26">
        <v>43923.45609358796</v>
      </c>
      <c r="B498" s="12" t="s">
        <v>1744</v>
      </c>
      <c r="C498" s="12" t="s">
        <v>262</v>
      </c>
      <c r="D498" s="12" t="s">
        <v>2627</v>
      </c>
      <c r="E498" s="12" t="s">
        <v>2248</v>
      </c>
      <c r="F498" s="27">
        <v>43923.0</v>
      </c>
      <c r="G498" s="12" t="s">
        <v>1967</v>
      </c>
      <c r="H498" s="29">
        <v>0.6666666666642413</v>
      </c>
      <c r="I498" s="26">
        <v>43923.6875</v>
      </c>
      <c r="J498" s="12" t="s">
        <v>1704</v>
      </c>
      <c r="L498" s="12" t="s">
        <v>1626</v>
      </c>
      <c r="M498" s="12" t="s">
        <v>1706</v>
      </c>
      <c r="N498" s="12" t="s">
        <v>1817</v>
      </c>
      <c r="O498" s="12" t="s">
        <v>1708</v>
      </c>
      <c r="P498" s="12" t="s">
        <v>2474</v>
      </c>
      <c r="AE498" s="29">
        <v>0.45833333333575865</v>
      </c>
    </row>
    <row r="499">
      <c r="A499" s="26">
        <v>43928.3972194213</v>
      </c>
      <c r="B499" s="12" t="s">
        <v>1797</v>
      </c>
      <c r="C499" s="12" t="s">
        <v>2011</v>
      </c>
      <c r="D499" s="12" t="s">
        <v>1916</v>
      </c>
      <c r="E499" s="12" t="s">
        <v>1809</v>
      </c>
      <c r="F499" s="27">
        <v>43928.0</v>
      </c>
      <c r="G499" s="12" t="s">
        <v>2628</v>
      </c>
      <c r="H499" s="29">
        <v>0.5625</v>
      </c>
      <c r="I499" s="26">
        <v>43928.59375</v>
      </c>
      <c r="J499" s="12" t="s">
        <v>1658</v>
      </c>
      <c r="L499" s="12" t="s">
        <v>1720</v>
      </c>
      <c r="M499" s="12" t="s">
        <v>1918</v>
      </c>
      <c r="O499" s="12" t="s">
        <v>1802</v>
      </c>
      <c r="P499" s="12" t="s">
        <v>2474</v>
      </c>
      <c r="AE499" s="29">
        <v>0.39583333333575865</v>
      </c>
    </row>
    <row r="500">
      <c r="A500" s="26">
        <v>43931.28224122685</v>
      </c>
      <c r="B500" s="12" t="s">
        <v>1717</v>
      </c>
      <c r="C500" s="12" t="s">
        <v>1718</v>
      </c>
      <c r="D500" s="12" t="s">
        <v>1916</v>
      </c>
      <c r="E500" s="12" t="s">
        <v>2435</v>
      </c>
      <c r="F500" s="27">
        <v>43931.0</v>
      </c>
      <c r="G500" s="12" t="s">
        <v>2436</v>
      </c>
      <c r="H500" s="29">
        <v>0.5625</v>
      </c>
      <c r="I500" s="26">
        <v>43931.61458333333</v>
      </c>
      <c r="J500" s="12" t="s">
        <v>1658</v>
      </c>
      <c r="L500" s="12" t="s">
        <v>1720</v>
      </c>
      <c r="M500" s="12" t="s">
        <v>1918</v>
      </c>
      <c r="O500" s="12" t="s">
        <v>2095</v>
      </c>
      <c r="P500" s="12" t="s">
        <v>2474</v>
      </c>
      <c r="AE500" s="29">
        <v>0.34375</v>
      </c>
    </row>
    <row r="501">
      <c r="A501" s="26">
        <v>43934.376948819445</v>
      </c>
      <c r="B501" s="12" t="s">
        <v>1797</v>
      </c>
      <c r="C501" s="12" t="s">
        <v>2011</v>
      </c>
      <c r="D501" s="12" t="s">
        <v>1916</v>
      </c>
      <c r="E501" s="12" t="s">
        <v>2015</v>
      </c>
      <c r="F501" s="27">
        <v>43934.0</v>
      </c>
      <c r="G501" s="12" t="s">
        <v>2629</v>
      </c>
      <c r="H501" s="29">
        <v>0.5833333333357587</v>
      </c>
      <c r="I501" s="26">
        <v>43934.66666666667</v>
      </c>
      <c r="J501" s="12" t="s">
        <v>1658</v>
      </c>
      <c r="L501" s="12" t="s">
        <v>1720</v>
      </c>
      <c r="M501" s="12" t="s">
        <v>1918</v>
      </c>
      <c r="O501" s="12" t="s">
        <v>2072</v>
      </c>
      <c r="P501" s="12" t="s">
        <v>2474</v>
      </c>
      <c r="AE501" s="29">
        <v>0.375</v>
      </c>
    </row>
    <row r="502">
      <c r="A502" s="26">
        <v>43937.39392268518</v>
      </c>
      <c r="B502" s="12" t="s">
        <v>1797</v>
      </c>
      <c r="C502" s="12" t="s">
        <v>2011</v>
      </c>
      <c r="D502" s="12" t="s">
        <v>1916</v>
      </c>
      <c r="E502" s="12" t="s">
        <v>1745</v>
      </c>
      <c r="F502" s="27">
        <v>43937.0</v>
      </c>
      <c r="G502" s="12" t="s">
        <v>2620</v>
      </c>
      <c r="H502" s="29">
        <v>0.5833333333357587</v>
      </c>
      <c r="I502" s="26">
        <v>43937.64583333333</v>
      </c>
      <c r="J502" s="12" t="s">
        <v>1658</v>
      </c>
      <c r="L502" s="12" t="s">
        <v>1720</v>
      </c>
      <c r="M502" s="12" t="s">
        <v>1918</v>
      </c>
      <c r="O502" s="12" t="s">
        <v>2072</v>
      </c>
      <c r="P502" s="12" t="s">
        <v>2474</v>
      </c>
      <c r="AE502" s="29">
        <v>0.39583333333575865</v>
      </c>
    </row>
    <row r="503">
      <c r="A503" s="26">
        <v>43938.44964288194</v>
      </c>
      <c r="B503" s="12" t="s">
        <v>1717</v>
      </c>
      <c r="C503" s="12" t="s">
        <v>2312</v>
      </c>
      <c r="D503" s="12" t="s">
        <v>1916</v>
      </c>
      <c r="E503" s="12" t="s">
        <v>2443</v>
      </c>
      <c r="F503" s="27">
        <v>43938.0</v>
      </c>
      <c r="G503" s="12" t="s">
        <v>2630</v>
      </c>
      <c r="H503" s="29">
        <v>0.65625</v>
      </c>
      <c r="I503" s="26">
        <v>43938.67708333333</v>
      </c>
      <c r="J503" s="12" t="s">
        <v>1658</v>
      </c>
      <c r="L503" s="12" t="s">
        <v>1720</v>
      </c>
      <c r="M503" s="12" t="s">
        <v>1918</v>
      </c>
      <c r="O503" s="12" t="s">
        <v>2274</v>
      </c>
      <c r="P503" s="12" t="s">
        <v>2474</v>
      </c>
      <c r="AE503" s="29">
        <v>0.44791666666424135</v>
      </c>
    </row>
    <row r="504">
      <c r="A504" s="26">
        <v>43943.34547168981</v>
      </c>
      <c r="B504" s="12" t="s">
        <v>1717</v>
      </c>
      <c r="C504" s="12" t="s">
        <v>1718</v>
      </c>
      <c r="D504" s="12" t="s">
        <v>1916</v>
      </c>
      <c r="E504" s="12" t="s">
        <v>2162</v>
      </c>
      <c r="F504" s="27">
        <v>43943.0</v>
      </c>
      <c r="G504" s="12" t="s">
        <v>2631</v>
      </c>
      <c r="H504" s="29">
        <v>0.5847222222218988</v>
      </c>
      <c r="I504" s="26">
        <v>43943.60416666667</v>
      </c>
      <c r="J504" s="12" t="s">
        <v>1704</v>
      </c>
      <c r="L504" s="12" t="s">
        <v>1720</v>
      </c>
      <c r="M504" s="12" t="s">
        <v>1781</v>
      </c>
      <c r="N504" s="12" t="s">
        <v>2452</v>
      </c>
      <c r="O504" s="12" t="s">
        <v>2095</v>
      </c>
      <c r="P504" s="12" t="s">
        <v>2474</v>
      </c>
      <c r="AE504" s="29">
        <v>0.3798611111124046</v>
      </c>
    </row>
    <row r="505">
      <c r="A505" s="26">
        <v>43950.3863384375</v>
      </c>
      <c r="B505" s="12" t="s">
        <v>1797</v>
      </c>
      <c r="C505" s="12" t="s">
        <v>2011</v>
      </c>
      <c r="D505" s="12" t="s">
        <v>1622</v>
      </c>
      <c r="E505" s="12" t="s">
        <v>2632</v>
      </c>
      <c r="F505" s="27">
        <v>43950.0</v>
      </c>
      <c r="G505" s="12" t="s">
        <v>2542</v>
      </c>
      <c r="H505" s="29">
        <v>0.625</v>
      </c>
      <c r="I505" s="26">
        <v>43950.6875</v>
      </c>
      <c r="J505" s="12" t="s">
        <v>1658</v>
      </c>
      <c r="L505" s="12" t="s">
        <v>1720</v>
      </c>
      <c r="M505" s="12" t="s">
        <v>1918</v>
      </c>
      <c r="O505" s="12" t="s">
        <v>2072</v>
      </c>
      <c r="P505" s="12" t="s">
        <v>2474</v>
      </c>
      <c r="AE505" s="29">
        <v>0.29166666666424135</v>
      </c>
    </row>
    <row r="506">
      <c r="A506" s="26">
        <v>43950.54879920139</v>
      </c>
      <c r="B506" s="12" t="s">
        <v>1797</v>
      </c>
      <c r="C506" s="12" t="s">
        <v>2011</v>
      </c>
      <c r="D506" s="12" t="s">
        <v>1622</v>
      </c>
      <c r="E506" s="12" t="s">
        <v>2632</v>
      </c>
      <c r="F506" s="27">
        <v>43950.0</v>
      </c>
      <c r="G506" s="12" t="s">
        <v>2542</v>
      </c>
      <c r="H506" s="29">
        <v>0.625</v>
      </c>
      <c r="I506" s="26">
        <v>43950.6875</v>
      </c>
      <c r="J506" s="12" t="s">
        <v>1658</v>
      </c>
      <c r="L506" s="12" t="s">
        <v>1720</v>
      </c>
      <c r="M506" s="12" t="s">
        <v>1918</v>
      </c>
      <c r="O506" s="12" t="s">
        <v>2072</v>
      </c>
      <c r="P506" s="12" t="s">
        <v>2474</v>
      </c>
      <c r="AE506" s="29">
        <v>0.29166666666424135</v>
      </c>
    </row>
    <row r="507">
      <c r="A507" s="26">
        <v>43952.33900774305</v>
      </c>
      <c r="B507" s="12" t="s">
        <v>1699</v>
      </c>
      <c r="C507" s="12" t="s">
        <v>2230</v>
      </c>
      <c r="D507" s="12" t="s">
        <v>1916</v>
      </c>
      <c r="E507" s="12" t="s">
        <v>1731</v>
      </c>
      <c r="F507" s="27">
        <v>43952.0</v>
      </c>
      <c r="G507" s="12" t="s">
        <v>2262</v>
      </c>
      <c r="H507" s="29">
        <v>0.6666666666642413</v>
      </c>
      <c r="I507" s="26">
        <v>43952.6875</v>
      </c>
      <c r="J507" s="12" t="s">
        <v>1658</v>
      </c>
      <c r="L507" s="12" t="s">
        <v>1626</v>
      </c>
      <c r="M507" s="12" t="s">
        <v>1706</v>
      </c>
      <c r="N507" s="12" t="s">
        <v>2571</v>
      </c>
      <c r="O507" s="12" t="s">
        <v>1708</v>
      </c>
      <c r="P507" s="12" t="s">
        <v>2474</v>
      </c>
      <c r="AE507" s="29">
        <v>0.29166666666424135</v>
      </c>
    </row>
    <row r="508">
      <c r="A508" s="26">
        <v>43956.31469302083</v>
      </c>
      <c r="B508" s="12" t="s">
        <v>1717</v>
      </c>
      <c r="C508" s="12" t="s">
        <v>1775</v>
      </c>
      <c r="D508" s="12" t="s">
        <v>1916</v>
      </c>
      <c r="E508" s="12" t="s">
        <v>2162</v>
      </c>
      <c r="F508" s="27">
        <v>43956.0</v>
      </c>
      <c r="G508" s="12" t="s">
        <v>1792</v>
      </c>
      <c r="H508" s="29">
        <v>0.5833333333357587</v>
      </c>
      <c r="I508" s="26">
        <v>43956.60416666667</v>
      </c>
      <c r="J508" s="12" t="s">
        <v>1704</v>
      </c>
      <c r="L508" s="12" t="s">
        <v>1720</v>
      </c>
      <c r="M508" s="12" t="s">
        <v>1781</v>
      </c>
      <c r="N508" s="12" t="s">
        <v>2452</v>
      </c>
      <c r="O508" s="12" t="s">
        <v>2095</v>
      </c>
      <c r="P508" s="12" t="s">
        <v>2474</v>
      </c>
      <c r="AE508" s="29">
        <v>0.32638888889050577</v>
      </c>
    </row>
    <row r="509">
      <c r="A509" s="26">
        <v>43965.47903462963</v>
      </c>
      <c r="B509" s="12" t="s">
        <v>2437</v>
      </c>
      <c r="C509" s="12" t="s">
        <v>2420</v>
      </c>
      <c r="D509" s="12" t="s">
        <v>1916</v>
      </c>
      <c r="E509" s="12" t="s">
        <v>2633</v>
      </c>
      <c r="F509" s="27">
        <v>43965.0</v>
      </c>
      <c r="G509" s="12" t="s">
        <v>2417</v>
      </c>
      <c r="H509" s="29">
        <v>0.6458333333357587</v>
      </c>
      <c r="I509" s="26">
        <v>43965.6875</v>
      </c>
      <c r="J509" s="12" t="s">
        <v>1704</v>
      </c>
      <c r="L509" s="12" t="s">
        <v>1626</v>
      </c>
      <c r="M509" s="12" t="s">
        <v>1706</v>
      </c>
      <c r="N509" s="12" t="s">
        <v>2452</v>
      </c>
      <c r="O509" s="12" t="s">
        <v>1708</v>
      </c>
      <c r="P509" s="12" t="s">
        <v>2474</v>
      </c>
      <c r="AE509" s="29">
        <v>0.47916666666424135</v>
      </c>
    </row>
    <row r="510">
      <c r="A510" s="26">
        <v>43966.42435864583</v>
      </c>
      <c r="B510" s="12" t="s">
        <v>1699</v>
      </c>
      <c r="C510" s="12" t="s">
        <v>2230</v>
      </c>
      <c r="D510" s="12" t="s">
        <v>1916</v>
      </c>
      <c r="E510" s="12" t="s">
        <v>1964</v>
      </c>
      <c r="F510" s="27">
        <v>43966.0</v>
      </c>
      <c r="G510" s="12" t="s">
        <v>2634</v>
      </c>
      <c r="H510" s="29">
        <v>0.6666666666642413</v>
      </c>
      <c r="I510" s="26">
        <v>43966.70833333333</v>
      </c>
      <c r="J510" s="12" t="s">
        <v>1704</v>
      </c>
      <c r="L510" s="12" t="s">
        <v>1626</v>
      </c>
      <c r="M510" s="12" t="s">
        <v>1706</v>
      </c>
      <c r="N510" s="12" t="s">
        <v>2321</v>
      </c>
      <c r="O510" s="12" t="s">
        <v>1708</v>
      </c>
      <c r="P510" s="12" t="s">
        <v>2474</v>
      </c>
      <c r="AE510" s="29">
        <v>0.39583333333575865</v>
      </c>
    </row>
    <row r="511">
      <c r="A511" s="26">
        <v>43969.31078939815</v>
      </c>
      <c r="B511" s="12" t="s">
        <v>1797</v>
      </c>
      <c r="C511" s="12" t="s">
        <v>2047</v>
      </c>
      <c r="D511" s="12" t="s">
        <v>1916</v>
      </c>
      <c r="E511" s="12" t="s">
        <v>2635</v>
      </c>
      <c r="F511" s="27">
        <v>43969.0</v>
      </c>
      <c r="G511" s="12" t="s">
        <v>2636</v>
      </c>
      <c r="H511" s="29">
        <v>0.375</v>
      </c>
      <c r="I511" s="26">
        <v>43969.40625</v>
      </c>
      <c r="J511" s="12" t="s">
        <v>2637</v>
      </c>
      <c r="L511" s="12" t="s">
        <v>1720</v>
      </c>
      <c r="M511" s="12" t="s">
        <v>1801</v>
      </c>
      <c r="N511" s="12" t="s">
        <v>2638</v>
      </c>
      <c r="O511" s="12" t="s">
        <v>1802</v>
      </c>
      <c r="P511" s="12" t="s">
        <v>2474</v>
      </c>
      <c r="AE511" s="29">
        <v>0.3055555555547471</v>
      </c>
    </row>
    <row r="512">
      <c r="A512" s="26">
        <v>43970.341321921296</v>
      </c>
      <c r="B512" s="12" t="s">
        <v>1797</v>
      </c>
      <c r="C512" s="12" t="s">
        <v>2047</v>
      </c>
      <c r="D512" s="12" t="s">
        <v>1916</v>
      </c>
      <c r="E512" s="12" t="s">
        <v>1809</v>
      </c>
      <c r="F512" s="27">
        <v>43970.0</v>
      </c>
      <c r="G512" s="12" t="s">
        <v>2639</v>
      </c>
      <c r="H512" s="29">
        <v>0.5416666666642413</v>
      </c>
      <c r="I512" s="26">
        <v>43970.58333333333</v>
      </c>
      <c r="J512" s="12" t="s">
        <v>1693</v>
      </c>
      <c r="L512" s="12" t="s">
        <v>1720</v>
      </c>
      <c r="M512" s="12" t="s">
        <v>1918</v>
      </c>
      <c r="O512" s="12" t="s">
        <v>2072</v>
      </c>
      <c r="P512" s="12" t="s">
        <v>2474</v>
      </c>
      <c r="AE512" s="29">
        <v>0.34375</v>
      </c>
    </row>
    <row r="513">
      <c r="A513" s="26">
        <v>43970.41955553241</v>
      </c>
      <c r="B513" s="12" t="s">
        <v>1699</v>
      </c>
      <c r="C513" s="12" t="s">
        <v>1710</v>
      </c>
      <c r="D513" s="12" t="s">
        <v>1916</v>
      </c>
      <c r="E513" s="12" t="s">
        <v>1623</v>
      </c>
      <c r="F513" s="27">
        <v>43970.0</v>
      </c>
      <c r="G513" s="12" t="s">
        <v>2463</v>
      </c>
      <c r="H513" s="29">
        <v>0.7083333333357587</v>
      </c>
      <c r="I513" s="26">
        <v>43970.72916666667</v>
      </c>
      <c r="J513" s="12" t="s">
        <v>1704</v>
      </c>
      <c r="L513" s="12" t="s">
        <v>1626</v>
      </c>
      <c r="M513" s="12" t="s">
        <v>1706</v>
      </c>
      <c r="N513" s="12" t="s">
        <v>2452</v>
      </c>
      <c r="O513" s="12" t="s">
        <v>1708</v>
      </c>
      <c r="P513" s="12" t="s">
        <v>2474</v>
      </c>
      <c r="AE513" s="29">
        <v>0.45833333333575865</v>
      </c>
    </row>
    <row r="514">
      <c r="A514" s="26">
        <v>43971.352610347225</v>
      </c>
      <c r="B514" s="12" t="s">
        <v>1717</v>
      </c>
      <c r="C514" s="12" t="s">
        <v>1790</v>
      </c>
      <c r="D514" s="12" t="s">
        <v>1916</v>
      </c>
      <c r="E514" s="12" t="s">
        <v>2640</v>
      </c>
      <c r="F514" s="27">
        <v>43971.0</v>
      </c>
      <c r="G514" s="12" t="s">
        <v>1746</v>
      </c>
      <c r="H514" s="29">
        <v>0.42708333333575865</v>
      </c>
      <c r="I514" s="26">
        <v>43971.4375</v>
      </c>
      <c r="J514" s="12" t="s">
        <v>1730</v>
      </c>
      <c r="L514" s="12" t="s">
        <v>1720</v>
      </c>
      <c r="M514" s="12" t="s">
        <v>1781</v>
      </c>
      <c r="N514" s="12" t="s">
        <v>2088</v>
      </c>
      <c r="O514" s="12" t="s">
        <v>2095</v>
      </c>
      <c r="P514" s="12" t="s">
        <v>2474</v>
      </c>
      <c r="AE514" s="29">
        <v>0.36111111110949423</v>
      </c>
    </row>
    <row r="515">
      <c r="A515" s="26">
        <v>43979.303783958334</v>
      </c>
      <c r="B515" s="12" t="s">
        <v>1699</v>
      </c>
      <c r="C515" s="12" t="s">
        <v>2230</v>
      </c>
      <c r="D515" s="12" t="s">
        <v>1916</v>
      </c>
      <c r="E515" s="12" t="s">
        <v>1623</v>
      </c>
      <c r="F515" s="27">
        <v>43979.0</v>
      </c>
      <c r="G515" s="12" t="s">
        <v>2620</v>
      </c>
      <c r="H515" s="29">
        <v>0.5833333333357587</v>
      </c>
      <c r="I515" s="26">
        <v>43979.60416666667</v>
      </c>
      <c r="J515" s="12" t="s">
        <v>1704</v>
      </c>
      <c r="L515" s="12" t="s">
        <v>1626</v>
      </c>
      <c r="M515" s="12" t="s">
        <v>1706</v>
      </c>
      <c r="N515" s="12" t="s">
        <v>2452</v>
      </c>
      <c r="O515" s="12" t="s">
        <v>1708</v>
      </c>
      <c r="P515" s="12" t="s">
        <v>2474</v>
      </c>
      <c r="AE515" s="29">
        <v>0.30208333333575865</v>
      </c>
    </row>
    <row r="516">
      <c r="A516" s="26">
        <v>43983.28341422454</v>
      </c>
      <c r="B516" s="12" t="s">
        <v>1744</v>
      </c>
      <c r="C516" s="12" t="s">
        <v>2389</v>
      </c>
      <c r="D516" s="12" t="s">
        <v>1916</v>
      </c>
      <c r="E516" s="12" t="s">
        <v>1809</v>
      </c>
      <c r="F516" s="27">
        <v>43983.0</v>
      </c>
      <c r="G516" s="12" t="s">
        <v>2333</v>
      </c>
      <c r="H516" s="29">
        <v>0.5625</v>
      </c>
      <c r="I516" s="26">
        <v>43983.58333333333</v>
      </c>
      <c r="J516" s="12" t="s">
        <v>1658</v>
      </c>
      <c r="L516" s="12" t="s">
        <v>1626</v>
      </c>
      <c r="M516" s="12" t="s">
        <v>1706</v>
      </c>
      <c r="N516" s="12" t="s">
        <v>2452</v>
      </c>
      <c r="O516" s="12" t="s">
        <v>1708</v>
      </c>
      <c r="P516" s="12" t="s">
        <v>2474</v>
      </c>
      <c r="AE516" s="29">
        <v>0.3125</v>
      </c>
    </row>
    <row r="517">
      <c r="A517" s="26">
        <v>43985.33618493055</v>
      </c>
      <c r="B517" s="12" t="s">
        <v>1717</v>
      </c>
      <c r="C517" s="12" t="s">
        <v>1718</v>
      </c>
      <c r="D517" s="12" t="s">
        <v>1916</v>
      </c>
      <c r="E517" s="12" t="s">
        <v>2162</v>
      </c>
      <c r="F517" s="27">
        <v>43984.0</v>
      </c>
      <c r="G517" s="12" t="s">
        <v>1792</v>
      </c>
      <c r="H517" s="29">
        <v>0.53125</v>
      </c>
      <c r="I517" s="26">
        <v>43984.54166666667</v>
      </c>
      <c r="J517" s="12" t="s">
        <v>1704</v>
      </c>
      <c r="L517" s="12" t="s">
        <v>1720</v>
      </c>
      <c r="M517" s="12" t="s">
        <v>1781</v>
      </c>
      <c r="N517" s="12" t="s">
        <v>2452</v>
      </c>
      <c r="O517" s="12" t="s">
        <v>1756</v>
      </c>
      <c r="P517" s="12" t="s">
        <v>2474</v>
      </c>
      <c r="AE517" s="29">
        <v>0.29861111110949423</v>
      </c>
    </row>
    <row r="518">
      <c r="A518" s="26">
        <v>43985.34858719907</v>
      </c>
      <c r="B518" s="12" t="s">
        <v>1797</v>
      </c>
      <c r="C518" s="12" t="s">
        <v>2047</v>
      </c>
      <c r="D518" s="12" t="s">
        <v>1916</v>
      </c>
      <c r="E518" s="12" t="s">
        <v>2547</v>
      </c>
      <c r="F518" s="27">
        <v>43985.0</v>
      </c>
      <c r="G518" s="12" t="s">
        <v>2641</v>
      </c>
      <c r="H518" s="29">
        <v>0.4375</v>
      </c>
      <c r="I518" s="26">
        <v>43985.45833333333</v>
      </c>
      <c r="J518" s="12" t="s">
        <v>2642</v>
      </c>
      <c r="L518" s="12" t="s">
        <v>1720</v>
      </c>
      <c r="M518" s="12" t="s">
        <v>1801</v>
      </c>
      <c r="N518" s="12" t="s">
        <v>2088</v>
      </c>
      <c r="O518" s="12" t="s">
        <v>1802</v>
      </c>
      <c r="P518" s="12" t="s">
        <v>2474</v>
      </c>
      <c r="AE518" s="29">
        <v>0.34722222221898846</v>
      </c>
    </row>
    <row r="519">
      <c r="A519" s="26">
        <v>43985.37677004629</v>
      </c>
      <c r="B519" s="12" t="s">
        <v>1699</v>
      </c>
      <c r="C519" s="12" t="s">
        <v>2389</v>
      </c>
      <c r="D519" s="12" t="s">
        <v>1916</v>
      </c>
      <c r="E519" s="12" t="s">
        <v>2643</v>
      </c>
      <c r="F519" s="27">
        <v>43985.0</v>
      </c>
      <c r="G519" s="12" t="s">
        <v>2644</v>
      </c>
      <c r="H519" s="29">
        <v>0.7083333333357587</v>
      </c>
      <c r="I519" s="26">
        <v>43985.72916666667</v>
      </c>
      <c r="J519" s="12" t="s">
        <v>1658</v>
      </c>
      <c r="L519" s="12" t="s">
        <v>1626</v>
      </c>
      <c r="M519" s="12" t="s">
        <v>1706</v>
      </c>
      <c r="N519" s="12" t="s">
        <v>2452</v>
      </c>
      <c r="O519" s="12" t="s">
        <v>1708</v>
      </c>
      <c r="P519" s="12" t="s">
        <v>2474</v>
      </c>
      <c r="AE519" s="29">
        <v>0.41666666666424135</v>
      </c>
    </row>
    <row r="520">
      <c r="A520" s="26">
        <v>43994.369997800924</v>
      </c>
      <c r="B520" s="12" t="s">
        <v>1891</v>
      </c>
      <c r="C520" s="12" t="s">
        <v>2445</v>
      </c>
      <c r="D520" s="12" t="s">
        <v>1916</v>
      </c>
      <c r="E520" s="12" t="s">
        <v>2058</v>
      </c>
      <c r="F520" s="27">
        <v>43994.0</v>
      </c>
      <c r="G520" s="12" t="s">
        <v>2645</v>
      </c>
      <c r="H520" s="29">
        <v>0.6041666666642413</v>
      </c>
      <c r="I520" s="26">
        <v>43994.16666666667</v>
      </c>
      <c r="J520" s="12" t="s">
        <v>1658</v>
      </c>
      <c r="L520" s="12" t="s">
        <v>1626</v>
      </c>
      <c r="M520" s="12" t="s">
        <v>1706</v>
      </c>
      <c r="N520" s="12" t="s">
        <v>1817</v>
      </c>
      <c r="O520" s="12" t="s">
        <v>1708</v>
      </c>
      <c r="P520" s="12" t="s">
        <v>2474</v>
      </c>
      <c r="AE520" s="29">
        <v>0.35416666666424135</v>
      </c>
    </row>
    <row r="521">
      <c r="A521" s="26">
        <v>43995.28098571759</v>
      </c>
      <c r="B521" s="12" t="s">
        <v>1891</v>
      </c>
      <c r="C521" s="12" t="s">
        <v>2445</v>
      </c>
      <c r="D521" s="12" t="s">
        <v>1916</v>
      </c>
      <c r="E521" s="12" t="s">
        <v>2058</v>
      </c>
      <c r="F521" s="27">
        <v>43994.0</v>
      </c>
      <c r="G521" s="12" t="s">
        <v>2645</v>
      </c>
      <c r="H521" s="29">
        <v>0.6041666666642413</v>
      </c>
      <c r="I521" s="26">
        <v>43994.16666666667</v>
      </c>
      <c r="J521" s="12" t="s">
        <v>1658</v>
      </c>
      <c r="L521" s="12" t="s">
        <v>1626</v>
      </c>
      <c r="M521" s="12" t="s">
        <v>1706</v>
      </c>
      <c r="N521" s="12" t="s">
        <v>1817</v>
      </c>
      <c r="O521" s="12" t="s">
        <v>1708</v>
      </c>
      <c r="P521" s="12" t="s">
        <v>2474</v>
      </c>
      <c r="AE521" s="29">
        <v>0.35416666666424135</v>
      </c>
    </row>
    <row r="522">
      <c r="A522" s="26">
        <v>43998.489916122686</v>
      </c>
      <c r="B522" s="12" t="s">
        <v>1744</v>
      </c>
      <c r="C522" s="12" t="s">
        <v>2230</v>
      </c>
      <c r="D522" s="12" t="s">
        <v>1916</v>
      </c>
      <c r="E522" s="12" t="s">
        <v>1714</v>
      </c>
      <c r="F522" s="27">
        <v>43998.0</v>
      </c>
      <c r="G522" s="12" t="s">
        <v>2646</v>
      </c>
      <c r="H522" s="29">
        <v>0.5833333333357587</v>
      </c>
      <c r="I522" s="26">
        <v>43998.625</v>
      </c>
      <c r="J522" s="12" t="s">
        <v>1658</v>
      </c>
      <c r="L522" s="12" t="s">
        <v>1626</v>
      </c>
      <c r="M522" s="12" t="s">
        <v>1706</v>
      </c>
      <c r="N522" s="12" t="s">
        <v>2452</v>
      </c>
      <c r="O522" s="12" t="s">
        <v>1708</v>
      </c>
      <c r="P522" s="12" t="s">
        <v>2474</v>
      </c>
      <c r="AE522" s="29">
        <v>0.47916666666424135</v>
      </c>
    </row>
    <row r="523">
      <c r="A523" s="26">
        <v>43999.29803177083</v>
      </c>
      <c r="B523" s="12" t="s">
        <v>1717</v>
      </c>
      <c r="C523" s="12" t="s">
        <v>1718</v>
      </c>
      <c r="D523" s="12" t="s">
        <v>1916</v>
      </c>
      <c r="E523" s="12" t="s">
        <v>2162</v>
      </c>
      <c r="F523" s="27">
        <v>43999.0</v>
      </c>
      <c r="G523" s="12" t="s">
        <v>1792</v>
      </c>
      <c r="H523" s="29">
        <v>0.6041666666642413</v>
      </c>
      <c r="I523" s="26">
        <v>43999.70486111111</v>
      </c>
      <c r="J523" s="12" t="s">
        <v>1693</v>
      </c>
      <c r="L523" s="12" t="s">
        <v>1720</v>
      </c>
      <c r="M523" s="12" t="s">
        <v>1918</v>
      </c>
      <c r="O523" s="12" t="s">
        <v>2095</v>
      </c>
      <c r="P523" s="12" t="s">
        <v>2474</v>
      </c>
      <c r="AE523" s="29">
        <v>0.32291666666424135</v>
      </c>
    </row>
    <row r="524">
      <c r="A524" s="26">
        <v>43999.30252383102</v>
      </c>
      <c r="B524" s="12" t="s">
        <v>2088</v>
      </c>
      <c r="C524" s="12" t="s">
        <v>2647</v>
      </c>
      <c r="D524" s="12" t="s">
        <v>1958</v>
      </c>
      <c r="E524" s="12" t="s">
        <v>2547</v>
      </c>
      <c r="F524" s="27">
        <v>43999.0</v>
      </c>
      <c r="G524" s="12" t="s">
        <v>1746</v>
      </c>
      <c r="H524" s="29">
        <v>0.375</v>
      </c>
      <c r="I524" s="26">
        <v>43999.38541666667</v>
      </c>
      <c r="J524" s="12" t="s">
        <v>1730</v>
      </c>
      <c r="L524" s="12" t="s">
        <v>2648</v>
      </c>
      <c r="M524" s="12" t="s">
        <v>1634</v>
      </c>
      <c r="O524" s="12" t="s">
        <v>2487</v>
      </c>
      <c r="P524" s="12" t="s">
        <v>2474</v>
      </c>
      <c r="AE524" s="29">
        <v>0.30208333333575865</v>
      </c>
    </row>
    <row r="525">
      <c r="A525" s="26">
        <v>43999.43311388889</v>
      </c>
      <c r="B525" s="12" t="s">
        <v>1744</v>
      </c>
      <c r="C525" s="12" t="s">
        <v>2230</v>
      </c>
      <c r="D525" s="12" t="s">
        <v>1916</v>
      </c>
      <c r="E525" s="12" t="s">
        <v>2649</v>
      </c>
      <c r="F525" s="27">
        <v>43999.0</v>
      </c>
      <c r="G525" s="12" t="s">
        <v>2650</v>
      </c>
      <c r="H525" s="29">
        <v>0.5416666666642413</v>
      </c>
      <c r="I525" s="26">
        <v>43999.54166666667</v>
      </c>
      <c r="J525" s="12" t="s">
        <v>1658</v>
      </c>
      <c r="L525" s="12" t="s">
        <v>1626</v>
      </c>
      <c r="M525" s="12" t="s">
        <v>1706</v>
      </c>
      <c r="N525" s="12" t="s">
        <v>2651</v>
      </c>
      <c r="O525" s="12" t="s">
        <v>1708</v>
      </c>
      <c r="P525" s="12" t="s">
        <v>2474</v>
      </c>
      <c r="AE525" s="29">
        <v>0.42708333333575865</v>
      </c>
    </row>
    <row r="526">
      <c r="A526" s="26">
        <v>43999.636287326386</v>
      </c>
      <c r="B526" s="12" t="s">
        <v>1744</v>
      </c>
      <c r="C526" s="12" t="s">
        <v>2230</v>
      </c>
      <c r="D526" s="12" t="s">
        <v>1916</v>
      </c>
      <c r="E526" s="12" t="s">
        <v>2428</v>
      </c>
      <c r="F526" s="27">
        <v>43999.0</v>
      </c>
      <c r="G526" s="12" t="s">
        <v>2652</v>
      </c>
      <c r="H526" s="29">
        <v>0.7916666666642413</v>
      </c>
      <c r="I526" s="26">
        <v>43999.83333333333</v>
      </c>
      <c r="J526" s="12" t="s">
        <v>1658</v>
      </c>
      <c r="L526" s="12" t="s">
        <v>1626</v>
      </c>
      <c r="M526" s="12" t="s">
        <v>1706</v>
      </c>
      <c r="N526" s="12" t="s">
        <v>2452</v>
      </c>
      <c r="O526" s="12" t="s">
        <v>1708</v>
      </c>
      <c r="P526" s="12" t="s">
        <v>2474</v>
      </c>
      <c r="AE526" s="29">
        <v>0.6354166666642413</v>
      </c>
    </row>
    <row r="527">
      <c r="A527" s="26">
        <v>43999.87118260417</v>
      </c>
      <c r="B527" s="12" t="s">
        <v>2088</v>
      </c>
      <c r="C527" s="12" t="s">
        <v>2647</v>
      </c>
      <c r="D527" s="12" t="s">
        <v>1958</v>
      </c>
      <c r="E527" s="12" t="s">
        <v>2547</v>
      </c>
      <c r="F527" s="27">
        <v>43999.0</v>
      </c>
      <c r="G527" s="12" t="s">
        <v>1746</v>
      </c>
      <c r="H527" s="29">
        <v>0.375</v>
      </c>
      <c r="I527" s="26">
        <v>43999.38541666667</v>
      </c>
      <c r="J527" s="12" t="s">
        <v>1730</v>
      </c>
      <c r="L527" s="12" t="s">
        <v>2648</v>
      </c>
      <c r="M527" s="12" t="s">
        <v>1634</v>
      </c>
      <c r="O527" s="12" t="s">
        <v>2487</v>
      </c>
      <c r="P527" s="12" t="s">
        <v>2474</v>
      </c>
      <c r="AE527" s="29">
        <v>0.30208333333575865</v>
      </c>
    </row>
    <row r="528">
      <c r="A528" s="26">
        <v>44000.40358172454</v>
      </c>
      <c r="B528" s="12" t="s">
        <v>1744</v>
      </c>
      <c r="C528" s="12" t="s">
        <v>2653</v>
      </c>
      <c r="D528" s="12" t="s">
        <v>1916</v>
      </c>
      <c r="E528" s="12" t="s">
        <v>1714</v>
      </c>
      <c r="F528" s="27">
        <v>44000.0</v>
      </c>
      <c r="G528" s="12" t="s">
        <v>2654</v>
      </c>
      <c r="H528" s="29">
        <v>0.7083333333357587</v>
      </c>
      <c r="I528" s="26">
        <v>44000.75</v>
      </c>
      <c r="J528" s="12" t="s">
        <v>1658</v>
      </c>
      <c r="L528" s="12" t="s">
        <v>1626</v>
      </c>
      <c r="M528" s="12" t="s">
        <v>1706</v>
      </c>
      <c r="N528" s="12" t="s">
        <v>2452</v>
      </c>
      <c r="O528" s="12" t="s">
        <v>1708</v>
      </c>
      <c r="P528" s="12" t="s">
        <v>2474</v>
      </c>
      <c r="AE528" s="29">
        <v>0.40277777778101154</v>
      </c>
    </row>
    <row r="529">
      <c r="A529" s="26">
        <v>44007.33195319444</v>
      </c>
      <c r="B529" s="12" t="s">
        <v>1744</v>
      </c>
      <c r="C529" s="12" t="s">
        <v>2230</v>
      </c>
      <c r="D529" s="12" t="s">
        <v>1916</v>
      </c>
      <c r="E529" s="12" t="s">
        <v>1757</v>
      </c>
      <c r="F529" s="27">
        <v>44007.0</v>
      </c>
      <c r="G529" s="12" t="s">
        <v>2655</v>
      </c>
      <c r="H529" s="29">
        <v>0.5416666666642413</v>
      </c>
      <c r="I529" s="26">
        <v>44007.58333333333</v>
      </c>
      <c r="J529" s="12" t="s">
        <v>1658</v>
      </c>
      <c r="L529" s="12" t="s">
        <v>1626</v>
      </c>
      <c r="M529" s="12" t="s">
        <v>1706</v>
      </c>
      <c r="N529" s="12" t="s">
        <v>2259</v>
      </c>
      <c r="O529" s="12" t="s">
        <v>1708</v>
      </c>
      <c r="P529" s="12" t="s">
        <v>2474</v>
      </c>
      <c r="AE529" s="29">
        <v>0.33333333333575865</v>
      </c>
    </row>
    <row r="530">
      <c r="A530" s="26">
        <v>44012.37209710648</v>
      </c>
      <c r="B530" s="12" t="s">
        <v>1744</v>
      </c>
      <c r="C530" s="12" t="s">
        <v>2230</v>
      </c>
      <c r="D530" s="12" t="s">
        <v>1916</v>
      </c>
      <c r="E530" s="12" t="s">
        <v>2190</v>
      </c>
      <c r="F530" s="27">
        <v>44012.0</v>
      </c>
      <c r="G530" s="12" t="s">
        <v>2656</v>
      </c>
      <c r="H530" s="29">
        <v>0.5</v>
      </c>
      <c r="I530" s="26">
        <v>44012.52083333333</v>
      </c>
      <c r="J530" s="12" t="s">
        <v>1658</v>
      </c>
      <c r="L530" s="12" t="s">
        <v>1626</v>
      </c>
      <c r="M530" s="12" t="s">
        <v>1706</v>
      </c>
      <c r="N530" s="12" t="s">
        <v>2452</v>
      </c>
      <c r="O530" s="12" t="s">
        <v>1708</v>
      </c>
      <c r="P530" s="12" t="s">
        <v>2474</v>
      </c>
      <c r="AE530" s="29">
        <v>0.375</v>
      </c>
    </row>
    <row r="531">
      <c r="A531" s="26">
        <v>44013.38215923611</v>
      </c>
      <c r="B531" s="12" t="s">
        <v>1744</v>
      </c>
      <c r="C531" s="12" t="s">
        <v>2230</v>
      </c>
      <c r="D531" s="12" t="s">
        <v>1916</v>
      </c>
      <c r="E531" s="12" t="s">
        <v>2190</v>
      </c>
      <c r="F531" s="27">
        <v>44013.0</v>
      </c>
      <c r="G531" s="12" t="s">
        <v>2657</v>
      </c>
      <c r="H531" s="29">
        <v>0.6666666666642413</v>
      </c>
      <c r="I531" s="26">
        <v>44013.6875</v>
      </c>
      <c r="J531" s="12" t="s">
        <v>1658</v>
      </c>
      <c r="L531" s="12" t="s">
        <v>1626</v>
      </c>
      <c r="M531" s="12" t="s">
        <v>1706</v>
      </c>
      <c r="N531" s="12" t="s">
        <v>2452</v>
      </c>
      <c r="O531" s="12" t="s">
        <v>1708</v>
      </c>
      <c r="P531" s="12" t="s">
        <v>2474</v>
      </c>
      <c r="AE531" s="29">
        <v>0.38541666666424135</v>
      </c>
    </row>
    <row r="532">
      <c r="A532" s="26">
        <v>44014.327094039356</v>
      </c>
      <c r="B532" s="12" t="s">
        <v>1744</v>
      </c>
      <c r="C532" s="12" t="s">
        <v>2230</v>
      </c>
      <c r="D532" s="12" t="s">
        <v>1916</v>
      </c>
      <c r="E532" s="12" t="s">
        <v>2015</v>
      </c>
      <c r="F532" s="27">
        <v>44014.0</v>
      </c>
      <c r="G532" s="12" t="s">
        <v>2619</v>
      </c>
      <c r="H532" s="29">
        <v>0.5</v>
      </c>
      <c r="I532" s="26">
        <v>44014.58333333333</v>
      </c>
      <c r="J532" s="12" t="s">
        <v>1658</v>
      </c>
      <c r="L532" s="12" t="s">
        <v>1626</v>
      </c>
      <c r="M532" s="12" t="s">
        <v>1706</v>
      </c>
      <c r="N532" s="12" t="s">
        <v>2452</v>
      </c>
      <c r="O532" s="12" t="s">
        <v>1708</v>
      </c>
      <c r="P532" s="12" t="s">
        <v>2474</v>
      </c>
      <c r="AE532" s="29">
        <v>0.3125</v>
      </c>
    </row>
    <row r="533">
      <c r="A533" s="26">
        <v>44019.354679131946</v>
      </c>
      <c r="B533" s="12" t="s">
        <v>1717</v>
      </c>
      <c r="C533" s="12" t="s">
        <v>1718</v>
      </c>
      <c r="D533" s="12" t="s">
        <v>1916</v>
      </c>
      <c r="E533" s="12" t="s">
        <v>2162</v>
      </c>
      <c r="F533" s="27">
        <v>44019.0</v>
      </c>
      <c r="G533" s="12" t="s">
        <v>1847</v>
      </c>
      <c r="H533" s="29">
        <v>0.6041666666642413</v>
      </c>
      <c r="I533" s="26">
        <v>44019.625</v>
      </c>
      <c r="J533" s="12" t="s">
        <v>1658</v>
      </c>
      <c r="L533" s="12" t="s">
        <v>1720</v>
      </c>
      <c r="M533" s="12" t="s">
        <v>1781</v>
      </c>
      <c r="N533" s="12" t="s">
        <v>2452</v>
      </c>
      <c r="O533" s="12" t="s">
        <v>1756</v>
      </c>
      <c r="P533" s="12" t="s">
        <v>2474</v>
      </c>
      <c r="AE533" s="29">
        <v>0.39583333333575865</v>
      </c>
    </row>
    <row r="534">
      <c r="A534" s="26">
        <v>44026.33644688658</v>
      </c>
      <c r="B534" s="12" t="s">
        <v>1744</v>
      </c>
      <c r="C534" s="12" t="s">
        <v>2230</v>
      </c>
      <c r="D534" s="12" t="s">
        <v>1916</v>
      </c>
      <c r="E534" s="12" t="s">
        <v>2567</v>
      </c>
      <c r="F534" s="27">
        <v>44026.0</v>
      </c>
      <c r="G534" s="12" t="s">
        <v>1637</v>
      </c>
      <c r="H534" s="29">
        <v>0.5833333333357587</v>
      </c>
      <c r="I534" s="26">
        <v>44026.625</v>
      </c>
      <c r="J534" s="12" t="s">
        <v>1658</v>
      </c>
      <c r="L534" s="12" t="s">
        <v>1626</v>
      </c>
      <c r="M534" s="12" t="s">
        <v>1706</v>
      </c>
      <c r="N534" s="12" t="s">
        <v>2452</v>
      </c>
      <c r="O534" s="12" t="s">
        <v>1708</v>
      </c>
      <c r="P534" s="12" t="s">
        <v>2474</v>
      </c>
      <c r="AE534" s="29">
        <v>0.3125</v>
      </c>
    </row>
    <row r="535">
      <c r="A535" s="26">
        <v>44027.268019131945</v>
      </c>
      <c r="B535" s="12" t="s">
        <v>2088</v>
      </c>
      <c r="C535" s="12" t="s">
        <v>2658</v>
      </c>
      <c r="D535" s="12" t="s">
        <v>1916</v>
      </c>
      <c r="E535" s="12" t="s">
        <v>1746</v>
      </c>
      <c r="F535" s="27">
        <v>44027.0</v>
      </c>
      <c r="G535" s="12" t="s">
        <v>1746</v>
      </c>
      <c r="H535" s="29">
        <v>0.33333333333575865</v>
      </c>
      <c r="I535" s="26">
        <v>44027.34375</v>
      </c>
      <c r="J535" s="12" t="s">
        <v>2659</v>
      </c>
      <c r="L535" s="12" t="s">
        <v>1720</v>
      </c>
      <c r="M535" s="12" t="s">
        <v>1801</v>
      </c>
      <c r="O535" s="12" t="s">
        <v>2617</v>
      </c>
      <c r="P535" s="12" t="s">
        <v>2474</v>
      </c>
      <c r="AE535" s="29">
        <v>0.27083333333575865</v>
      </c>
    </row>
    <row r="536">
      <c r="A536" s="26">
        <v>44027.277418819445</v>
      </c>
      <c r="B536" s="12" t="s">
        <v>1744</v>
      </c>
      <c r="C536" s="12" t="s">
        <v>2230</v>
      </c>
      <c r="D536" s="12" t="s">
        <v>1916</v>
      </c>
      <c r="E536" s="12" t="s">
        <v>2567</v>
      </c>
      <c r="F536" s="27">
        <v>44027.0</v>
      </c>
      <c r="G536" s="12" t="s">
        <v>2418</v>
      </c>
      <c r="H536" s="29">
        <v>0.5833333333357587</v>
      </c>
      <c r="I536" s="26">
        <v>44027.625</v>
      </c>
      <c r="J536" s="12" t="s">
        <v>1658</v>
      </c>
      <c r="L536" s="12" t="s">
        <v>1626</v>
      </c>
      <c r="M536" s="12" t="s">
        <v>1706</v>
      </c>
      <c r="N536" s="12" t="s">
        <v>2452</v>
      </c>
      <c r="O536" s="12" t="s">
        <v>1708</v>
      </c>
      <c r="P536" s="12" t="s">
        <v>2474</v>
      </c>
      <c r="AE536" s="29">
        <v>0.27083333333575865</v>
      </c>
    </row>
    <row r="537">
      <c r="A537" s="26">
        <v>44027.77807590278</v>
      </c>
      <c r="B537" s="12" t="s">
        <v>2088</v>
      </c>
      <c r="C537" s="12" t="s">
        <v>2658</v>
      </c>
      <c r="D537" s="12" t="s">
        <v>1916</v>
      </c>
      <c r="E537" s="12" t="s">
        <v>1746</v>
      </c>
      <c r="F537" s="27">
        <v>44027.0</v>
      </c>
      <c r="G537" s="12" t="s">
        <v>1746</v>
      </c>
      <c r="H537" s="29">
        <v>0.33333333333575865</v>
      </c>
      <c r="I537" s="26">
        <v>44027.34375</v>
      </c>
      <c r="J537" s="12" t="s">
        <v>2659</v>
      </c>
      <c r="L537" s="12" t="s">
        <v>1720</v>
      </c>
      <c r="M537" s="12" t="s">
        <v>1801</v>
      </c>
      <c r="O537" s="12" t="s">
        <v>2617</v>
      </c>
      <c r="P537" s="12" t="s">
        <v>2474</v>
      </c>
      <c r="AE537" s="29">
        <v>0.27083333333575865</v>
      </c>
    </row>
    <row r="538">
      <c r="A538" s="26">
        <v>44033.399242430554</v>
      </c>
      <c r="B538" s="12" t="s">
        <v>1717</v>
      </c>
      <c r="C538" s="12" t="s">
        <v>1775</v>
      </c>
      <c r="D538" s="12" t="s">
        <v>1622</v>
      </c>
      <c r="E538" s="12" t="s">
        <v>2162</v>
      </c>
      <c r="F538" s="27">
        <v>44033.0</v>
      </c>
      <c r="G538" s="12" t="s">
        <v>1792</v>
      </c>
      <c r="H538" s="29">
        <v>0.5833333333357587</v>
      </c>
      <c r="I538" s="26">
        <v>44033.6875</v>
      </c>
      <c r="J538" s="12" t="s">
        <v>1704</v>
      </c>
      <c r="L538" s="12" t="s">
        <v>1720</v>
      </c>
      <c r="M538" s="12" t="s">
        <v>1918</v>
      </c>
      <c r="O538" s="12" t="s">
        <v>1717</v>
      </c>
      <c r="P538" s="12" t="s">
        <v>2474</v>
      </c>
      <c r="AE538" s="29">
        <v>0.4131944444452529</v>
      </c>
    </row>
    <row r="539">
      <c r="A539" s="26">
        <v>44034.53348646991</v>
      </c>
      <c r="B539" s="12" t="s">
        <v>1699</v>
      </c>
      <c r="C539" s="12" t="s">
        <v>2230</v>
      </c>
      <c r="D539" s="12" t="s">
        <v>2627</v>
      </c>
      <c r="E539" s="12" t="s">
        <v>1745</v>
      </c>
      <c r="F539" s="27">
        <v>44034.0</v>
      </c>
      <c r="G539" s="12" t="s">
        <v>2660</v>
      </c>
      <c r="H539" s="29">
        <v>0.5416666666642413</v>
      </c>
      <c r="I539" s="26">
        <v>44034.5625</v>
      </c>
      <c r="J539" s="12" t="s">
        <v>1658</v>
      </c>
      <c r="L539" s="12" t="s">
        <v>1626</v>
      </c>
      <c r="M539" s="12" t="s">
        <v>1706</v>
      </c>
      <c r="N539" s="12" t="s">
        <v>2452</v>
      </c>
      <c r="O539" s="12" t="s">
        <v>1708</v>
      </c>
      <c r="P539" s="12" t="s">
        <v>2474</v>
      </c>
      <c r="AE539" s="29">
        <v>0.5208333333357587</v>
      </c>
    </row>
    <row r="540">
      <c r="A540" s="26">
        <v>44039.45566111111</v>
      </c>
      <c r="B540" s="12" t="s">
        <v>2530</v>
      </c>
      <c r="C540" s="12" t="s">
        <v>2230</v>
      </c>
      <c r="D540" s="12" t="s">
        <v>1744</v>
      </c>
      <c r="E540" s="12" t="s">
        <v>2530</v>
      </c>
      <c r="F540" s="27">
        <v>44039.0</v>
      </c>
      <c r="G540" s="12" t="s">
        <v>2530</v>
      </c>
      <c r="H540" s="29">
        <v>0.04166666666424135</v>
      </c>
      <c r="I540" s="26">
        <v>44039.04166666667</v>
      </c>
      <c r="J540" s="12" t="s">
        <v>2530</v>
      </c>
      <c r="L540" s="12" t="s">
        <v>2530</v>
      </c>
      <c r="M540" s="12" t="s">
        <v>2530</v>
      </c>
      <c r="N540" s="12" t="s">
        <v>2530</v>
      </c>
      <c r="O540" s="12" t="s">
        <v>2530</v>
      </c>
      <c r="P540" s="12" t="s">
        <v>2474</v>
      </c>
      <c r="AE540" s="29">
        <v>0.04166666666424135</v>
      </c>
    </row>
    <row r="541">
      <c r="A541" s="26">
        <v>44040.40957599537</v>
      </c>
      <c r="B541" s="12" t="s">
        <v>2437</v>
      </c>
      <c r="C541" s="12" t="s">
        <v>2420</v>
      </c>
      <c r="D541" s="12" t="s">
        <v>1797</v>
      </c>
      <c r="E541" s="12" t="s">
        <v>2567</v>
      </c>
      <c r="F541" s="27">
        <v>44040.0</v>
      </c>
      <c r="G541" s="12" t="s">
        <v>2661</v>
      </c>
      <c r="H541" s="29">
        <v>0.5833333333357587</v>
      </c>
      <c r="I541" s="26">
        <v>44010.625</v>
      </c>
      <c r="J541" s="12" t="s">
        <v>1658</v>
      </c>
      <c r="L541" s="12" t="s">
        <v>1626</v>
      </c>
      <c r="M541" s="12" t="s">
        <v>1706</v>
      </c>
      <c r="N541" s="12" t="s">
        <v>2452</v>
      </c>
      <c r="O541" s="12" t="s">
        <v>1708</v>
      </c>
      <c r="P541" s="12" t="s">
        <v>2474</v>
      </c>
      <c r="AE541" s="29">
        <v>0.3125</v>
      </c>
    </row>
    <row r="542">
      <c r="A542" s="26">
        <v>44040.906757916666</v>
      </c>
      <c r="B542" s="12" t="s">
        <v>2437</v>
      </c>
      <c r="C542" s="12" t="s">
        <v>2420</v>
      </c>
      <c r="D542" s="12" t="s">
        <v>1797</v>
      </c>
      <c r="E542" s="12" t="s">
        <v>2567</v>
      </c>
      <c r="F542" s="27">
        <v>44040.0</v>
      </c>
      <c r="G542" s="12" t="s">
        <v>2661</v>
      </c>
      <c r="H542" s="29">
        <v>0.5833333333357587</v>
      </c>
      <c r="I542" s="26">
        <v>44010.625</v>
      </c>
      <c r="J542" s="12" t="s">
        <v>1658</v>
      </c>
      <c r="L542" s="12" t="s">
        <v>1626</v>
      </c>
      <c r="M542" s="12" t="s">
        <v>1706</v>
      </c>
      <c r="N542" s="12" t="s">
        <v>2452</v>
      </c>
      <c r="O542" s="12" t="s">
        <v>1708</v>
      </c>
      <c r="P542" s="12" t="s">
        <v>2474</v>
      </c>
      <c r="AE542" s="29">
        <v>0.3125</v>
      </c>
    </row>
    <row r="543">
      <c r="A543" s="26">
        <v>44041.53618199074</v>
      </c>
      <c r="B543" s="12" t="s">
        <v>1891</v>
      </c>
      <c r="C543" s="12" t="s">
        <v>2445</v>
      </c>
      <c r="D543" s="12" t="s">
        <v>1797</v>
      </c>
      <c r="E543" s="12" t="s">
        <v>2058</v>
      </c>
      <c r="F543" s="27" t="s">
        <v>2662</v>
      </c>
      <c r="G543" s="12" t="s">
        <v>2663</v>
      </c>
      <c r="H543" s="29">
        <v>0.6666666666642413</v>
      </c>
      <c r="I543" s="26">
        <v>44041.70833333333</v>
      </c>
      <c r="J543" s="12" t="s">
        <v>1658</v>
      </c>
      <c r="L543" s="12" t="s">
        <v>1626</v>
      </c>
      <c r="M543" s="12" t="s">
        <v>1706</v>
      </c>
      <c r="N543" s="12" t="s">
        <v>1817</v>
      </c>
      <c r="O543" s="12" t="s">
        <v>1708</v>
      </c>
      <c r="P543" s="12" t="s">
        <v>2474</v>
      </c>
      <c r="AE543" s="29">
        <v>0.5416666666642413</v>
      </c>
    </row>
  </sheetData>
  <hyperlinks>
    <hyperlink r:id="rId1" ref="AG27"/>
    <hyperlink r:id="rId2" ref="AG28"/>
    <hyperlink r:id="rId3" ref="AG29"/>
    <hyperlink r:id="rId4" ref="AG30"/>
    <hyperlink r:id="rId5" ref="AG31"/>
    <hyperlink r:id="rId6" ref="AG32"/>
    <hyperlink r:id="rId7" ref="AG33"/>
    <hyperlink r:id="rId8" ref="AG34"/>
    <hyperlink r:id="rId9" ref="AG35"/>
    <hyperlink r:id="rId10" ref="AG36"/>
    <hyperlink r:id="rId11" ref="AG37"/>
    <hyperlink r:id="rId12" ref="AG38"/>
    <hyperlink r:id="rId13" ref="AG39"/>
    <hyperlink r:id="rId14" ref="AG41"/>
    <hyperlink r:id="rId15" ref="AG42"/>
    <hyperlink r:id="rId16" ref="AG43"/>
    <hyperlink r:id="rId17" ref="AG44"/>
    <hyperlink r:id="rId18" ref="AG45"/>
    <hyperlink r:id="rId19" ref="AG46"/>
    <hyperlink r:id="rId20" ref="AG47"/>
    <hyperlink r:id="rId21" ref="AG48"/>
    <hyperlink r:id="rId22" ref="AG49"/>
    <hyperlink r:id="rId23" ref="AG50"/>
    <hyperlink r:id="rId24" ref="AG51"/>
    <hyperlink r:id="rId25" ref="AG52"/>
    <hyperlink r:id="rId26" ref="AG53"/>
    <hyperlink r:id="rId27" ref="AG54"/>
    <hyperlink r:id="rId28" ref="AG55"/>
    <hyperlink r:id="rId29" ref="AG56"/>
    <hyperlink r:id="rId30" ref="AG57"/>
    <hyperlink r:id="rId31" ref="AG58"/>
    <hyperlink r:id="rId32" ref="AG59"/>
    <hyperlink r:id="rId33" ref="AG60"/>
    <hyperlink r:id="rId34" ref="AG61"/>
    <hyperlink r:id="rId35" ref="AG62"/>
    <hyperlink r:id="rId36" ref="AG63"/>
    <hyperlink r:id="rId37" ref="AG64"/>
    <hyperlink r:id="rId38" ref="AG65"/>
    <hyperlink r:id="rId39" ref="AG66"/>
    <hyperlink r:id="rId40" ref="AG67"/>
    <hyperlink r:id="rId41" ref="AG68"/>
    <hyperlink r:id="rId42" ref="AG69"/>
    <hyperlink r:id="rId43" ref="AG70"/>
    <hyperlink r:id="rId44" ref="AG71"/>
    <hyperlink r:id="rId45" ref="AG72"/>
    <hyperlink r:id="rId46" ref="AG73"/>
    <hyperlink r:id="rId47" ref="AG74"/>
    <hyperlink r:id="rId48" ref="AG75"/>
    <hyperlink r:id="rId49" ref="AG76"/>
    <hyperlink r:id="rId50" ref="AG77"/>
    <hyperlink r:id="rId51" ref="AG78"/>
    <hyperlink r:id="rId52" ref="AG79"/>
    <hyperlink r:id="rId53" ref="AG80"/>
    <hyperlink r:id="rId54" ref="AG81"/>
    <hyperlink r:id="rId55" ref="AG82"/>
    <hyperlink r:id="rId56" ref="AG83"/>
    <hyperlink r:id="rId57" ref="AG84"/>
    <hyperlink r:id="rId58" ref="AG85"/>
    <hyperlink r:id="rId59" ref="AG86"/>
    <hyperlink r:id="rId60" ref="AG87"/>
    <hyperlink r:id="rId61" ref="AG88"/>
    <hyperlink r:id="rId62" ref="AG89"/>
    <hyperlink r:id="rId63" ref="AG90"/>
    <hyperlink r:id="rId64" ref="AG91"/>
    <hyperlink r:id="rId65" ref="AG92"/>
    <hyperlink r:id="rId66" ref="AG93"/>
    <hyperlink r:id="rId67" ref="AG94"/>
    <hyperlink r:id="rId68" ref="AG95"/>
    <hyperlink r:id="rId69" ref="AG96"/>
    <hyperlink r:id="rId70" ref="AG97"/>
    <hyperlink r:id="rId71" ref="AG98"/>
    <hyperlink r:id="rId72" ref="AG99"/>
    <hyperlink r:id="rId73" ref="AG100"/>
    <hyperlink r:id="rId74" ref="AG101"/>
    <hyperlink r:id="rId75" ref="AG102"/>
    <hyperlink r:id="rId76" ref="AG103"/>
    <hyperlink r:id="rId77" ref="AG104"/>
    <hyperlink r:id="rId78" ref="AG105"/>
    <hyperlink r:id="rId79" ref="AG106"/>
    <hyperlink r:id="rId80" ref="AG107"/>
    <hyperlink r:id="rId81" ref="AG108"/>
    <hyperlink r:id="rId82" ref="AG109"/>
    <hyperlink r:id="rId83" ref="AG110"/>
    <hyperlink r:id="rId84" ref="AG111"/>
    <hyperlink r:id="rId85" ref="AG112"/>
    <hyperlink r:id="rId86" ref="AG113"/>
    <hyperlink r:id="rId87" ref="AG114"/>
    <hyperlink r:id="rId88" ref="AG115"/>
    <hyperlink r:id="rId89" ref="AG116"/>
    <hyperlink r:id="rId90" ref="AG117"/>
    <hyperlink r:id="rId91" ref="AG118"/>
    <hyperlink r:id="rId92" ref="AG119"/>
    <hyperlink r:id="rId93" ref="AG120"/>
    <hyperlink r:id="rId94" ref="AG121"/>
    <hyperlink r:id="rId95" ref="AG122"/>
    <hyperlink r:id="rId96" ref="AG123"/>
    <hyperlink r:id="rId97" ref="AG124"/>
    <hyperlink r:id="rId98" ref="AG125"/>
    <hyperlink r:id="rId99" ref="AG126"/>
    <hyperlink r:id="rId100" ref="AG127"/>
    <hyperlink r:id="rId101" ref="AG128"/>
    <hyperlink r:id="rId102" ref="AG129"/>
    <hyperlink r:id="rId103" ref="AG130"/>
    <hyperlink r:id="rId104" ref="AG131"/>
    <hyperlink r:id="rId105" ref="AG132"/>
    <hyperlink r:id="rId106" ref="AG133"/>
    <hyperlink r:id="rId107" ref="AG134"/>
    <hyperlink r:id="rId108" ref="AG135"/>
    <hyperlink r:id="rId109" ref="AG136"/>
    <hyperlink r:id="rId110" ref="AG137"/>
    <hyperlink r:id="rId111" ref="AG138"/>
    <hyperlink r:id="rId112" ref="AG139"/>
    <hyperlink r:id="rId113" ref="AG140"/>
    <hyperlink r:id="rId114" ref="AG141"/>
    <hyperlink r:id="rId115" ref="AG142"/>
    <hyperlink r:id="rId116" ref="AG143"/>
    <hyperlink r:id="rId117" ref="AG144"/>
    <hyperlink r:id="rId118" ref="AG145"/>
    <hyperlink r:id="rId119" ref="AG146"/>
    <hyperlink r:id="rId120" ref="AG147"/>
    <hyperlink r:id="rId121" ref="AG148"/>
    <hyperlink r:id="rId122" ref="AG149"/>
    <hyperlink r:id="rId123" ref="AG150"/>
    <hyperlink r:id="rId124" ref="AG151"/>
    <hyperlink r:id="rId125" ref="AG152"/>
    <hyperlink r:id="rId126" ref="AG153"/>
    <hyperlink r:id="rId127" ref="AG154"/>
    <hyperlink r:id="rId128" ref="AG155"/>
    <hyperlink r:id="rId129" ref="AG156"/>
    <hyperlink r:id="rId130" ref="AG157"/>
    <hyperlink r:id="rId131" ref="AG158"/>
    <hyperlink r:id="rId132" ref="AG159"/>
    <hyperlink r:id="rId133" ref="AG160"/>
    <hyperlink r:id="rId134" ref="AG161"/>
    <hyperlink r:id="rId135" ref="AG162"/>
    <hyperlink r:id="rId136" ref="AG163"/>
    <hyperlink r:id="rId137" ref="AG164"/>
    <hyperlink r:id="rId138" ref="AG165"/>
    <hyperlink r:id="rId139" ref="AG166"/>
    <hyperlink r:id="rId140" ref="AG167"/>
    <hyperlink r:id="rId141" ref="AG168"/>
    <hyperlink r:id="rId142" ref="AG169"/>
    <hyperlink r:id="rId143" ref="AG170"/>
    <hyperlink r:id="rId144" ref="AG171"/>
    <hyperlink r:id="rId145" ref="AG172"/>
    <hyperlink r:id="rId146" ref="AG173"/>
    <hyperlink r:id="rId147" ref="AG174"/>
    <hyperlink r:id="rId148" ref="AG175"/>
    <hyperlink r:id="rId149" ref="AG176"/>
    <hyperlink r:id="rId150" ref="AG177"/>
    <hyperlink r:id="rId151" ref="AG178"/>
    <hyperlink r:id="rId152" ref="AG179"/>
    <hyperlink r:id="rId153" ref="AG180"/>
    <hyperlink r:id="rId154" ref="AG181"/>
    <hyperlink r:id="rId155" ref="AG182"/>
    <hyperlink r:id="rId156" ref="AG183"/>
    <hyperlink r:id="rId157" ref="AG184"/>
    <hyperlink r:id="rId158" ref="AG185"/>
    <hyperlink r:id="rId159" ref="AG186"/>
    <hyperlink r:id="rId160" ref="AG187"/>
    <hyperlink r:id="rId161" ref="AG188"/>
    <hyperlink r:id="rId162" ref="AG189"/>
    <hyperlink r:id="rId163" ref="AG190"/>
    <hyperlink r:id="rId164" ref="AG191"/>
    <hyperlink r:id="rId165" ref="AG192"/>
    <hyperlink r:id="rId166" ref="AG193"/>
    <hyperlink r:id="rId167" ref="AG194"/>
    <hyperlink r:id="rId168" ref="AG195"/>
    <hyperlink r:id="rId169" ref="AG196"/>
    <hyperlink r:id="rId170" ref="AG197"/>
    <hyperlink r:id="rId171" ref="AG198"/>
    <hyperlink r:id="rId172" ref="AG199"/>
    <hyperlink r:id="rId173" ref="AG200"/>
    <hyperlink r:id="rId174" ref="AG201"/>
    <hyperlink r:id="rId175" ref="AG202"/>
    <hyperlink r:id="rId176" ref="AG203"/>
    <hyperlink r:id="rId177" ref="AG204"/>
    <hyperlink r:id="rId178" ref="AG206"/>
    <hyperlink r:id="rId179" ref="AG207"/>
    <hyperlink r:id="rId180" ref="AG208"/>
    <hyperlink r:id="rId181" ref="AG209"/>
    <hyperlink r:id="rId182" ref="AG210"/>
    <hyperlink r:id="rId183" ref="AG211"/>
    <hyperlink r:id="rId184" ref="AG212"/>
    <hyperlink r:id="rId185" ref="AG213"/>
    <hyperlink r:id="rId186" ref="AG214"/>
    <hyperlink r:id="rId187" ref="AG215"/>
    <hyperlink r:id="rId188" ref="AG216"/>
    <hyperlink r:id="rId189" ref="AG217"/>
    <hyperlink r:id="rId190" ref="AG218"/>
    <hyperlink r:id="rId191" ref="AG219"/>
    <hyperlink r:id="rId192" ref="AG220"/>
    <hyperlink r:id="rId193" ref="AG221"/>
    <hyperlink r:id="rId194" ref="AG222"/>
    <hyperlink r:id="rId195" ref="AG223"/>
    <hyperlink r:id="rId196" ref="AG224"/>
    <hyperlink r:id="rId197" ref="AG225"/>
    <hyperlink r:id="rId198" ref="AG226"/>
    <hyperlink r:id="rId199" ref="AG227"/>
  </hyperlinks>
  <drawing r:id="rId20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2664</v>
      </c>
      <c r="B1" s="36" t="s">
        <v>2665</v>
      </c>
    </row>
    <row r="2">
      <c r="A2" s="12" t="s">
        <v>2666</v>
      </c>
      <c r="B2" s="12" t="s">
        <v>2667</v>
      </c>
    </row>
    <row r="3">
      <c r="A3" s="12" t="s">
        <v>2668</v>
      </c>
      <c r="B3" s="12" t="s">
        <v>2669</v>
      </c>
    </row>
    <row r="4">
      <c r="A4" s="12" t="s">
        <v>2670</v>
      </c>
      <c r="B4" s="12" t="s">
        <v>2671</v>
      </c>
    </row>
    <row r="5">
      <c r="A5" s="12" t="s">
        <v>2672</v>
      </c>
      <c r="B5" s="12" t="s">
        <v>2673</v>
      </c>
    </row>
    <row r="6">
      <c r="A6" s="12" t="s">
        <v>2674</v>
      </c>
      <c r="B6" s="12" t="s">
        <v>2675</v>
      </c>
    </row>
    <row r="7">
      <c r="A7" s="12" t="s">
        <v>2676</v>
      </c>
      <c r="B7" s="12" t="s">
        <v>2677</v>
      </c>
    </row>
    <row r="8">
      <c r="A8" s="12" t="s">
        <v>2678</v>
      </c>
      <c r="B8" s="12" t="s">
        <v>2679</v>
      </c>
    </row>
    <row r="9">
      <c r="A9" s="12" t="s">
        <v>2680</v>
      </c>
      <c r="B9" s="12" t="s">
        <v>2681</v>
      </c>
    </row>
    <row r="10">
      <c r="A10" s="12" t="s">
        <v>2682</v>
      </c>
      <c r="B10" s="12" t="s">
        <v>2683</v>
      </c>
    </row>
    <row r="11">
      <c r="A11" s="12" t="s">
        <v>2684</v>
      </c>
      <c r="B11" s="12" t="s">
        <v>2685</v>
      </c>
    </row>
    <row r="12">
      <c r="A12" s="12" t="s">
        <v>2686</v>
      </c>
      <c r="B12" s="12" t="s">
        <v>2683</v>
      </c>
    </row>
    <row r="13">
      <c r="A13" s="12" t="s">
        <v>2687</v>
      </c>
      <c r="B13" s="12" t="s">
        <v>2688</v>
      </c>
    </row>
    <row r="14">
      <c r="A14" s="12" t="s">
        <v>2689</v>
      </c>
      <c r="B14" s="12" t="s">
        <v>2690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 t="s">
        <v>2691</v>
      </c>
      <c r="B1" s="12" t="s">
        <v>2692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2664</v>
      </c>
      <c r="B1" s="36" t="s">
        <v>2665</v>
      </c>
    </row>
    <row r="2">
      <c r="A2" s="12" t="s">
        <v>2666</v>
      </c>
      <c r="B2" s="12" t="s">
        <v>2667</v>
      </c>
    </row>
    <row r="3">
      <c r="A3" s="12" t="s">
        <v>2668</v>
      </c>
      <c r="B3" s="12" t="s">
        <v>2693</v>
      </c>
    </row>
    <row r="4">
      <c r="A4" s="12" t="s">
        <v>2670</v>
      </c>
      <c r="B4" s="12" t="s">
        <v>2694</v>
      </c>
    </row>
    <row r="5">
      <c r="A5" s="12" t="s">
        <v>2672</v>
      </c>
      <c r="B5" s="12" t="s">
        <v>2673</v>
      </c>
    </row>
    <row r="6">
      <c r="A6" s="12" t="s">
        <v>2674</v>
      </c>
      <c r="B6" s="12" t="s">
        <v>2675</v>
      </c>
    </row>
    <row r="7">
      <c r="A7" s="12" t="s">
        <v>2676</v>
      </c>
      <c r="B7" s="12" t="s">
        <v>2677</v>
      </c>
    </row>
    <row r="8">
      <c r="A8" s="12" t="s">
        <v>2678</v>
      </c>
      <c r="B8" s="12" t="s">
        <v>2695</v>
      </c>
    </row>
    <row r="9">
      <c r="A9" s="12" t="s">
        <v>2680</v>
      </c>
      <c r="B9" s="12" t="s">
        <v>2681</v>
      </c>
    </row>
    <row r="10">
      <c r="A10" s="12" t="s">
        <v>2682</v>
      </c>
      <c r="B10" s="12" t="s">
        <v>2683</v>
      </c>
    </row>
    <row r="11">
      <c r="A11" s="12" t="s">
        <v>2684</v>
      </c>
      <c r="B11" s="12" t="s">
        <v>2685</v>
      </c>
    </row>
    <row r="12">
      <c r="A12" s="12" t="s">
        <v>2686</v>
      </c>
      <c r="B12" s="12" t="s">
        <v>2683</v>
      </c>
    </row>
    <row r="13">
      <c r="A13" s="12" t="s">
        <v>2687</v>
      </c>
      <c r="B13" s="12" t="s">
        <v>2688</v>
      </c>
    </row>
    <row r="14">
      <c r="A14" s="12" t="s">
        <v>2689</v>
      </c>
      <c r="B14" s="12" t="s">
        <v>2690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 t="s">
        <v>2696</v>
      </c>
      <c r="B1" s="12" t="s">
        <v>2697</v>
      </c>
      <c r="C1" s="12" t="s">
        <v>2698</v>
      </c>
      <c r="D1" s="12" t="s">
        <v>2699</v>
      </c>
      <c r="E1" s="12" t="s">
        <v>2700</v>
      </c>
      <c r="F1" s="12" t="s">
        <v>2701</v>
      </c>
      <c r="G1" s="12" t="s">
        <v>2702</v>
      </c>
      <c r="H1" s="12" t="s">
        <v>2703</v>
      </c>
      <c r="I1" s="12" t="s">
        <v>2704</v>
      </c>
      <c r="J1" s="12" t="s">
        <v>2705</v>
      </c>
      <c r="K1" s="12" t="s">
        <v>2706</v>
      </c>
      <c r="L1" s="12" t="s">
        <v>2707</v>
      </c>
      <c r="M1" s="12" t="s">
        <v>2708</v>
      </c>
      <c r="N1" s="12" t="s">
        <v>2709</v>
      </c>
      <c r="O1" s="12" t="s">
        <v>2710</v>
      </c>
      <c r="P1" s="12" t="s">
        <v>2711</v>
      </c>
      <c r="Q1" s="12" t="s">
        <v>2712</v>
      </c>
      <c r="R1" s="12" t="s">
        <v>2713</v>
      </c>
      <c r="S1" s="12" t="s">
        <v>2714</v>
      </c>
      <c r="T1" s="12" t="s">
        <v>2715</v>
      </c>
      <c r="U1" s="12" t="s">
        <v>2716</v>
      </c>
      <c r="V1" s="12" t="s">
        <v>2717</v>
      </c>
      <c r="W1" s="12" t="s">
        <v>2718</v>
      </c>
      <c r="X1" s="12" t="s">
        <v>2719</v>
      </c>
      <c r="Y1" s="12" t="s">
        <v>2720</v>
      </c>
      <c r="Z1" s="12" t="s">
        <v>2721</v>
      </c>
      <c r="AA1" s="12" t="s">
        <v>2722</v>
      </c>
      <c r="AB1" s="12" t="s">
        <v>2723</v>
      </c>
      <c r="AC1" s="12" t="s">
        <v>2724</v>
      </c>
    </row>
    <row r="2">
      <c r="A2" s="12" t="s">
        <v>2725</v>
      </c>
      <c r="B2" s="12" t="s">
        <v>2726</v>
      </c>
      <c r="C2" s="12" t="s">
        <v>2691</v>
      </c>
      <c r="D2" s="32">
        <v>2.123793054E9</v>
      </c>
      <c r="E2" s="32">
        <v>1.0</v>
      </c>
      <c r="F2" s="32">
        <v>2.0</v>
      </c>
      <c r="G2" s="12" t="s">
        <v>2727</v>
      </c>
      <c r="H2" s="12" t="s">
        <v>2728</v>
      </c>
      <c r="I2" s="12" t="s">
        <v>2729</v>
      </c>
      <c r="J2" s="12" t="s">
        <v>2730</v>
      </c>
      <c r="K2" s="12" t="s">
        <v>2731</v>
      </c>
      <c r="L2" s="12" t="s">
        <v>2732</v>
      </c>
      <c r="M2" s="12" t="s">
        <v>2733</v>
      </c>
      <c r="N2" s="12" t="b">
        <v>1</v>
      </c>
      <c r="O2" s="12" t="s">
        <v>2734</v>
      </c>
      <c r="P2" s="12" t="b">
        <v>1</v>
      </c>
      <c r="Q2" s="32">
        <v>1.0</v>
      </c>
      <c r="R2" s="12" t="b">
        <v>1</v>
      </c>
      <c r="S2" s="12" t="b">
        <v>1</v>
      </c>
      <c r="T2" s="12" t="s">
        <v>2735</v>
      </c>
      <c r="U2" s="12" t="s">
        <v>2736</v>
      </c>
      <c r="W2" s="12" t="s">
        <v>2736</v>
      </c>
      <c r="X2" s="12" t="b">
        <v>0</v>
      </c>
      <c r="Y2" s="12" t="s">
        <v>2737</v>
      </c>
      <c r="Z2" s="12" t="s">
        <v>2738</v>
      </c>
      <c r="AA2" s="12" t="b">
        <v>0</v>
      </c>
      <c r="AB2" s="12" t="s">
        <v>2739</v>
      </c>
      <c r="AC2" s="12" t="s">
        <v>2740</v>
      </c>
    </row>
    <row r="3">
      <c r="A3" s="36"/>
      <c r="B3" s="36"/>
      <c r="C3" s="36"/>
      <c r="G3" s="36"/>
      <c r="H3" s="36"/>
      <c r="I3" s="36"/>
      <c r="J3" s="36"/>
      <c r="K3" s="36"/>
      <c r="L3" s="36"/>
      <c r="M3" s="36"/>
      <c r="N3" s="36"/>
      <c r="O3" s="36"/>
      <c r="P3" s="36"/>
      <c r="R3" s="36"/>
      <c r="S3" s="36"/>
      <c r="T3" s="36"/>
      <c r="U3" s="36"/>
      <c r="W3" s="36"/>
      <c r="X3" s="36"/>
      <c r="Y3" s="36"/>
      <c r="Z3" s="36"/>
      <c r="AA3" s="36"/>
    </row>
  </sheetData>
  <drawing r:id="rId1"/>
</worksheet>
</file>