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drawings/drawing5.xml" ContentType="application/vnd.openxmlformats-officedocument.drawing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6666dbc5920261/Desktop/Classwork Folder/Crowdfunding Analysis/"/>
    </mc:Choice>
  </mc:AlternateContent>
  <xr:revisionPtr revIDLastSave="294" documentId="8_{99E2B104-1FD0-4911-B7E0-9269742E46DE}" xr6:coauthVersionLast="47" xr6:coauthVersionMax="47" xr10:uidLastSave="{92AC1020-F9F1-40C2-B94A-0377E14225AE}"/>
  <bookViews>
    <workbookView xWindow="-110" yWindow="-110" windowWidth="19420" windowHeight="10300" tabRatio="722" activeTab="2" xr2:uid="{00000000-000D-0000-FFFF-FFFF00000000}"/>
  </bookViews>
  <sheets>
    <sheet name="Theater Outcomes by Launch Date" sheetId="11" r:id="rId1"/>
    <sheet name="Kickstarter" sheetId="1" r:id="rId2"/>
    <sheet name="Outcomes Based on Goals" sheetId="12" r:id="rId3"/>
    <sheet name="Failed US Kickstartes" sheetId="8" r:id="rId4"/>
    <sheet name="Descriptive Statistics" sheetId="9" r:id="rId5"/>
    <sheet name="Successful US Kickstarters " sheetId="7" r:id="rId6"/>
    <sheet name="Category Statistics" sheetId="2" r:id="rId7"/>
    <sheet name="Subcategory Statistics" sheetId="3" r:id="rId8"/>
    <sheet name="Outcomes Based on Launch Date" sheetId="5" r:id="rId9"/>
    <sheet name="Edingburg Research" sheetId="6" r:id="rId10"/>
    <sheet name="Chart1" sheetId="10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2" l="1"/>
  <c r="I4" i="12"/>
  <c r="I5" i="12"/>
  <c r="I6" i="12"/>
  <c r="I7" i="12"/>
  <c r="I8" i="12"/>
  <c r="I9" i="12"/>
  <c r="I10" i="12"/>
  <c r="I11" i="12"/>
  <c r="I12" i="12"/>
  <c r="I13" i="12"/>
  <c r="I2" i="12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C14" i="9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<sst xmlns="http://schemas.openxmlformats.org/spreadsheetml/2006/main" count="38382" uniqueCount="8413">
  <si>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</si>
  <si>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</si>
  <si>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</si>
  <si>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</si>
  <si>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</si>
  <si>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</si>
  <si>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</si>
  <si>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</si>
  <si>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</si>
  <si>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</si>
  <si>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</si>
  <si>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</si>
  <si>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</si>
  <si>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</si>
  <si>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</si>
  <si>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</si>
  <si>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</si>
  <si>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</si>
  <si>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</si>
  <si>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</si>
  <si>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</si>
  <si>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</si>
  <si>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</si>
  <si>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</si>
  <si>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</si>
  <si>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</si>
  <si>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</si>
  <si>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</si>
  <si>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</si>
  <si>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</si>
  <si>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</si>
  <si>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</si>
  <si>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</si>
  <si>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</si>
  <si>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</si>
  <si>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</si>
  <si>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</si>
  <si>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</si>
  <si>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</si>
  <si>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</si>
  <si>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</si>
  <si>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</si>
  <si>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</si>
  <si>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</si>
  <si>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</si>
  <si>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</si>
  <si>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</si>
  <si>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</si>
  <si>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</si>
  <si>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</si>
  <si>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</si>
  <si>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</si>
  <si>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</si>
  <si>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</si>
  <si>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</si>
  <si>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</si>
  <si>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</si>
  <si>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</si>
  <si>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</si>
  <si>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</si>
  <si>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</si>
  <si>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</si>
  <si>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</si>
  <si>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</si>
  <si>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</si>
  <si>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</si>
  <si>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</si>
  <si>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</si>
  <si>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</si>
  <si>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</si>
  <si>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</si>
  <si>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</si>
  <si>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</si>
  <si>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</si>
  <si>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</si>
  <si>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</si>
  <si>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</si>
  <si>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</si>
  <si>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</si>
  <si>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</si>
  <si>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</si>
  <si>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</si>
  <si>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</si>
  <si>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</si>
  <si>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</si>
  <si>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</si>
  <si>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</si>
  <si>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</si>
  <si>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</si>
  <si>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</si>
  <si>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</si>
  <si>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</si>
  <si>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</si>
  <si>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</si>
  <si>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</si>
  <si>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</si>
  <si>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</si>
  <si>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</si>
  <si>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</si>
  <si>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</si>
  <si>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</si>
  <si>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</si>
  <si>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</si>
  <si>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</si>
  <si>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</si>
  <si>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</si>
  <si>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</si>
  <si>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</si>
  <si>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</si>
  <si>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</si>
  <si>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</si>
  <si>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</si>
  <si>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</si>
  <si>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</si>
  <si>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</si>
  <si>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</si>
  <si>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</si>
  <si>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</si>
  <si>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</si>
  <si>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</si>
  <si>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</si>
  <si>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</si>
  <si>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</si>
  <si>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</si>
  <si>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</si>
  <si>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</si>
  <si>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</si>
  <si>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</si>
  <si>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</si>
  <si>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</si>
  <si>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</si>
  <si>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</si>
  <si>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</si>
  <si>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</si>
  <si>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</si>
  <si>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</si>
  <si>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</si>
  <si>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</si>
  <si>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</si>
  <si>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</si>
  <si>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</si>
  <si>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</si>
  <si>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</si>
  <si>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</si>
  <si>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</si>
  <si>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</si>
  <si>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</si>
  <si>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</si>
  <si>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</si>
  <si>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</si>
  <si>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</si>
  <si>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</si>
  <si>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</si>
  <si>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</si>
  <si>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</si>
  <si>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</si>
  <si>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</si>
  <si>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</si>
  <si>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</si>
  <si>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</si>
  <si>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</si>
  <si>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</si>
  <si>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</si>
  <si>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</si>
  <si>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</si>
  <si>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</si>
  <si>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</si>
  <si>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</si>
  <si>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</si>
  <si>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</si>
  <si>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</si>
  <si>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</si>
  <si>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</si>
  <si>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</si>
  <si>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</si>
  <si>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</si>
  <si>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</si>
  <si>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</si>
  <si>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</si>
  <si>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</si>
  <si>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</si>
  <si>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</si>
  <si>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</si>
  <si>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</si>
  <si>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</si>
  <si>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</si>
  <si>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</si>
  <si>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</si>
  <si>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</si>
  <si>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</si>
  <si>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</si>
  <si>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</si>
  <si>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</si>
  <si>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</si>
  <si>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</si>
  <si>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</si>
  <si>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</si>
  <si>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</si>
  <si>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</si>
  <si>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</si>
  <si>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</si>
  <si>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</si>
  <si>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</si>
  <si>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</si>
  <si>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</si>
  <si>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</si>
  <si>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</si>
  <si>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</si>
  <si>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</si>
  <si>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</si>
  <si>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</si>
  <si>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</si>
  <si>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</si>
  <si>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</si>
  <si>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</si>
  <si>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</si>
  <si>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</si>
  <si>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</si>
  <si>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</si>
  <si>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</si>
  <si>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</si>
  <si>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</si>
  <si>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</si>
  <si>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</si>
  <si>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</si>
  <si>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</si>
  <si>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</si>
  <si>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</si>
  <si>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</si>
  <si>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</si>
  <si>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</si>
  <si>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</si>
  <si>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</si>
  <si>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</si>
  <si>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</si>
  <si>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</si>
  <si>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</si>
  <si>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</si>
  <si>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</si>
  <si>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</si>
  <si>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</si>
  <si>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</si>
  <si>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</si>
  <si>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</si>
  <si>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</si>
  <si>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</si>
  <si>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</si>
  <si>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</si>
  <si>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</si>
  <si>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</si>
  <si>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</si>
  <si>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</si>
  <si>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</si>
  <si>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</si>
  <si>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</si>
  <si>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</si>
  <si>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</si>
  <si>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</si>
  <si>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</si>
  <si>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</si>
  <si>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</si>
  <si>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</si>
  <si>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</si>
  <si>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</si>
  <si>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</si>
  <si>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</si>
  <si>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</si>
  <si>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</si>
  <si>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</si>
  <si>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</si>
  <si>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</si>
  <si>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</si>
  <si>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</si>
  <si>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</si>
  <si>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</si>
  <si>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</si>
  <si>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</si>
  <si>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</si>
  <si>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</si>
  <si>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</si>
  <si>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</si>
  <si>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</si>
  <si>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</si>
  <si>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</si>
  <si>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</si>
  <si>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</si>
  <si>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</si>
  <si>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</si>
  <si>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</si>
  <si>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</si>
  <si>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</si>
  <si>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</si>
  <si>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</si>
  <si>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</si>
  <si>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</si>
  <si>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</si>
  <si>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</si>
  <si>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</si>
  <si>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</si>
  <si>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</si>
  <si>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</si>
  <si>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</si>
  <si>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</si>
  <si>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</si>
  <si>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</si>
  <si>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</si>
  <si>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</si>
  <si>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</si>
  <si>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</si>
  <si>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</si>
  <si>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</si>
  <si>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</si>
  <si>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</si>
  <si>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</si>
  <si>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</si>
  <si>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</si>
  <si>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</si>
  <si>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</si>
  <si>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</si>
  <si>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</si>
  <si>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</si>
  <si>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</si>
  <si>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</si>
  <si>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</si>
  <si>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</si>
  <si>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</si>
  <si>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</si>
  <si>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</si>
  <si>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</si>
  <si>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</si>
  <si>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</si>
  <si>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</si>
  <si>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</si>
  <si>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</si>
  <si>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</si>
  <si>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</si>
  <si>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</si>
  <si>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</si>
  <si>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</si>
  <si>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</si>
  <si>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</si>
  <si>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</si>
  <si>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</si>
  <si>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</si>
  <si>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</si>
  <si>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</si>
  <si>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</si>
  <si>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</si>
  <si>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</si>
  <si>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</si>
  <si>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</si>
  <si>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</si>
  <si>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</si>
  <si>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</si>
  <si>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</si>
  <si>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</si>
  <si>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</si>
  <si>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</si>
  <si>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</si>
  <si>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</si>
  <si>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</si>
  <si>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</si>
  <si>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</si>
  <si>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</si>
  <si>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</si>
  <si>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</si>
  <si>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</si>
  <si>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</si>
  <si>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</si>
  <si>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</si>
  <si>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</si>
  <si>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</si>
  <si>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</si>
  <si>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</si>
  <si>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</si>
  <si>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</si>
  <si>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</si>
  <si>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</si>
  <si>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</si>
  <si>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</si>
  <si>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</si>
  <si>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</si>
  <si>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</si>
  <si>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</si>
  <si>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</si>
  <si>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</si>
  <si>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</si>
  <si>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</si>
  <si>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</si>
  <si>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</si>
  <si>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</si>
  <si>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</si>
  <si>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</si>
  <si>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</si>
  <si>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</si>
  <si>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</si>
  <si>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</si>
  <si>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</si>
  <si>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</si>
  <si>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</si>
  <si>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</si>
  <si>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</si>
  <si>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</si>
  <si>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</si>
  <si>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</si>
  <si>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</si>
  <si>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</si>
  <si>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</si>
  <si>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</si>
  <si>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</si>
  <si>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</si>
  <si>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</si>
  <si>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</si>
  <si>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</si>
  <si>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</si>
  <si>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</si>
  <si>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</si>
  <si>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</si>
  <si>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</si>
  <si>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</si>
  <si>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</si>
  <si>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</si>
  <si>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</si>
  <si>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</si>
  <si>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</si>
  <si>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</si>
  <si>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</si>
  <si>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</si>
  <si>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</si>
  <si>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</si>
  <si>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</si>
  <si>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</si>
  <si>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</si>
  <si>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</si>
  <si>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</si>
  <si>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</si>
  <si>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</si>
  <si>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</si>
  <si>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</si>
  <si>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</si>
  <si>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</si>
  <si>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</si>
  <si>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</si>
  <si>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</si>
  <si>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</si>
  <si>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</si>
  <si>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</si>
  <si>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</si>
  <si>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</si>
  <si>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</si>
  <si>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</si>
  <si>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</si>
  <si>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</si>
  <si>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</si>
  <si>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</si>
  <si>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</si>
  <si>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</si>
  <si>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</si>
  <si>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</si>
  <si>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</si>
  <si>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</si>
  <si>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</si>
  <si>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</si>
  <si>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</si>
  <si>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</si>
  <si>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</si>
  <si>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</si>
  <si>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</si>
  <si>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</si>
  <si>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</si>
  <si>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</si>
  <si>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</si>
  <si>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</si>
  <si>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</si>
  <si>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</si>
  <si>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</si>
  <si>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</si>
  <si>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</si>
  <si>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</si>
  <si>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</si>
  <si>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</si>
  <si>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</si>
  <si>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</si>
  <si>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</si>
  <si>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</si>
  <si>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</si>
  <si>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</si>
  <si>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</si>
  <si>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</si>
  <si>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</si>
  <si>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</si>
  <si>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</si>
  <si>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</si>
  <si>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</si>
  <si>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</si>
  <si>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</si>
  <si>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</si>
  <si>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</si>
  <si>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</si>
  <si>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</si>
  <si>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</si>
  <si>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</si>
  <si>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</si>
  <si>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</si>
  <si>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</si>
  <si>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</si>
  <si>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</si>
  <si>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</si>
  <si>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</si>
  <si>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</si>
  <si>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</si>
  <si>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</si>
  <si>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</si>
  <si>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</si>
  <si>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</si>
  <si>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</si>
  <si>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</si>
  <si>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</si>
  <si>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</si>
  <si>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</si>
  <si>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</si>
  <si>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</si>
  <si>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</si>
  <si>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</si>
  <si>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</si>
  <si>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</si>
  <si>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</si>
  <si>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</si>
  <si>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</si>
  <si>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</si>
  <si>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</si>
  <si>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</si>
  <si>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</si>
  <si>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</si>
  <si>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</si>
  <si>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</si>
  <si>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</si>
  <si>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</si>
  <si>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</si>
  <si>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</si>
  <si>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</si>
  <si>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</si>
  <si>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</si>
  <si>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</si>
  <si>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</si>
  <si>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</si>
  <si>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</si>
  <si>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</si>
  <si>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</si>
  <si>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</si>
  <si>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</si>
  <si>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</si>
  <si>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</si>
  <si>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</si>
  <si>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</si>
  <si>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</si>
  <si>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</si>
  <si>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</si>
  <si>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</si>
  <si>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</si>
  <si>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</si>
  <si>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</si>
  <si>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</si>
  <si>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</si>
  <si>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</si>
  <si>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</si>
  <si>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</si>
  <si>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</si>
  <si>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</si>
  <si>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</si>
  <si>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</si>
  <si>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</si>
  <si>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</si>
  <si>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</si>
  <si>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</si>
  <si>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</si>
  <si>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</si>
  <si>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</si>
  <si>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</si>
  <si>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</si>
  <si>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</si>
  <si>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</si>
  <si>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</si>
  <si>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</si>
  <si>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</si>
  <si>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</si>
  <si>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</si>
  <si>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</si>
  <si>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</si>
  <si>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</si>
  <si>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</si>
  <si>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</si>
  <si>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</si>
  <si>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</si>
  <si>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</si>
  <si>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</si>
  <si>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</si>
  <si>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</si>
  <si>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</si>
  <si>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</si>
  <si>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</si>
  <si>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</si>
  <si>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</si>
  <si>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</si>
  <si>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</si>
  <si>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</si>
  <si>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</si>
  <si>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</si>
  <si>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</si>
  <si>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</si>
  <si>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</si>
  <si>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</si>
  <si>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</si>
  <si>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</si>
  <si>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</si>
  <si>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</si>
  <si>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</si>
  <si>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</si>
  <si>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</si>
  <si>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</si>
  <si>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</si>
  <si>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</si>
  <si>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</si>
  <si>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</si>
  <si>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</si>
  <si>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</si>
  <si>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</si>
  <si>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</si>
  <si>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</si>
  <si>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</si>
  <si>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</si>
  <si>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</si>
  <si>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</si>
  <si>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</si>
  <si>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</si>
  <si>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</si>
  <si>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</si>
  <si>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</si>
  <si>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</si>
  <si>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</si>
  <si>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</si>
  <si>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</si>
  <si>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</si>
  <si>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</si>
  <si>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</si>
  <si>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</si>
  <si>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</si>
  <si>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</si>
  <si>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</si>
  <si>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</si>
  <si>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</si>
  <si>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</si>
  <si>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</si>
  <si>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</si>
  <si>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</si>
  <si>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</si>
  <si>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</si>
  <si>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</si>
  <si>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</si>
  <si>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</si>
  <si>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</si>
  <si>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</si>
  <si>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</si>
  <si>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</si>
  <si>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</si>
  <si>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</si>
  <si>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</si>
  <si>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</si>
  <si>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</si>
  <si>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</si>
  <si>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</si>
  <si>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</si>
  <si>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</si>
  <si>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</si>
  <si>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</si>
  <si>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</si>
  <si>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</si>
  <si>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</si>
  <si>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</si>
  <si>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</si>
  <si>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</si>
  <si>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</si>
  <si>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</si>
  <si>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</si>
  <si>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</si>
  <si>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</si>
  <si>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</si>
  <si>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</si>
  <si>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</si>
  <si>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</si>
  <si>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</si>
  <si>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</si>
  <si>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</si>
  <si>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</si>
  <si>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</si>
  <si>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</si>
  <si>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</si>
  <si>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</si>
  <si>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</si>
  <si>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</si>
  <si>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</si>
  <si>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</si>
  <si>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</si>
  <si>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</si>
  <si>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</si>
  <si>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</si>
  <si>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</si>
  <si>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</si>
  <si>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</si>
  <si>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</si>
  <si>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</si>
  <si>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</si>
  <si>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</si>
  <si>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</si>
  <si>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</si>
  <si>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</si>
  <si>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</si>
  <si>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</si>
  <si>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</si>
  <si>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</si>
  <si>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</si>
  <si>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</si>
  <si>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</si>
  <si>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</si>
  <si>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</si>
  <si>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</si>
  <si>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</si>
  <si>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</si>
  <si>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</si>
  <si>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</si>
  <si>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</si>
  <si>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</si>
  <si>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</si>
  <si>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</si>
  <si>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</si>
  <si>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</si>
  <si>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</si>
  <si>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</si>
  <si>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</si>
  <si>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</si>
  <si>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</si>
  <si>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</si>
  <si>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</si>
  <si>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</si>
  <si>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</si>
  <si>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</si>
  <si>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</si>
  <si>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</si>
  <si>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</si>
  <si>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</si>
  <si>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</si>
  <si>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</si>
  <si>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</si>
  <si>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</si>
  <si>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</si>
  <si>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</si>
  <si>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</si>
  <si>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</si>
  <si>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</si>
  <si>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</si>
  <si>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</si>
  <si>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</si>
  <si>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</si>
  <si>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</si>
  <si>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</si>
  <si>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</si>
  <si>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</si>
  <si>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</si>
  <si>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</si>
  <si>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</si>
  <si>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</si>
  <si>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</si>
  <si>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</si>
  <si>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</si>
  <si>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</si>
  <si>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</si>
  <si>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</si>
  <si>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</si>
  <si>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</si>
  <si>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</si>
  <si>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</si>
  <si>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</si>
  <si>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</si>
  <si>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</si>
  <si>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</si>
  <si>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</si>
  <si>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</si>
  <si>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</si>
  <si>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</si>
  <si>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</si>
  <si>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</si>
  <si>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</si>
  <si>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</si>
  <si>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</si>
  <si>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</si>
  <si>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</si>
  <si>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</si>
  <si>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</si>
  <si>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</si>
  <si>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</si>
  <si>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</si>
  <si>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</si>
  <si>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</si>
  <si>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</si>
  <si>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</si>
  <si>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</si>
  <si>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</si>
  <si>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</si>
  <si>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</si>
  <si>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</si>
  <si>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</si>
  <si>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</si>
  <si>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</si>
  <si>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</si>
  <si>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</si>
  <si>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</si>
  <si>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</si>
  <si>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</si>
  <si>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</si>
  <si>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</si>
  <si>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</si>
  <si>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</si>
  <si>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</si>
  <si>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</si>
  <si>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</si>
  <si>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</si>
  <si>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</si>
  <si>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</si>
  <si>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</si>
  <si>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</si>
  <si>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</si>
  <si>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</si>
  <si>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</si>
  <si>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</si>
  <si>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</si>
  <si>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</si>
  <si>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</si>
  <si>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</si>
  <si>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</si>
  <si>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</si>
  <si>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</si>
  <si>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</si>
  <si>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</si>
  <si>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</si>
  <si>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</si>
  <si>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</si>
  <si>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</si>
  <si>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</si>
  <si>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</si>
  <si>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</si>
  <si>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</si>
  <si>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</si>
  <si>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</si>
  <si>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</si>
  <si>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</si>
  <si>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</si>
  <si>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</si>
  <si>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</si>
  <si>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</si>
  <si>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</si>
  <si>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</si>
  <si>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</si>
  <si>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</si>
  <si>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</si>
  <si>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</si>
  <si>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</si>
  <si>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</si>
  <si>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</si>
  <si>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</si>
  <si>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</si>
  <si>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</si>
  <si>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</si>
  <si>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</si>
  <si>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</si>
  <si>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</si>
  <si>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</si>
  <si>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</si>
  <si>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</si>
  <si>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</si>
  <si>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</si>
  <si>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</si>
  <si>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</si>
  <si>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</si>
  <si>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</si>
  <si>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</si>
  <si>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</si>
  <si>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</si>
  <si>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</si>
  <si>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</si>
  <si>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</si>
  <si>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</si>
  <si>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</si>
  <si>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</si>
  <si>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</si>
  <si>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</si>
  <si>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</si>
  <si>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</si>
  <si>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</si>
  <si>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</si>
  <si>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</si>
  <si>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</si>
  <si>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</si>
  <si>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</si>
  <si>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</si>
  <si>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</si>
  <si>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</si>
  <si>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</si>
  <si>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</si>
  <si>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</si>
  <si>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</si>
  <si>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</si>
  <si>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</si>
  <si>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</si>
  <si>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</si>
  <si>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</si>
  <si>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</si>
  <si>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</si>
  <si>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</si>
  <si>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</si>
  <si>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</si>
  <si>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</si>
  <si>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</si>
  <si>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</si>
  <si>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</si>
  <si>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</si>
  <si>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</si>
  <si>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</si>
  <si>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</si>
  <si>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</si>
  <si>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</si>
  <si>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</si>
  <si>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</si>
  <si>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</si>
  <si>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</si>
  <si>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</si>
  <si>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</si>
  <si>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</si>
  <si>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</si>
  <si>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</si>
  <si>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</si>
  <si>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</si>
  <si>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</si>
  <si>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</si>
  <si>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</si>
  <si>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</si>
  <si>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</si>
  <si>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</si>
  <si>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</si>
  <si>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</si>
  <si>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</si>
  <si>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</si>
  <si>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</si>
  <si>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</si>
  <si>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</si>
  <si>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</si>
  <si>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</si>
  <si>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</si>
  <si>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</si>
  <si>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</si>
  <si>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</si>
  <si>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</si>
  <si>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</si>
  <si>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</si>
  <si>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</si>
  <si>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</si>
  <si>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</si>
  <si>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</si>
  <si>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</si>
  <si>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</si>
  <si>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</si>
  <si>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</si>
  <si>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</si>
  <si>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</si>
  <si>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</si>
  <si>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</si>
  <si>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</si>
  <si>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</si>
  <si>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</si>
  <si>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</si>
  <si>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</si>
  <si>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</si>
  <si>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</si>
  <si>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</si>
  <si>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</si>
  <si>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</si>
  <si>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</si>
  <si>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</si>
  <si>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</si>
  <si>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</si>
  <si>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</si>
  <si>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</si>
  <si>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</si>
  <si>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</si>
  <si>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</si>
  <si>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</si>
  <si>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</si>
  <si>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</si>
  <si>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</si>
  <si>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</si>
  <si>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</si>
  <si>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</si>
  <si>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</si>
  <si>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</si>
  <si>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</si>
  <si>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</si>
  <si>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</si>
  <si>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</si>
  <si>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</si>
  <si>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</si>
  <si>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</si>
  <si>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</si>
  <si>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</si>
  <si>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</si>
  <si>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</si>
  <si>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</si>
  <si>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</si>
  <si>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</si>
  <si>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</si>
  <si>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</si>
  <si>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</si>
  <si>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</si>
  <si>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</si>
  <si>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</si>
  <si>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</si>
  <si>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</si>
  <si>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</si>
  <si>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</si>
  <si>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</si>
  <si>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</si>
  <si>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</si>
  <si>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</si>
  <si>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</si>
  <si>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</si>
  <si>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</si>
  <si>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</si>
  <si>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</si>
  <si>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</si>
  <si>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</si>
  <si>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</si>
  <si>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</si>
  <si>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</si>
  <si>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</si>
  <si>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</si>
  <si>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</si>
  <si>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</si>
  <si>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</si>
  <si>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</si>
  <si>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</si>
  <si>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</si>
  <si>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</si>
  <si>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</si>
  <si>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</si>
  <si>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</si>
  <si>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</si>
  <si>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</si>
  <si>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</si>
  <si>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</si>
  <si>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</si>
  <si>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</si>
  <si>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</si>
  <si>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</si>
  <si>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</si>
  <si>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</si>
  <si>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</si>
  <si>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</si>
  <si>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</si>
  <si>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</si>
  <si>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</si>
  <si>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</si>
  <si>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</si>
  <si>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</si>
  <si>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</si>
  <si>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</si>
  <si>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</si>
  <si>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</si>
  <si>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</si>
  <si>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</si>
  <si>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</si>
  <si>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</si>
  <si>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</si>
  <si>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</si>
  <si>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</si>
  <si>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</si>
  <si>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</si>
  <si>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</si>
  <si>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</si>
  <si>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</si>
  <si>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</si>
  <si>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</si>
  <si>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</si>
  <si>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</si>
  <si>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</si>
  <si>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</si>
  <si>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</si>
  <si>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</si>
  <si>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</si>
  <si>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</si>
  <si>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</si>
  <si>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</si>
  <si>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</si>
  <si>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</si>
  <si>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</si>
  <si>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</si>
  <si>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</si>
  <si>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</si>
  <si>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</si>
  <si>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</si>
  <si>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</si>
  <si>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</si>
  <si>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</si>
  <si>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</si>
  <si>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</si>
  <si>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</si>
  <si>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</si>
  <si>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</si>
  <si>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</si>
  <si>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</si>
  <si>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</si>
  <si>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</si>
  <si>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</si>
  <si>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</si>
  <si>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</si>
  <si>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</si>
  <si>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</si>
  <si>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</si>
  <si>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</si>
  <si>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</si>
  <si>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</si>
  <si>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</si>
  <si>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</si>
  <si>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</si>
  <si>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</si>
  <si>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</si>
  <si>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</si>
  <si>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</si>
  <si>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</si>
  <si>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</si>
  <si>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</si>
  <si>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</si>
  <si>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</si>
  <si>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</si>
  <si>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</si>
  <si>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</si>
  <si>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</si>
  <si>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</si>
  <si>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</si>
  <si>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</si>
  <si>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</si>
  <si>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</si>
  <si>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</si>
  <si>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</si>
  <si>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</si>
  <si>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</si>
  <si>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</si>
  <si>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</si>
  <si>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</si>
  <si>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</si>
  <si>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</si>
  <si>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</si>
  <si>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</si>
  <si>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</si>
  <si>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</si>
  <si>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</si>
  <si>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</si>
  <si>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</si>
  <si>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</si>
  <si>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</si>
  <si>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</si>
  <si>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</si>
  <si>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</si>
  <si>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</si>
  <si>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</si>
  <si>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</si>
  <si>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</si>
  <si>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</si>
  <si>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</si>
  <si>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</si>
  <si>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</si>
  <si>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</si>
  <si>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</si>
  <si>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</si>
  <si>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</si>
  <si>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</si>
  <si>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</si>
  <si>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</si>
  <si>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</si>
  <si>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</si>
  <si>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</si>
  <si>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</si>
  <si>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</si>
  <si>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</si>
  <si>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</si>
  <si>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</si>
  <si>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</si>
  <si>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</si>
  <si>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</si>
  <si>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</si>
  <si>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</si>
  <si>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</si>
  <si>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</si>
  <si>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</si>
  <si>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</si>
  <si>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</si>
  <si>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</si>
  <si>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</si>
  <si>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</si>
  <si>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</si>
  <si>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</si>
  <si>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</si>
  <si>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</si>
  <si>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</si>
  <si>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</si>
  <si>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</si>
  <si>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</si>
  <si>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</si>
  <si>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</si>
  <si>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</si>
  <si>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</si>
  <si>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</si>
  <si>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</si>
  <si>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</si>
  <si>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</si>
  <si>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</si>
  <si>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</si>
  <si>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</si>
  <si>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</si>
  <si>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</si>
  <si>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</si>
  <si>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</si>
  <si>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</si>
  <si>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</si>
  <si>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</si>
  <si>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</si>
  <si>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</si>
  <si>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</si>
  <si>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</si>
  <si>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</si>
  <si>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</si>
  <si>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</si>
  <si>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</si>
  <si>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</si>
  <si>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</si>
  <si>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</si>
  <si>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</si>
  <si>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</si>
  <si>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</si>
  <si>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</si>
  <si>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</si>
  <si>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</si>
  <si>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</si>
  <si>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</si>
  <si>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</si>
  <si>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</si>
  <si>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</si>
  <si>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</si>
  <si>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</si>
  <si>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</si>
  <si>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</si>
  <si>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</si>
  <si>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</si>
  <si>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</si>
  <si>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</si>
  <si>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</si>
  <si>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</si>
  <si>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</si>
  <si>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</si>
  <si>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</si>
  <si>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</si>
  <si>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</si>
  <si>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</si>
  <si>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</si>
  <si>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</si>
  <si>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</si>
  <si>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</si>
  <si>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</si>
  <si>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</si>
  <si>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</si>
  <si>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</si>
  <si>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</si>
  <si>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</si>
  <si>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</si>
  <si>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</si>
  <si>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</si>
  <si>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</si>
  <si>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</si>
  <si>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</si>
  <si>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</si>
  <si>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</si>
  <si>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</si>
  <si>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</si>
  <si>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</si>
  <si>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</si>
  <si>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</si>
  <si>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</si>
  <si>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</si>
  <si>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</si>
  <si>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</si>
  <si>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</si>
  <si>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</si>
  <si>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</si>
  <si>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</si>
  <si>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</si>
  <si>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</si>
  <si>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</si>
  <si>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</si>
  <si>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</si>
  <si>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</si>
  <si>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</si>
  <si>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</si>
  <si>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</si>
  <si>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</si>
  <si>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</si>
  <si>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</si>
  <si>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</si>
  <si>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</si>
  <si>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</si>
  <si>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</si>
  <si>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</si>
  <si>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</si>
  <si>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</si>
  <si>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</si>
  <si>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</si>
  <si>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</si>
  <si>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</si>
  <si>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</si>
  <si>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</si>
  <si>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</si>
  <si>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</si>
  <si>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</si>
  <si>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</si>
  <si>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</si>
  <si>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</si>
  <si>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</si>
  <si>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</si>
  <si>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</si>
  <si>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</si>
  <si>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</si>
  <si>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</si>
  <si>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</si>
  <si>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</si>
  <si>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</si>
  <si>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</si>
  <si>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</si>
  <si>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</si>
  <si>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</si>
  <si>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</si>
  <si>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</si>
  <si>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</si>
  <si>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</si>
  <si>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</si>
  <si>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</si>
  <si>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</si>
  <si>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</si>
  <si>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</si>
  <si>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</si>
  <si>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</si>
  <si>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</si>
  <si>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</si>
  <si>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</si>
  <si>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</si>
  <si>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</si>
  <si>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</si>
  <si>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</si>
  <si>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</si>
  <si>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</si>
  <si>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</si>
  <si>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</si>
  <si>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</si>
  <si>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</si>
  <si>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</si>
  <si>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</si>
  <si>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</si>
  <si>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</si>
  <si>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</si>
  <si>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</si>
  <si>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</si>
  <si>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</si>
  <si>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</si>
  <si>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</si>
  <si>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</si>
  <si>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</si>
  <si>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</si>
  <si>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</si>
  <si>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</si>
  <si>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</si>
  <si>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</si>
  <si>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</si>
  <si>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</si>
  <si>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</si>
  <si>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</si>
  <si>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</si>
  <si>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</si>
  <si>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</si>
  <si>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</si>
  <si>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</si>
  <si>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</si>
  <si>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</si>
  <si>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</si>
  <si>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</si>
  <si>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</si>
  <si>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</si>
  <si>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</si>
  <si>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</si>
  <si>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</si>
  <si>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</si>
  <si>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</si>
  <si>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</si>
  <si>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</si>
  <si>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</si>
  <si>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</si>
  <si>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</si>
  <si>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</si>
  <si>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</si>
  <si>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</si>
  <si>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</si>
  <si>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</si>
  <si>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</si>
  <si>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</si>
  <si>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</si>
  <si>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</si>
  <si>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</si>
  <si>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</si>
  <si>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</si>
  <si>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</si>
  <si>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</si>
  <si>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</si>
  <si>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</si>
  <si>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</si>
  <si>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</si>
  <si>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</si>
  <si>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</si>
  <si>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</si>
  <si>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</si>
  <si>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</si>
  <si>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</si>
  <si>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</si>
  <si>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</si>
  <si>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</si>
  <si>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</si>
  <si>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</si>
  <si>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</si>
  <si>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</si>
  <si>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</si>
  <si>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</si>
  <si>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</si>
  <si>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</si>
  <si>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</si>
  <si>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</si>
  <si>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</si>
  <si>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</si>
  <si>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</si>
  <si>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</si>
  <si>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</si>
  <si>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</si>
  <si>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</si>
  <si>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</si>
  <si>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</si>
  <si>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</si>
  <si>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</si>
  <si>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</si>
  <si>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</si>
  <si>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</si>
  <si>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</si>
  <si>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</si>
  <si>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</si>
  <si>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</si>
  <si>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</si>
  <si>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</si>
  <si>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</si>
  <si>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</si>
  <si>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</si>
  <si>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</si>
  <si>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</si>
  <si>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</si>
  <si>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</si>
  <si>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</si>
  <si>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</si>
  <si>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</si>
  <si>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</si>
  <si>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</si>
  <si>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</si>
  <si>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</si>
  <si>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</si>
  <si>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</si>
  <si>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</si>
  <si>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</si>
  <si>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</si>
  <si>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</si>
  <si>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</si>
  <si>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</si>
  <si>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</si>
  <si>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</si>
  <si>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</si>
  <si>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</si>
  <si>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</si>
  <si>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</si>
  <si>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</si>
  <si>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</si>
  <si>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</si>
  <si>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</si>
  <si>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</si>
  <si>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</si>
  <si>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</si>
  <si>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</si>
  <si>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</si>
  <si>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</si>
  <si>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</si>
  <si>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</si>
  <si>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</si>
  <si>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</si>
  <si>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</si>
  <si>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</si>
  <si>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</si>
  <si>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</si>
  <si>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</si>
  <si>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</si>
  <si>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</si>
  <si>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</si>
  <si>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</si>
  <si>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</si>
  <si>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</si>
  <si>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</si>
  <si>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</si>
  <si>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</si>
  <si>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</si>
  <si>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</si>
  <si>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</si>
  <si>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</si>
  <si>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</si>
  <si>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</si>
  <si>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</si>
  <si>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</si>
  <si>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</si>
  <si>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</si>
  <si>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</si>
  <si>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</si>
  <si>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</si>
  <si>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</si>
  <si>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</si>
  <si>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</si>
  <si>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</si>
  <si>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</si>
  <si>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</si>
  <si>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</si>
  <si>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</si>
  <si>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</si>
  <si>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</si>
  <si>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</si>
  <si>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</si>
  <si>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</si>
  <si>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</si>
  <si>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</si>
  <si>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</si>
  <si>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</si>
  <si>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</si>
  <si>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</si>
  <si>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</si>
  <si>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</si>
  <si>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</si>
  <si>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</si>
  <si>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</si>
  <si>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</si>
  <si>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</si>
  <si>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</si>
  <si>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</si>
  <si>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</si>
  <si>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</si>
  <si>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</si>
  <si>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</si>
  <si>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</si>
  <si>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</si>
  <si>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</si>
  <si>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</si>
  <si>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</si>
  <si>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</si>
  <si>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</si>
  <si>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</si>
  <si>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</si>
  <si>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</si>
  <si>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</si>
  <si>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</si>
  <si>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</si>
  <si>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</si>
  <si>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</si>
  <si>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</si>
  <si>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</si>
  <si>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</si>
  <si>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</si>
  <si>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</si>
  <si>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</si>
  <si>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</si>
  <si>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</si>
  <si>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</si>
  <si>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</si>
  <si>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</si>
  <si>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</si>
  <si>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</si>
  <si>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</si>
  <si>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</si>
  <si>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</si>
  <si>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</si>
  <si>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</si>
  <si>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</si>
  <si>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</si>
  <si>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</si>
  <si>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</si>
  <si>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</si>
  <si>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</si>
  <si>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</si>
  <si>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</si>
  <si>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</si>
  <si>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</si>
  <si>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</si>
  <si>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</si>
  <si>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</si>
  <si>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</si>
  <si>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</si>
  <si>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</si>
  <si>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</si>
  <si>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</si>
  <si>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</si>
  <si>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</si>
  <si>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</si>
  <si>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</si>
  <si>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</si>
  <si>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</si>
  <si>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</si>
  <si>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</si>
  <si>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</si>
  <si>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</si>
  <si>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</si>
  <si>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</si>
  <si>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</si>
  <si>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</si>
  <si>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</si>
  <si>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</si>
  <si>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</si>
  <si>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</si>
  <si>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</si>
  <si>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</si>
  <si>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</si>
  <si>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</si>
  <si>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</si>
  <si>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</si>
  <si>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</si>
  <si>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</si>
  <si>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</si>
  <si>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</si>
  <si>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</si>
  <si>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</si>
  <si>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</si>
  <si>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</si>
  <si>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</si>
  <si>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</si>
  <si>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</si>
  <si>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</si>
  <si>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</si>
  <si>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</si>
  <si>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</si>
  <si>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</si>
  <si>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</si>
  <si>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</si>
  <si>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</si>
  <si>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</si>
  <si>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</si>
  <si>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</si>
  <si>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</si>
  <si>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</si>
  <si>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</si>
  <si>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</si>
  <si>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</si>
  <si>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</si>
  <si>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</si>
  <si>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</si>
  <si>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</si>
  <si>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</si>
  <si>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</si>
  <si>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</si>
  <si>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</si>
  <si>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</si>
  <si>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</si>
  <si>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</si>
  <si>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</si>
  <si>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</si>
  <si>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</si>
  <si>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</si>
  <si>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</si>
  <si>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</si>
  <si>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</si>
  <si>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</si>
  <si>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</si>
  <si>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</si>
  <si>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</si>
  <si>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</si>
  <si>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</si>
  <si>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</si>
  <si>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</si>
  <si>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</si>
  <si>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</si>
  <si>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</si>
  <si>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</si>
  <si>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</si>
  <si>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</si>
  <si>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</si>
  <si>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</si>
  <si>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</si>
  <si>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</si>
  <si>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</si>
  <si>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</si>
  <si>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</si>
  <si>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</si>
  <si>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</si>
  <si>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</si>
  <si>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</si>
  <si>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</si>
  <si>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</si>
  <si>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</si>
  <si>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</si>
  <si>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</si>
  <si>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</si>
  <si>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</si>
  <si>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</si>
  <si>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</si>
  <si>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</si>
  <si>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</si>
  <si>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</si>
  <si>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</si>
  <si>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</si>
  <si>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</si>
  <si>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</si>
  <si>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</si>
  <si>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</si>
  <si>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</si>
  <si>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</si>
  <si>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</si>
  <si>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</si>
  <si>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</si>
  <si>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</si>
  <si>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</si>
  <si>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</si>
  <si>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</si>
  <si>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</si>
  <si>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</si>
  <si>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</si>
  <si>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</si>
  <si>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</si>
  <si>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</si>
  <si>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</si>
  <si>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</si>
  <si>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</si>
  <si>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</si>
  <si>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</si>
  <si>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</si>
  <si>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</si>
  <si>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</si>
  <si>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</si>
  <si>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</si>
  <si>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</si>
  <si>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</si>
  <si>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</si>
  <si>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</si>
  <si>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</si>
  <si>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</si>
  <si>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</si>
  <si>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</si>
  <si>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</si>
  <si>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</si>
  <si>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</si>
  <si>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</si>
  <si>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</si>
  <si>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</si>
  <si>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</si>
  <si>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</si>
  <si>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</si>
  <si>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</si>
  <si>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</si>
  <si>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</si>
  <si>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</si>
  <si>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</si>
  <si>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</si>
  <si>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</si>
  <si>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</si>
  <si>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</si>
  <si>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</si>
  <si>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</si>
  <si>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</si>
  <si>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</si>
  <si>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</si>
  <si>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</si>
  <si>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</si>
  <si>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</si>
  <si>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</si>
  <si>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</si>
  <si>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</si>
  <si>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</si>
  <si>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</si>
  <si>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</si>
  <si>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</si>
  <si>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</si>
  <si>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</si>
  <si>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</si>
  <si>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</si>
  <si>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</si>
  <si>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</si>
  <si>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</si>
  <si>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</si>
  <si>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</si>
  <si>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</si>
  <si>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</si>
  <si>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</si>
  <si>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</si>
  <si>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</si>
  <si>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</si>
  <si>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</si>
  <si>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</si>
  <si>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</si>
  <si>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</si>
  <si>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</si>
  <si>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</si>
  <si>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</si>
  <si>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</si>
  <si>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</si>
  <si>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</si>
  <si>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</si>
  <si>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</si>
  <si>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</si>
  <si>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</si>
  <si>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</si>
  <si>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</si>
  <si>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</si>
  <si>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</si>
  <si>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</si>
  <si>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</si>
  <si>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</si>
  <si>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</si>
  <si>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</si>
  <si>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</si>
  <si>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</si>
  <si>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</si>
  <si>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</si>
  <si>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</si>
  <si>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</si>
  <si>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</si>
  <si>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</si>
  <si>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</si>
  <si>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</si>
  <si>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</si>
  <si>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</si>
  <si>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</si>
  <si>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</si>
  <si>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</si>
  <si>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</si>
  <si>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</si>
  <si>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</si>
  <si>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</si>
  <si>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</si>
  <si>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</si>
  <si>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</si>
  <si>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</si>
  <si>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</si>
  <si>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</si>
  <si>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</si>
  <si>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</si>
  <si>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</si>
  <si>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</si>
  <si>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</si>
  <si>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</si>
  <si>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</si>
  <si>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</si>
  <si>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</si>
  <si>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</si>
  <si>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</si>
  <si>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</si>
  <si>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</si>
  <si>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</si>
  <si>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</si>
  <si>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</si>
  <si>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</si>
  <si>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</si>
  <si>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</si>
  <si>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</si>
  <si>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</si>
  <si>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</si>
  <si>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</si>
  <si>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</si>
  <si>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</si>
  <si>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</si>
  <si>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</si>
  <si>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</si>
  <si>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</si>
  <si>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</si>
  <si>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</si>
  <si>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</si>
  <si>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</si>
  <si>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</si>
  <si>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</si>
  <si>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</si>
  <si>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</si>
  <si>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</si>
  <si>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</si>
  <si>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</si>
  <si>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</si>
  <si>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</si>
  <si>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</si>
  <si>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</si>
  <si>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</si>
  <si>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</si>
  <si>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</si>
  <si>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</si>
  <si>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</si>
  <si>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</si>
  <si>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</si>
  <si>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</si>
  <si>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</si>
  <si>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</si>
  <si>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</si>
  <si>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</si>
  <si>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</si>
  <si>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</si>
  <si>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</si>
  <si>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</si>
  <si>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</si>
  <si>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</si>
  <si>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</si>
  <si>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</si>
  <si>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</si>
  <si>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</si>
  <si>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</si>
  <si>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</si>
  <si>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</si>
  <si>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</si>
  <si>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</si>
  <si>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</si>
  <si>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</si>
  <si>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</si>
  <si>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</si>
  <si>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</si>
  <si>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</si>
  <si>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</si>
  <si>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</si>
  <si>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</si>
  <si>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</si>
  <si>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</si>
  <si>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</si>
  <si>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</si>
  <si>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</si>
  <si>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</si>
  <si>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</si>
  <si>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</si>
  <si>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</si>
  <si>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</si>
  <si>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</si>
  <si>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</si>
  <si>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</si>
  <si>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</si>
  <si>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</si>
  <si>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</si>
  <si>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</si>
  <si>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</si>
  <si>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</si>
  <si>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</si>
  <si>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</si>
  <si>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</si>
  <si>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</si>
  <si>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</si>
  <si>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</si>
  <si>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</si>
  <si>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</si>
  <si>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</si>
  <si>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</si>
  <si>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</si>
  <si>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</si>
  <si>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</si>
  <si>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</si>
  <si>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</si>
  <si>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</si>
  <si>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</si>
  <si>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</si>
  <si>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</si>
  <si>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</si>
  <si>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</si>
  <si>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</si>
  <si>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</si>
  <si>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</si>
  <si>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</si>
  <si>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</si>
  <si>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</si>
  <si>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</si>
  <si>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</si>
  <si>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</si>
  <si>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</si>
  <si>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</si>
  <si>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</si>
  <si>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</si>
  <si>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</si>
  <si>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</si>
  <si>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</si>
  <si>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</si>
  <si>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</si>
  <si>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</si>
  <si>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</si>
  <si>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</si>
  <si>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</si>
  <si>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</si>
  <si>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</si>
  <si>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</si>
  <si>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</si>
  <si>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</si>
  <si>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</si>
  <si>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</si>
  <si>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</si>
  <si>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</si>
  <si>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</si>
  <si>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</si>
  <si>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</si>
  <si>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</si>
  <si>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</si>
  <si>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</si>
  <si>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</si>
  <si>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</si>
  <si>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</si>
  <si>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</si>
  <si>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</si>
  <si>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</si>
  <si>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</si>
  <si>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</si>
  <si>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</si>
  <si>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</si>
  <si>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</si>
  <si>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</si>
  <si>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</si>
  <si>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</si>
  <si>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</si>
  <si>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</si>
  <si>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</si>
  <si>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</si>
  <si>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</si>
  <si>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</si>
  <si>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</si>
  <si>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</si>
  <si>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</si>
  <si>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</si>
  <si>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</si>
  <si>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</si>
  <si>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</si>
  <si>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</si>
  <si>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</si>
  <si>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</si>
  <si>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</si>
  <si>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</si>
  <si>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</si>
  <si>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</si>
  <si>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</si>
  <si>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</si>
  <si>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</si>
  <si>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</si>
  <si>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</si>
  <si>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</si>
  <si>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</si>
  <si>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</si>
  <si>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</si>
  <si>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</si>
  <si>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</si>
  <si>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</si>
  <si>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</si>
  <si>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</si>
  <si>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</si>
  <si>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</si>
  <si>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</si>
  <si>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</si>
  <si>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</si>
  <si>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</si>
  <si>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</si>
  <si>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</si>
  <si>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</si>
  <si>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</si>
  <si>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</si>
  <si>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</si>
  <si>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</si>
  <si>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</si>
  <si>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</si>
  <si>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</si>
  <si>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</si>
  <si>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</si>
  <si>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</si>
  <si>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</si>
  <si>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</si>
  <si>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</si>
  <si>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</si>
  <si>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</si>
  <si>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</si>
  <si>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</si>
  <si>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</si>
  <si>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</si>
  <si>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</si>
  <si>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</si>
  <si>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</si>
  <si>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</si>
  <si>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</si>
  <si>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</si>
  <si>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</si>
  <si>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</si>
  <si>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</si>
  <si>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</si>
  <si>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</si>
  <si>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</si>
  <si>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</si>
  <si>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</si>
  <si>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</si>
  <si>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</si>
  <si>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</si>
  <si>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</si>
  <si>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</si>
  <si>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</si>
  <si>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</si>
  <si>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</si>
  <si>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</si>
  <si>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</si>
  <si>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</si>
  <si>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</si>
  <si>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</si>
  <si>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</si>
  <si>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</si>
  <si>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</si>
  <si>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</si>
  <si>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</si>
  <si>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</si>
  <si>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</si>
  <si>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</si>
  <si>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</si>
  <si>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</si>
  <si>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</si>
  <si>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</si>
  <si>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</si>
  <si>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</si>
  <si>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</si>
  <si>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</si>
  <si>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</si>
  <si>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</si>
  <si>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</si>
  <si>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</si>
  <si>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</si>
  <si>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</si>
  <si>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</si>
  <si>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</si>
  <si>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</si>
  <si>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</si>
  <si>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</si>
  <si>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</si>
  <si>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</si>
  <si>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</si>
  <si>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</si>
  <si>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</si>
  <si>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</si>
  <si>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</si>
  <si>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</si>
  <si>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</si>
  <si>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</si>
  <si>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</si>
  <si>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</si>
  <si>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</si>
  <si>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</si>
  <si>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</si>
  <si>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</si>
  <si>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</si>
  <si>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</si>
  <si>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</si>
  <si>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</si>
  <si>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</si>
  <si>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</si>
  <si>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</si>
  <si>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</si>
  <si>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</si>
  <si>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</si>
  <si>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</si>
  <si>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</si>
  <si>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</si>
  <si>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</si>
  <si>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</si>
  <si>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</si>
  <si>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</si>
  <si>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</si>
  <si>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</si>
  <si>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</si>
  <si>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</si>
  <si>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</si>
  <si>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</si>
  <si>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</si>
  <si>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</si>
  <si>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</si>
  <si>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</si>
  <si>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</si>
  <si>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</si>
  <si>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</si>
  <si>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</si>
  <si>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</si>
  <si>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</si>
  <si>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</si>
  <si>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</si>
  <si>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</si>
  <si>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</si>
  <si>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</si>
  <si>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</si>
  <si>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</si>
  <si>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</si>
  <si>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</si>
  <si>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</si>
  <si>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</si>
  <si>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</si>
  <si>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</si>
  <si>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</si>
  <si>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</si>
  <si>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</si>
  <si>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</si>
  <si>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</si>
  <si>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</si>
  <si>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</si>
  <si>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</si>
  <si>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</si>
  <si>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</si>
  <si>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</si>
  <si>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</si>
  <si>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</si>
  <si>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</si>
  <si>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</si>
  <si>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</si>
  <si>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</si>
  <si>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</si>
  <si>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</si>
  <si>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</si>
  <si>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</si>
  <si>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</si>
  <si>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</si>
  <si>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</si>
  <si>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</si>
  <si>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</si>
  <si>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</si>
  <si>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</si>
  <si>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</si>
  <si>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</si>
  <si>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</si>
  <si>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</si>
  <si>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</si>
  <si>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</si>
  <si>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</si>
  <si>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</si>
  <si>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</si>
  <si>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</si>
  <si>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</si>
  <si>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</si>
  <si>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</si>
  <si>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</si>
  <si>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</si>
  <si>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</si>
  <si>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</si>
  <si>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</si>
  <si>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</si>
  <si>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</si>
  <si>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</si>
  <si>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</si>
  <si>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</si>
  <si>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</si>
  <si>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</si>
  <si>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</si>
  <si>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</si>
  <si>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</si>
  <si>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</si>
  <si>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</si>
  <si>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</si>
  <si>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</si>
  <si>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</si>
  <si>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</si>
  <si>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</si>
  <si>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</si>
  <si>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</si>
  <si>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</si>
  <si>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</si>
  <si>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</si>
  <si>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</si>
  <si>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</si>
  <si>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</si>
  <si>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</si>
  <si>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</si>
  <si>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</si>
  <si>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</si>
  <si>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</si>
  <si>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</si>
  <si>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</si>
  <si>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</si>
  <si>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</si>
  <si>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</si>
  <si>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</si>
  <si>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</si>
  <si>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</si>
  <si>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</si>
  <si>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</si>
  <si>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</si>
  <si>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</si>
  <si>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</si>
  <si>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</si>
  <si>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</si>
  <si>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</si>
  <si>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</si>
  <si>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</si>
  <si>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</si>
  <si>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</si>
  <si>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</si>
  <si>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</si>
  <si>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</si>
  <si>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</si>
  <si>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</si>
  <si>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</si>
  <si>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</si>
  <si>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</si>
  <si>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</si>
  <si>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</si>
  <si>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</si>
  <si>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</si>
  <si>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</si>
  <si>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</si>
  <si>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</si>
  <si>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</si>
  <si>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</si>
  <si>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</si>
  <si>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</si>
  <si>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</si>
  <si>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</si>
  <si>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</si>
  <si>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</si>
  <si>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</si>
  <si>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</si>
  <si>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</si>
  <si>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</si>
  <si>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</si>
  <si>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</si>
  <si>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</si>
  <si>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</si>
  <si>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</si>
  <si>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</si>
  <si>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</si>
  <si>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</si>
  <si>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</si>
  <si>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</si>
  <si>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</si>
  <si>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</si>
  <si>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</si>
  <si>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</si>
  <si>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</si>
  <si>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</si>
  <si>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</si>
  <si>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</si>
  <si>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</si>
  <si>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</si>
  <si>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</si>
  <si>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</si>
  <si>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</si>
  <si>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</si>
  <si>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</si>
  <si>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</si>
  <si>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</si>
  <si>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</si>
  <si>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</si>
  <si>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</si>
  <si>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</si>
  <si>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</si>
  <si>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</si>
  <si>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</si>
  <si>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</si>
  <si>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</si>
  <si>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</si>
  <si>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</si>
  <si>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</si>
  <si>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</si>
  <si>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</si>
  <si>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</si>
  <si>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</si>
  <si>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</si>
  <si>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</si>
  <si>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</si>
  <si>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</si>
  <si>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</si>
  <si>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</si>
  <si>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</si>
  <si>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</si>
  <si>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</si>
  <si>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</si>
  <si>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</si>
  <si>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</si>
  <si>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</si>
  <si>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</si>
  <si>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</si>
  <si>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</si>
  <si>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</si>
  <si>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</si>
  <si>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</si>
  <si>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</si>
  <si>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</si>
  <si>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</si>
  <si>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</si>
  <si>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</si>
  <si>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</si>
  <si>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</si>
  <si>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</si>
  <si>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</si>
  <si>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</si>
  <si>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</si>
  <si>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</si>
  <si>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</si>
  <si>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</si>
  <si>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</si>
  <si>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</si>
  <si>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</si>
  <si>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</si>
  <si>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</si>
  <si>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</si>
  <si>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</si>
  <si>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</si>
  <si>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</si>
  <si>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</si>
  <si>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</si>
  <si>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</si>
  <si>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</si>
  <si>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</si>
  <si>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</si>
  <si>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</si>
  <si>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</si>
  <si>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</si>
  <si>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</si>
  <si>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</si>
  <si>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</si>
  <si>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</si>
  <si>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</si>
  <si>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</si>
  <si>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</si>
  <si>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</si>
  <si>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</si>
  <si>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</si>
  <si>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</si>
  <si>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</si>
  <si>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</si>
  <si>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</si>
  <si>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</si>
  <si>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</si>
  <si>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</si>
  <si>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</si>
  <si>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</si>
  <si>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</si>
  <si>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</si>
  <si>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</si>
  <si>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</si>
  <si>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</si>
  <si>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</si>
  <si>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</si>
  <si>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</si>
  <si>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</si>
  <si>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</si>
  <si>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</si>
  <si>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</si>
  <si>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</si>
  <si>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</si>
  <si>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</si>
  <si>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</si>
  <si>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</si>
  <si>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</si>
  <si>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</si>
  <si>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</si>
  <si>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</si>
  <si>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</si>
  <si>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</si>
  <si>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</si>
  <si>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</si>
  <si>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</si>
  <si>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</si>
  <si>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</si>
  <si>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</si>
  <si>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</si>
  <si>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</si>
  <si>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</si>
  <si>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</si>
  <si>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</si>
  <si>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</si>
  <si>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</si>
  <si>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</si>
  <si>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</si>
  <si>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</si>
  <si>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</si>
  <si>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</si>
  <si>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</si>
  <si>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</si>
  <si>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</si>
  <si>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</si>
  <si>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</si>
  <si>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</si>
  <si>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</si>
  <si>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</si>
  <si>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</si>
  <si>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</si>
  <si>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</si>
  <si>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</si>
  <si>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</si>
  <si>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</si>
  <si>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</si>
  <si>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</si>
  <si>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</si>
  <si>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</si>
  <si>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</si>
  <si>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</si>
  <si>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</si>
  <si>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</si>
  <si>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</si>
  <si>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</si>
  <si>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</si>
  <si>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</si>
  <si>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</si>
  <si>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</si>
  <si>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</si>
  <si>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</si>
  <si>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</si>
  <si>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</si>
  <si>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</si>
  <si>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</si>
  <si>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</si>
  <si>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</si>
  <si>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</si>
  <si>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</si>
  <si>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</si>
  <si>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</si>
  <si>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</si>
  <si>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</si>
  <si>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</si>
  <si>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</si>
  <si>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</si>
  <si>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</si>
  <si>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</si>
  <si>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</si>
  <si>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</si>
  <si>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</si>
  <si>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</si>
  <si>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</si>
  <si>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</si>
  <si>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</si>
  <si>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</si>
  <si>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</si>
  <si>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</si>
  <si>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</si>
  <si>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</si>
  <si>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</si>
  <si>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</si>
  <si>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</si>
  <si>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</si>
  <si>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</si>
  <si>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</si>
  <si>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</si>
  <si>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</si>
  <si>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</si>
  <si>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</si>
  <si>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</si>
  <si>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</si>
  <si>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</si>
  <si>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</si>
  <si>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</si>
  <si>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</si>
  <si>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</si>
  <si>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</si>
  <si>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</si>
  <si>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</si>
  <si>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</si>
  <si>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</si>
  <si>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</si>
  <si>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</si>
  <si>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</si>
  <si>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</si>
  <si>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</si>
  <si>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</si>
  <si>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</si>
  <si>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</si>
  <si>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</si>
  <si>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</si>
  <si>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</si>
  <si>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</si>
  <si>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</si>
  <si>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</si>
  <si>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</si>
  <si>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</si>
  <si>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</si>
  <si>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</si>
  <si>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</si>
  <si>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</si>
  <si>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</si>
  <si>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</si>
  <si>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</si>
  <si>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</si>
  <si>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</si>
  <si>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</si>
  <si>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</si>
  <si>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</si>
  <si>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</si>
  <si>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</si>
  <si>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</si>
  <si>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</si>
  <si>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</si>
  <si>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</si>
  <si>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</si>
  <si>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</si>
  <si>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</si>
  <si>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</si>
  <si>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</si>
  <si>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</si>
  <si>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</si>
  <si>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</si>
  <si>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</si>
  <si>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</si>
  <si>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</si>
  <si>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</si>
  <si>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</si>
  <si>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</si>
  <si>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</si>
  <si>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</si>
  <si>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</si>
  <si>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</si>
  <si>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</si>
  <si>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</si>
  <si>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</si>
  <si>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</si>
  <si>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</si>
  <si>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</si>
  <si>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</si>
  <si>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</si>
  <si>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</si>
  <si>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</si>
  <si>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</si>
  <si>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</si>
  <si>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</si>
  <si>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</si>
  <si>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</si>
  <si>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</si>
  <si>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</si>
  <si>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</si>
  <si>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</si>
  <si>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</si>
  <si>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</si>
  <si>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</si>
  <si>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</si>
  <si>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</si>
  <si>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</si>
  <si>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</si>
  <si>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</si>
  <si>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</si>
  <si>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</si>
  <si>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</si>
  <si>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</si>
  <si>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</si>
  <si>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</si>
  <si>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</si>
  <si>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</si>
  <si>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</si>
  <si>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</si>
  <si>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</si>
  <si>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</si>
  <si>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</si>
  <si>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</si>
  <si>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</si>
  <si>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</si>
  <si>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</si>
  <si>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</si>
  <si>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</si>
  <si>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</si>
  <si>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</si>
  <si>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</si>
  <si>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</si>
  <si>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</si>
  <si>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</si>
  <si>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</si>
  <si>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</si>
  <si>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</si>
  <si>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</si>
  <si>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</si>
  <si>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</si>
  <si>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</si>
  <si>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</si>
  <si>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</si>
  <si>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</si>
  <si>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</si>
  <si>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</si>
  <si>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</si>
  <si>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</si>
  <si>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</si>
  <si>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</si>
  <si>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</si>
  <si>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</si>
  <si>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</si>
  <si>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</si>
  <si>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</si>
  <si>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</si>
  <si>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</si>
  <si>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</si>
  <si>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</si>
  <si>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</si>
  <si>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</si>
  <si>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</si>
  <si>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</si>
  <si>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</si>
  <si>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</si>
  <si>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</si>
  <si>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</si>
  <si>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</si>
  <si>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</si>
  <si>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</si>
  <si>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</si>
  <si>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</si>
  <si>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</si>
  <si>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</si>
  <si>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</si>
  <si>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</si>
  <si>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</si>
  <si>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</si>
  <si>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</si>
  <si>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</si>
  <si>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</si>
  <si>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</si>
  <si>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</si>
  <si>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</si>
  <si>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</si>
  <si>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</si>
  <si>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</si>
  <si>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</si>
  <si>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</si>
  <si>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</si>
  <si>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</si>
  <si>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</si>
  <si>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</si>
  <si>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</si>
  <si>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</si>
  <si>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</si>
  <si>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</si>
  <si>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</si>
  <si>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</si>
  <si>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</si>
  <si>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</si>
  <si>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</si>
  <si>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</si>
  <si>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</si>
  <si>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</si>
  <si>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</si>
  <si>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</si>
  <si>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</si>
  <si>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</si>
  <si>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</si>
  <si>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</si>
  <si>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</si>
  <si>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</si>
  <si>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</si>
  <si>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</si>
  <si>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</si>
  <si>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</si>
  <si>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</si>
  <si>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</si>
  <si>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</si>
  <si>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</si>
  <si>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</si>
  <si>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</si>
  <si>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</si>
  <si>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</si>
  <si>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</si>
  <si>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</si>
  <si>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</si>
  <si>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</si>
  <si>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</si>
  <si>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</si>
  <si>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</si>
  <si>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</si>
  <si>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</si>
  <si>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</si>
  <si>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</si>
  <si>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</si>
  <si>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</si>
  <si>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</si>
  <si>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</si>
  <si>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</si>
  <si>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</si>
  <si>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</si>
  <si>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</si>
  <si>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</si>
  <si>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</si>
  <si>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</si>
  <si>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</si>
  <si>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</si>
  <si>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</si>
  <si>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</si>
  <si>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</si>
  <si>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</si>
  <si>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</si>
  <si>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</si>
  <si>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</si>
  <si>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</si>
  <si>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</si>
  <si>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</si>
  <si>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</si>
  <si>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</si>
  <si>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</si>
  <si>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</si>
  <si>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</si>
  <si>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</si>
  <si>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</si>
  <si>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</si>
  <si>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</si>
  <si>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</si>
  <si>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</si>
  <si>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</si>
  <si>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</si>
  <si>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</si>
  <si>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</si>
  <si>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</si>
  <si>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</si>
  <si>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</si>
  <si>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</si>
  <si>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</si>
  <si>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</si>
  <si>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</si>
  <si>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</si>
  <si>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</si>
  <si>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</si>
  <si>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</si>
  <si>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</si>
  <si>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</si>
  <si>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</si>
  <si>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</si>
  <si>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</si>
  <si>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</si>
  <si>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</si>
  <si>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</si>
  <si>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</si>
  <si>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</si>
  <si>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</si>
  <si>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</si>
  <si>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</si>
  <si>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</si>
  <si>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</si>
  <si>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</si>
  <si>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</si>
  <si>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</si>
  <si>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</si>
  <si>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</si>
  <si>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</si>
  <si>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</si>
  <si>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</si>
  <si>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</si>
  <si>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</si>
  <si>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</si>
  <si>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</si>
  <si>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</si>
  <si>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</si>
  <si>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</si>
  <si>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</si>
  <si>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</si>
  <si>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</si>
  <si>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</si>
  <si>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</si>
  <si>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</si>
  <si>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</si>
  <si>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</si>
  <si>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</si>
  <si>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</si>
  <si>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</si>
  <si>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</si>
  <si>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</si>
  <si>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</si>
  <si>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</si>
  <si>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</si>
  <si>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</si>
  <si>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</si>
  <si>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</si>
  <si>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</si>
  <si>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</si>
  <si>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</si>
  <si>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</si>
  <si>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</si>
  <si>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</si>
  <si>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</si>
  <si>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</si>
  <si>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</si>
  <si>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</si>
  <si>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</si>
  <si>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</si>
  <si>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</si>
  <si>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</si>
  <si>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</si>
  <si>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</si>
  <si>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</si>
  <si>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</si>
  <si>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</si>
  <si>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</si>
  <si>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</si>
  <si>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</si>
  <si>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</si>
  <si>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</si>
  <si>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</si>
  <si>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</si>
  <si>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</si>
  <si>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</si>
  <si>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</si>
  <si>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</si>
  <si>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</si>
  <si>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</si>
  <si>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</si>
  <si>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</si>
  <si>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</si>
  <si>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</si>
  <si>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</si>
  <si>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</si>
  <si>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</si>
  <si>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</si>
  <si>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</si>
  <si>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</si>
  <si>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</si>
  <si>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</si>
  <si>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</si>
  <si>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</si>
  <si>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</si>
  <si>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</si>
  <si>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</si>
  <si>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</si>
  <si>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</si>
  <si>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</si>
  <si>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</si>
  <si>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</si>
  <si>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</si>
  <si>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</si>
  <si>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</si>
  <si>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</si>
  <si>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</si>
  <si>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</si>
  <si>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</si>
  <si>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</si>
  <si>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</si>
  <si>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</si>
  <si>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</si>
  <si>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</si>
  <si>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</si>
  <si>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</si>
  <si>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</si>
  <si>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</si>
  <si>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</si>
  <si>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</si>
  <si>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</si>
  <si>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</si>
  <si>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</si>
  <si>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</si>
  <si>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</si>
  <si>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</si>
  <si>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</si>
  <si>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</si>
  <si>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</si>
  <si>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</si>
  <si>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</si>
  <si>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</si>
  <si>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</si>
  <si>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</si>
  <si>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</si>
  <si>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</si>
  <si>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</si>
  <si>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</si>
  <si>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</si>
  <si>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</si>
  <si>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</si>
  <si>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</si>
  <si>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</si>
  <si>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</si>
  <si>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</si>
  <si>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</si>
  <si>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</si>
  <si>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</si>
  <si>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</si>
  <si>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</si>
  <si>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</si>
  <si>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</si>
  <si>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</si>
  <si>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</si>
  <si>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</si>
  <si>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</si>
  <si>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</si>
  <si>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</si>
  <si>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</si>
  <si>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</si>
  <si>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</si>
  <si>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</si>
  <si>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</si>
  <si>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</si>
  <si>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</si>
  <si>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</si>
  <si>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</si>
  <si>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</si>
  <si>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</si>
  <si>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</si>
  <si>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</si>
  <si>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</si>
  <si>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</si>
  <si>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</si>
  <si>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</si>
  <si>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</si>
  <si>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</si>
  <si>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</si>
  <si>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</si>
  <si>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</si>
  <si>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</si>
  <si>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</si>
  <si>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</si>
  <si>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</si>
  <si>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</si>
  <si>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</si>
  <si>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</si>
  <si>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</si>
  <si>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</si>
  <si>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</si>
  <si>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</si>
  <si>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</si>
  <si>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</si>
  <si>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</si>
  <si>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</si>
  <si>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</si>
  <si>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</si>
  <si>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</si>
  <si>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</si>
  <si>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</si>
  <si>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</si>
  <si>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</si>
  <si>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</si>
  <si>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</si>
  <si>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</si>
  <si>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</si>
  <si>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</si>
  <si>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</si>
  <si>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</si>
  <si>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</si>
  <si>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</si>
  <si>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</si>
  <si>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</si>
  <si>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</si>
  <si>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</si>
  <si>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</si>
  <si>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</si>
  <si>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</si>
  <si>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</si>
  <si>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</si>
  <si>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</si>
  <si>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</si>
  <si>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</si>
  <si>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</si>
  <si>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</si>
  <si>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</si>
  <si>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</si>
  <si>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</si>
  <si>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</si>
  <si>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</si>
  <si>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</si>
  <si>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</si>
  <si>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</si>
  <si>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</si>
  <si>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</si>
  <si>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</si>
  <si>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</si>
  <si>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</si>
  <si>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</si>
  <si>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</si>
  <si>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</si>
  <si>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</si>
  <si>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</si>
  <si>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</si>
  <si>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</si>
  <si>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</si>
  <si>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</si>
  <si>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</si>
  <si>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</si>
  <si>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</si>
  <si>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</si>
  <si>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</si>
  <si>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</si>
  <si>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</si>
  <si>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</si>
  <si>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</si>
  <si>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</si>
  <si>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</si>
  <si>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</si>
  <si>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</si>
  <si>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</si>
  <si>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</si>
  <si>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</si>
  <si>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</si>
  <si>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</si>
  <si>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</si>
  <si>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</si>
  <si>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</si>
  <si>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</si>
  <si>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</si>
  <si>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</si>
  <si>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</si>
  <si>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</si>
  <si>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</si>
  <si>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</si>
  <si>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</si>
  <si>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</si>
  <si>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</si>
  <si>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</si>
  <si>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</si>
  <si>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</si>
  <si>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</si>
  <si>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</si>
  <si>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</si>
  <si>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</si>
  <si>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</si>
  <si>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</si>
  <si>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</si>
  <si>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</si>
  <si>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</si>
  <si>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</si>
  <si>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</si>
  <si>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</si>
  <si>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</si>
  <si>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</si>
  <si>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</si>
  <si>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</si>
  <si>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</si>
  <si>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</si>
  <si>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</si>
  <si>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</si>
  <si>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</si>
  <si>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</si>
  <si>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</si>
  <si>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</si>
  <si>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</si>
  <si>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</si>
  <si>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</si>
  <si>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</si>
  <si>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</si>
  <si>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</si>
  <si>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</si>
  <si>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</si>
  <si>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</si>
  <si>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</si>
  <si>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</si>
  <si>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</si>
  <si>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</si>
  <si>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</si>
  <si>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</si>
  <si>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</si>
  <si>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</si>
  <si>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</si>
  <si>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</si>
  <si>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</si>
  <si>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</si>
  <si>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</si>
  <si>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</si>
  <si>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</si>
  <si>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</si>
  <si>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</si>
  <si>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</si>
  <si>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</si>
  <si>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</si>
  <si>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</si>
  <si>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</si>
  <si>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</si>
  <si>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</si>
  <si>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</si>
  <si>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</si>
  <si>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</si>
  <si>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</si>
  <si>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</si>
  <si>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</si>
  <si>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</si>
  <si>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</si>
  <si>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</si>
  <si>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</si>
  <si>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</si>
  <si>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</si>
  <si>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</si>
  <si>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</si>
  <si>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</si>
  <si>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</si>
  <si>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</si>
  <si>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</si>
  <si>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</si>
  <si>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</si>
  <si>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</si>
  <si>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</si>
  <si>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</si>
  <si>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</si>
  <si>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</si>
  <si>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</si>
  <si>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</si>
  <si>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</si>
  <si>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</si>
  <si>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</si>
  <si>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</si>
  <si>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</si>
  <si>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</si>
  <si>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</si>
  <si>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</si>
  <si>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</si>
  <si>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</si>
  <si>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</si>
  <si>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</si>
  <si>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</si>
  <si>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</si>
  <si>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</si>
  <si>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</si>
  <si>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</si>
  <si>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</si>
  <si>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</si>
  <si>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</si>
  <si>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</si>
  <si>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</si>
  <si>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</si>
  <si>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</si>
  <si>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</si>
  <si>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</si>
  <si>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</si>
  <si>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</si>
  <si>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</si>
  <si>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</si>
  <si>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</si>
  <si>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</si>
  <si>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</si>
  <si>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</si>
  <si>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</si>
  <si>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</si>
  <si>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</si>
  <si>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</si>
  <si>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</si>
  <si>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</si>
  <si>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</si>
  <si>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</si>
  <si>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</si>
  <si>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</si>
  <si>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</si>
  <si>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</si>
  <si>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</si>
  <si>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</si>
  <si>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</si>
  <si>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</si>
  <si>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</si>
  <si>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</si>
  <si>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</si>
  <si>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</si>
  <si>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</si>
  <si>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</si>
  <si>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</si>
  <si>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</si>
  <si>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</si>
  <si>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</si>
  <si>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</si>
  <si>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</si>
  <si>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</si>
  <si>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</si>
  <si>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</si>
  <si>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</si>
  <si>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</si>
  <si>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</si>
  <si>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</si>
  <si>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</si>
  <si>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</si>
  <si>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</si>
  <si>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</si>
  <si>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</si>
  <si>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</si>
  <si>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</si>
  <si>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</si>
  <si>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</si>
  <si>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</si>
  <si>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</si>
  <si>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</si>
  <si>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</si>
  <si>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</si>
  <si>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</si>
  <si>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</si>
  <si>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</si>
  <si>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</si>
  <si>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</si>
  <si>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</si>
  <si>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</si>
  <si>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</si>
  <si>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</si>
  <si>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</si>
  <si>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</si>
  <si>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</si>
  <si>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</si>
  <si>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</si>
  <si>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</si>
  <si>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</si>
  <si>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</si>
  <si>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</si>
  <si>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</si>
  <si>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</si>
  <si>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</si>
  <si>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</si>
  <si>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</si>
  <si>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</si>
  <si>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</si>
  <si>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</si>
  <si>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</si>
  <si>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</si>
  <si>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</si>
  <si>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</si>
  <si>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</si>
  <si>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</si>
  <si>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</si>
  <si>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</si>
  <si>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</si>
  <si>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</si>
  <si>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</si>
  <si>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</si>
  <si>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</si>
  <si>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</si>
  <si>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</si>
  <si>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</si>
  <si>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</si>
  <si>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</si>
  <si>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</si>
  <si>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</si>
  <si>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</si>
  <si>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</si>
  <si>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</si>
  <si>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</si>
  <si>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</si>
  <si>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</si>
  <si>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</si>
  <si>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</si>
  <si>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</si>
  <si>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</si>
  <si>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</si>
  <si>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</si>
  <si>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</si>
  <si>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</si>
  <si>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</si>
  <si>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</si>
  <si>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</si>
  <si>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</si>
  <si>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</si>
  <si>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</si>
  <si>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</si>
  <si>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</si>
  <si>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</si>
  <si>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</si>
  <si>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</si>
  <si>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</si>
  <si>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</si>
  <si>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</si>
  <si>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</si>
  <si>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</si>
  <si>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</si>
  <si>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</si>
  <si>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</si>
  <si>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</si>
  <si>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</si>
  <si>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</si>
  <si>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</si>
  <si>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</si>
  <si>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</si>
  <si>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</si>
  <si>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</si>
  <si>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</si>
  <si>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</si>
  <si>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</si>
  <si>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</si>
  <si>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</si>
  <si>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</si>
  <si>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</si>
  <si>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</si>
  <si>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</si>
  <si>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</si>
  <si>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</si>
  <si>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</si>
  <si>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</si>
  <si>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</si>
  <si>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</si>
  <si>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</si>
  <si>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</si>
  <si>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</si>
  <si>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</si>
  <si>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</si>
  <si>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</si>
  <si>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</si>
  <si>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</si>
  <si>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</si>
  <si>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</si>
  <si>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</si>
  <si>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</si>
  <si>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</si>
  <si>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</si>
  <si>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</si>
  <si>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</si>
  <si>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</si>
  <si>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</si>
  <si>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</si>
  <si>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</si>
  <si>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</si>
  <si>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</si>
  <si>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</si>
  <si>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</si>
  <si>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</si>
  <si>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</si>
  <si>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</si>
  <si>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</si>
  <si>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</si>
  <si>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</si>
  <si>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</si>
  <si>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</si>
  <si>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</si>
  <si>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</si>
  <si>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</si>
  <si>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</si>
  <si>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</si>
  <si>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</si>
  <si>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</si>
  <si>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</si>
  <si>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</si>
  <si>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</si>
  <si>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</si>
  <si>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</si>
  <si>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</si>
  <si>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</si>
  <si>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</si>
  <si>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</si>
  <si>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</si>
  <si>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</si>
  <si>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</si>
  <si>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</si>
  <si>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</si>
  <si>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</si>
  <si>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</si>
  <si>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</si>
  <si>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</si>
  <si>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</si>
  <si>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</si>
  <si>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</si>
  <si>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</si>
  <si>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</si>
  <si>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</si>
  <si>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</si>
  <si>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</si>
  <si>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</si>
  <si>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</si>
  <si>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</si>
  <si>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</si>
  <si>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</si>
  <si>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</si>
  <si>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</si>
  <si>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</si>
  <si>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</si>
  <si>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</si>
  <si>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</si>
  <si>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</si>
  <si>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</si>
  <si>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</si>
  <si>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</si>
  <si>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</si>
  <si>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</si>
  <si>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</si>
  <si>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</si>
  <si>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</si>
  <si>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</si>
  <si>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</si>
  <si>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</si>
  <si>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</si>
  <si>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</si>
  <si>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</si>
  <si>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</si>
  <si>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</si>
  <si>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</si>
  <si>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</si>
  <si>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</si>
  <si>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</si>
  <si>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</si>
  <si>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</si>
  <si>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</si>
  <si>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</si>
  <si>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</si>
  <si>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</si>
  <si>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</si>
  <si>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</si>
  <si>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</si>
  <si>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</si>
  <si>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</si>
  <si>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</si>
  <si>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</si>
  <si>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</si>
  <si>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</si>
  <si>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</si>
  <si>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</si>
  <si>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</si>
  <si>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</si>
  <si>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</si>
  <si>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</si>
  <si>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</si>
  <si>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</si>
  <si>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</si>
  <si>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</si>
  <si>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</si>
  <si>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</si>
  <si>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</si>
  <si>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</si>
  <si>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</si>
  <si>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</si>
  <si>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</si>
  <si>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</si>
  <si>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</si>
  <si>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</si>
  <si>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</si>
  <si>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</si>
  <si>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</si>
  <si>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</si>
  <si>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</si>
  <si>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</si>
  <si>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</si>
  <si>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</si>
  <si>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</si>
  <si>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</si>
  <si>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</si>
  <si>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</si>
  <si>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</si>
  <si>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</si>
  <si>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</si>
  <si>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</si>
  <si>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</si>
  <si>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</si>
  <si>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</si>
  <si>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</si>
  <si>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</si>
  <si>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</si>
  <si>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</si>
  <si>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</si>
  <si>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</si>
  <si>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</si>
  <si>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</si>
  <si>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</si>
  <si>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</si>
  <si>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</si>
  <si>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</si>
  <si>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</si>
  <si>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</si>
  <si>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</si>
  <si>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</si>
  <si>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</si>
  <si>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</si>
  <si>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</si>
  <si>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</si>
  <si>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</si>
  <si>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</si>
  <si>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</si>
  <si>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</si>
  <si>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</si>
  <si>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</si>
  <si>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</si>
  <si>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</si>
  <si>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</si>
  <si>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</si>
  <si>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</si>
  <si>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</si>
  <si>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</si>
  <si>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</si>
  <si>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</si>
  <si>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</si>
  <si>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</si>
  <si>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</si>
  <si>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</si>
  <si>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</si>
  <si>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</si>
  <si>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</si>
  <si>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</si>
  <si>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</si>
  <si>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</si>
  <si>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</si>
  <si>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</si>
  <si>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</si>
  <si>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</si>
  <si>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</si>
  <si>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</si>
  <si>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</si>
  <si>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</si>
  <si>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</si>
  <si>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</si>
  <si>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</si>
  <si>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</si>
  <si>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</si>
  <si>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</si>
  <si>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</si>
  <si>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</si>
  <si>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</si>
  <si>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</si>
  <si>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</si>
  <si>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</si>
  <si>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</si>
  <si>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</si>
  <si>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</si>
  <si>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</si>
  <si>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</si>
  <si>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</si>
  <si>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</si>
  <si>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</si>
  <si>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</si>
  <si>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</si>
  <si>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</si>
  <si>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</si>
  <si>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</si>
  <si>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</si>
  <si>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</si>
  <si>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</si>
  <si>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</si>
  <si>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</si>
  <si>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</si>
  <si>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</si>
  <si>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</si>
  <si>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</si>
  <si>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</si>
  <si>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</si>
  <si>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</si>
  <si>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</si>
  <si>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</si>
  <si>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</si>
  <si>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</si>
  <si>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</si>
  <si>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</si>
  <si>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</si>
  <si>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</si>
  <si>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</si>
  <si>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</si>
  <si>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</si>
  <si>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</si>
  <si>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</si>
  <si>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</si>
  <si>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</si>
  <si>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</si>
  <si>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</si>
  <si>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</si>
  <si>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</si>
  <si>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</si>
  <si>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</si>
  <si>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</si>
  <si>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</si>
  <si>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</si>
  <si>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</si>
  <si>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</si>
  <si>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</si>
  <si>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</si>
  <si>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</si>
  <si>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</si>
  <si>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</si>
  <si>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</si>
  <si>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</si>
  <si>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</si>
  <si>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</si>
  <si>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</si>
  <si>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</si>
  <si>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</si>
  <si>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</si>
  <si>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</si>
  <si>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</si>
  <si>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</si>
  <si>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</si>
  <si>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</si>
  <si>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</si>
  <si>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</si>
  <si>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</si>
  <si>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</si>
  <si>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</si>
  <si>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</si>
  <si>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</si>
  <si>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</si>
  <si>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</si>
  <si>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</si>
  <si>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</si>
  <si>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</si>
  <si>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</si>
  <si>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</si>
  <si>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</si>
  <si>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</si>
  <si>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</si>
  <si>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</si>
  <si>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</si>
  <si>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</si>
  <si>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</si>
  <si>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</si>
  <si>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</si>
  <si>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</si>
  <si>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</si>
  <si>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</si>
  <si>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</si>
  <si>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</si>
  <si>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</si>
  <si>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</si>
  <si>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</si>
  <si>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</si>
  <si>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</si>
  <si>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</si>
  <si>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</si>
  <si>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</si>
  <si>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</si>
  <si>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</si>
  <si>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</si>
  <si>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</si>
  <si>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</si>
  <si>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</si>
  <si>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</si>
  <si>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</si>
  <si>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</si>
  <si>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</si>
  <si>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</si>
  <si>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</si>
  <si>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</si>
  <si>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</si>
  <si>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</si>
  <si>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</si>
  <si>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</si>
  <si>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</si>
  <si>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</si>
  <si>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</si>
  <si>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</si>
  <si>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</si>
  <si>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</si>
  <si>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</si>
  <si>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</si>
  <si>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</si>
  <si>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</si>
  <si>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</si>
  <si>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</si>
  <si>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</si>
  <si>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</si>
  <si>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</si>
  <si>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</si>
  <si>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</si>
  <si>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</si>
  <si>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</si>
  <si>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</si>
  <si>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</si>
  <si>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</si>
  <si>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</si>
  <si>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</si>
  <si>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</si>
  <si>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</si>
  <si>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</si>
  <si>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</si>
  <si>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</si>
  <si>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</si>
  <si>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</si>
  <si>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</si>
  <si>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</si>
  <si>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</si>
  <si>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</si>
  <si>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</si>
  <si>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</si>
  <si>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</si>
  <si>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</si>
  <si>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</si>
  <si>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</si>
  <si>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</si>
  <si>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</si>
  <si>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</si>
  <si>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</si>
  <si>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</si>
  <si>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</si>
  <si>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</si>
  <si>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</si>
  <si>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</si>
  <si>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</si>
  <si>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</si>
  <si>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</si>
  <si>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</si>
  <si>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</si>
  <si>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</si>
  <si>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</si>
  <si>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</si>
  <si>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</si>
  <si>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</si>
  <si>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</si>
  <si>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</si>
  <si>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</si>
  <si>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</si>
  <si>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</si>
  <si>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</si>
  <si>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</si>
  <si>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</si>
  <si>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</si>
  <si>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</si>
  <si>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</si>
  <si>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</si>
  <si>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</si>
  <si>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</si>
  <si>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</si>
  <si>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</si>
  <si>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</si>
  <si>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</si>
  <si>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</si>
  <si>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</si>
  <si>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</si>
  <si>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</si>
  <si>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</si>
  <si>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</si>
  <si>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</si>
  <si>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</si>
  <si>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</si>
  <si>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</si>
  <si>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</si>
  <si>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</si>
  <si>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</si>
  <si>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</si>
  <si>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</si>
  <si>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</si>
  <si>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</si>
  <si>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</si>
  <si>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</si>
  <si>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</si>
  <si>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</si>
  <si>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</si>
  <si>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</si>
  <si>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</si>
  <si>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</si>
  <si>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</si>
  <si>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</si>
  <si>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</si>
  <si>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</si>
  <si>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</si>
  <si>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</si>
  <si>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</si>
  <si>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</si>
  <si>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</si>
  <si>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</si>
  <si>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</si>
  <si>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</si>
  <si>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</si>
  <si>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</si>
  <si>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</si>
  <si>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</si>
  <si>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</si>
  <si>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</si>
  <si>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</si>
  <si>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</si>
  <si>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</si>
  <si>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</si>
  <si>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</si>
  <si>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</si>
  <si>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</si>
  <si>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</si>
  <si>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</si>
  <si>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</si>
  <si>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</si>
  <si>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</si>
  <si>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</si>
  <si>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</si>
  <si>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</si>
  <si>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</si>
  <si>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</si>
  <si>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</si>
  <si>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</si>
  <si>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</si>
  <si>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</si>
  <si>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</si>
  <si>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</si>
  <si>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</si>
  <si>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</si>
  <si>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</si>
  <si>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</si>
  <si>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</si>
  <si>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</si>
  <si>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</si>
  <si>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</si>
  <si>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</si>
  <si>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</si>
  <si>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</si>
  <si>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</si>
  <si>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</si>
  <si>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</si>
  <si>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</si>
  <si>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</si>
  <si>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</si>
  <si>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</si>
  <si>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</si>
  <si>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</si>
  <si>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</si>
  <si>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</si>
  <si>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</si>
  <si>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</si>
  <si>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</si>
  <si>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</si>
  <si>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</si>
  <si>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</si>
  <si>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</si>
  <si>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</si>
  <si>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</si>
  <si>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</si>
  <si>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</si>
  <si>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</si>
  <si>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</si>
  <si>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</si>
  <si>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</si>
  <si>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</si>
  <si>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</si>
  <si>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</si>
  <si>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</si>
  <si>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</si>
  <si>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</si>
  <si>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</si>
  <si>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</si>
  <si>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</si>
  <si>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</si>
  <si>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</si>
  <si>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</si>
  <si>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</si>
  <si>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</si>
  <si>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</si>
  <si>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</si>
  <si>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</si>
  <si>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</si>
  <si>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</si>
  <si>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</si>
  <si>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</si>
  <si>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</si>
  <si>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</si>
  <si>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</si>
  <si>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</si>
  <si>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</si>
  <si>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</si>
  <si>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</si>
  <si>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</si>
  <si>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</si>
  <si>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</si>
  <si>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</si>
  <si>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</si>
  <si>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</si>
  <si>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</si>
  <si>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</si>
  <si>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</si>
  <si>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</si>
  <si>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</si>
  <si>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</si>
  <si>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</si>
  <si>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</si>
  <si>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</si>
  <si>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</si>
  <si>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</si>
  <si>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</si>
  <si>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</si>
  <si>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</si>
  <si>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</si>
  <si>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</si>
  <si>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</si>
  <si>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</si>
  <si>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</si>
  <si>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</si>
  <si>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</si>
  <si>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</si>
  <si>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</si>
  <si>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</si>
  <si>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</si>
  <si>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</si>
  <si>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</si>
  <si>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</si>
  <si>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</si>
  <si>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</si>
  <si>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</si>
  <si>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</si>
  <si>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</si>
  <si>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</si>
  <si>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</si>
  <si>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</si>
  <si>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</si>
  <si>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</si>
  <si>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</si>
  <si>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</si>
  <si>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</si>
  <si>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</si>
  <si>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</si>
  <si>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</si>
  <si>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</si>
  <si>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</si>
  <si>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</si>
  <si>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</si>
  <si>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</si>
  <si>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</si>
  <si>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</si>
  <si>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</si>
  <si>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</si>
  <si>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</si>
  <si>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</si>
  <si>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</si>
  <si>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</si>
  <si>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</si>
  <si>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</si>
  <si>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</si>
  <si>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</si>
  <si>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</si>
  <si>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</si>
  <si>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</si>
  <si>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</si>
  <si>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</si>
  <si>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</si>
  <si>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</si>
  <si>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</si>
  <si>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</si>
  <si>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</si>
  <si>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</si>
  <si>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</si>
  <si>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</si>
  <si>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</si>
  <si>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</si>
  <si>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</si>
  <si>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</si>
  <si>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</si>
  <si>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</si>
  <si>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</si>
  <si>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</si>
  <si>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</si>
  <si>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</si>
  <si>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</si>
  <si>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</si>
  <si>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</si>
  <si>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</si>
  <si>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</si>
  <si>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</si>
  <si>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</si>
  <si>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</si>
  <si>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</si>
  <si>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</si>
  <si>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</si>
  <si>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</si>
  <si>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</si>
  <si>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</si>
  <si>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</si>
  <si>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</si>
  <si>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</si>
  <si>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</si>
  <si>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</si>
  <si>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</si>
  <si>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</si>
  <si>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</si>
  <si>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</si>
  <si>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</si>
  <si>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</si>
  <si>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</si>
  <si>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</si>
  <si>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</si>
  <si>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</si>
  <si>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</si>
  <si>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</si>
  <si>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</si>
  <si>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</si>
  <si>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</si>
  <si>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</si>
  <si>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</si>
  <si>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</si>
  <si>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</si>
  <si>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</si>
  <si>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</si>
  <si>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</si>
  <si>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</si>
  <si>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</si>
  <si>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</si>
  <si>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</si>
  <si>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</si>
  <si>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</si>
  <si>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</si>
  <si>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</si>
  <si>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</si>
  <si>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</si>
  <si>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</si>
  <si>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</si>
  <si>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</si>
  <si>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</si>
  <si>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</si>
  <si>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</si>
  <si>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</si>
  <si>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</si>
  <si>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</si>
  <si>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</si>
  <si>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</si>
  <si>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</si>
  <si>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</si>
  <si>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</si>
  <si>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</si>
  <si>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</si>
  <si>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</si>
  <si>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</si>
  <si>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</si>
  <si>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</si>
  <si>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</si>
  <si>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</si>
  <si>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</si>
  <si>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</si>
  <si>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</si>
  <si>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</si>
  <si>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</si>
  <si>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</si>
  <si>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</si>
  <si>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</si>
  <si>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</si>
  <si>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</si>
  <si>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</si>
  <si>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</si>
  <si>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</si>
  <si>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</si>
  <si>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</si>
  <si>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</si>
  <si>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</si>
  <si>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</si>
  <si>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</si>
  <si>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</si>
  <si>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</si>
  <si>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</si>
  <si>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</si>
  <si>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</si>
  <si>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</si>
  <si>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</si>
  <si>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</si>
  <si>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</si>
  <si>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</si>
  <si>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</si>
  <si>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</si>
  <si>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</si>
  <si>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</si>
  <si>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</si>
  <si>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</si>
  <si>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</si>
  <si>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</si>
  <si>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</si>
  <si>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</si>
  <si>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</si>
  <si>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</si>
  <si>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</si>
  <si>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</si>
  <si>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</si>
  <si>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</si>
  <si>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</si>
  <si>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</si>
  <si>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</si>
  <si>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</si>
  <si>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</si>
  <si>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</si>
  <si>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</si>
  <si>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</si>
  <si>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</si>
  <si>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</si>
  <si>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</si>
  <si>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</si>
  <si>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</si>
  <si>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</si>
  <si>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</si>
  <si>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</si>
  <si>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</si>
  <si>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</si>
  <si>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</si>
  <si>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</si>
  <si>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</si>
  <si>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</si>
  <si>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</si>
  <si>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</si>
  <si>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</si>
  <si>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</si>
  <si>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</si>
  <si>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</si>
  <si>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</si>
  <si>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</si>
  <si>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</si>
  <si>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</si>
  <si>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</si>
  <si>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</si>
  <si>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</si>
  <si>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</si>
  <si>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</si>
  <si>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</si>
  <si>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</si>
  <si>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</si>
  <si>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</si>
  <si>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</si>
  <si>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</si>
  <si>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</si>
  <si>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</si>
  <si>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</si>
  <si>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</si>
  <si>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</si>
  <si>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</si>
  <si>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</si>
  <si>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</si>
  <si>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</si>
  <si>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</si>
  <si>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</si>
  <si>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</si>
  <si>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</si>
  <si>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</si>
  <si>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</si>
  <si>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</si>
  <si>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</si>
  <si>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</si>
  <si>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</si>
  <si>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</si>
  <si>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</si>
  <si>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</si>
  <si>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</si>
  <si>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</si>
  <si>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</si>
  <si>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</si>
  <si>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</si>
  <si>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</si>
  <si>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</si>
  <si>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</si>
  <si>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</si>
  <si>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</si>
  <si>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</si>
  <si>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</si>
  <si>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</si>
  <si>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</si>
  <si>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</si>
  <si>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</si>
  <si>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</si>
  <si>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</si>
  <si>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</si>
  <si>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</si>
  <si>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</si>
  <si>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</si>
  <si>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</si>
  <si>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</si>
  <si>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</si>
  <si>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</si>
  <si>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</si>
  <si>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</si>
  <si>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</si>
  <si>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</si>
  <si>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</si>
  <si>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</si>
  <si>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</si>
  <si>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</si>
  <si>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</si>
  <si>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</si>
  <si>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</si>
  <si>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</si>
  <si>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</si>
  <si>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</si>
  <si>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</si>
  <si>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</si>
  <si>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</si>
  <si>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</si>
  <si>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</si>
  <si>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</si>
  <si>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</si>
  <si>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</si>
  <si>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</si>
  <si>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</si>
  <si>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</si>
  <si>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</si>
  <si>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</si>
  <si>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</si>
  <si>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</si>
  <si>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</si>
  <si>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</si>
  <si>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</si>
  <si>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</si>
  <si>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</si>
  <si>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</si>
  <si>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</si>
  <si>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</si>
  <si>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</si>
  <si>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</si>
  <si>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</si>
  <si>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</si>
  <si>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</si>
  <si>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</si>
  <si>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</si>
  <si>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</si>
  <si>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</si>
  <si>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</si>
  <si>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</si>
  <si>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</si>
  <si>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</si>
  <si>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</si>
  <si>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</si>
  <si>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</si>
  <si>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</si>
  <si>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</si>
  <si>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</si>
  <si>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</si>
  <si>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</si>
  <si>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</si>
  <si>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</si>
  <si>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</si>
  <si>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</si>
  <si>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</si>
  <si>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</si>
  <si>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</si>
  <si>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</si>
  <si>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</si>
  <si>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</si>
  <si>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</si>
  <si>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</si>
  <si>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</si>
  <si>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</si>
  <si>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</si>
  <si>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</si>
  <si>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</si>
  <si>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</si>
  <si>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</si>
  <si>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</si>
  <si>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</si>
  <si>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</si>
  <si>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</si>
  <si>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</si>
  <si>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</si>
  <si>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</si>
  <si>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</si>
  <si>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</si>
  <si>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</si>
  <si>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</si>
  <si>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</si>
  <si>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</si>
  <si>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</si>
  <si>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</si>
  <si>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</si>
  <si>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</si>
  <si>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</si>
  <si>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</si>
  <si>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</si>
  <si>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</si>
  <si>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</si>
  <si>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</si>
  <si>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</si>
  <si>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</si>
  <si>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</si>
  <si>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</si>
  <si>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</si>
  <si>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</si>
  <si>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</si>
  <si>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</si>
  <si>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</si>
  <si>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</si>
  <si>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</si>
  <si>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</si>
  <si>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</si>
  <si>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</si>
  <si>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</si>
  <si>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</si>
  <si>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</si>
  <si>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</si>
  <si>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</si>
  <si>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</si>
  <si>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</si>
  <si>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</si>
  <si>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</si>
  <si>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</si>
  <si>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</si>
  <si>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</si>
  <si>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</si>
  <si>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</si>
  <si>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</si>
  <si>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</si>
  <si>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</si>
  <si>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</si>
  <si>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</si>
  <si>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</si>
  <si>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</si>
  <si>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</si>
  <si>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</si>
  <si>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</si>
  <si>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</si>
  <si>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</si>
  <si>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</si>
  <si>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</si>
  <si>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</si>
  <si>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</si>
  <si>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</si>
  <si>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</si>
  <si>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</si>
  <si>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</si>
  <si>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</si>
  <si>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</si>
  <si>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</si>
  <si>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</si>
  <si>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</si>
  <si>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</si>
  <si>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</si>
  <si>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</si>
  <si>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</si>
  <si>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</si>
  <si>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</si>
  <si>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</si>
  <si>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</si>
  <si>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</si>
  <si>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</si>
  <si>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</si>
  <si>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</si>
  <si>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</si>
  <si>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</si>
  <si>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</si>
  <si>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</si>
  <si>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</si>
  <si>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</si>
  <si>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</si>
  <si>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</si>
  <si>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</si>
  <si>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</si>
  <si>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</si>
  <si>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</si>
  <si>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</si>
  <si>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</si>
  <si>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</si>
  <si>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</si>
  <si>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</si>
  <si>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</si>
  <si>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</si>
  <si>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</si>
  <si>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</si>
  <si>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</si>
  <si>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</si>
  <si>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</si>
  <si>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</si>
  <si>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</si>
  <si>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</si>
  <si>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</si>
  <si>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</si>
  <si>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</si>
  <si>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</si>
  <si>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</si>
  <si>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</si>
  <si>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</si>
  <si>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</si>
  <si>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</si>
  <si>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</si>
  <si>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</si>
  <si>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</si>
  <si>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</si>
  <si>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</si>
  <si>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</si>
  <si>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</si>
  <si>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</si>
  <si>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</si>
  <si>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</si>
  <si>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</si>
  <si>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</si>
  <si>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</si>
  <si>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</si>
  <si>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</si>
  <si>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</si>
  <si>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</si>
  <si>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</si>
  <si>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</si>
  <si>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</si>
  <si>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</si>
  <si>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</si>
  <si>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</si>
  <si>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</si>
  <si>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</si>
  <si>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</si>
  <si>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</si>
  <si>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</si>
  <si>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</si>
  <si>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</si>
  <si>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</si>
  <si>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</si>
  <si>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</si>
  <si>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</si>
  <si>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</si>
  <si>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</si>
  <si>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</si>
  <si>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</si>
  <si>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</si>
  <si>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</si>
  <si>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</si>
  <si>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</si>
  <si>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</si>
  <si>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</si>
  <si>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</si>
  <si>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</si>
  <si>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</si>
  <si>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</si>
  <si>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</si>
  <si>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</si>
  <si>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</si>
  <si>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</si>
  <si>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</si>
  <si>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</si>
  <si>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</si>
  <si>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</si>
  <si>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</si>
  <si>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</si>
  <si>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</si>
  <si>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</si>
  <si>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</si>
  <si>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</si>
  <si>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</si>
  <si>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</si>
  <si>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</si>
  <si>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</si>
  <si>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</si>
  <si>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</si>
  <si>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</si>
  <si>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</si>
  <si>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</si>
  <si>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</si>
  <si>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</si>
  <si>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</si>
  <si>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</si>
  <si>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</si>
  <si>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</si>
  <si>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</si>
  <si>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</si>
  <si>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</si>
  <si>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</si>
  <si>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</si>
  <si>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</si>
  <si>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</si>
  <si>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</si>
  <si>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</si>
  <si>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</si>
  <si>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</si>
  <si>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</si>
  <si>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</si>
  <si>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</si>
  <si>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</si>
  <si>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</si>
  <si>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</si>
  <si>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</si>
  <si>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</si>
  <si>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</si>
  <si>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</si>
  <si>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</si>
  <si>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</si>
  <si>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</si>
  <si>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</si>
  <si>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</si>
  <si>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</si>
  <si>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</si>
  <si>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</si>
  <si>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</si>
  <si>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</si>
  <si>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</si>
  <si>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</si>
  <si>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</si>
  <si>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</si>
  <si>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</si>
  <si>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</si>
  <si>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</si>
  <si>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</si>
  <si>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</si>
  <si>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</si>
  <si>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</si>
  <si>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</si>
  <si>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</si>
  <si>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</si>
  <si>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</si>
  <si>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</si>
  <si>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</si>
  <si>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</si>
  <si>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</si>
  <si>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</si>
  <si>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</si>
  <si>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</si>
  <si>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</si>
  <si>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</si>
  <si>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</si>
  <si>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</si>
  <si>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</si>
  <si>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</si>
  <si>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</si>
  <si>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</si>
  <si>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</si>
  <si>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</si>
  <si>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</si>
  <si>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</si>
  <si>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</si>
  <si>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</si>
  <si>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</si>
  <si>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</si>
  <si>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</si>
  <si>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</si>
  <si>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</si>
  <si>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</si>
  <si>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</si>
  <si>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</si>
  <si>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</si>
  <si>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</si>
  <si>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</si>
  <si>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</si>
  <si>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</si>
  <si>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</si>
  <si>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</si>
  <si>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</si>
  <si>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</si>
  <si>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</si>
  <si>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</si>
  <si>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</si>
  <si>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</si>
  <si>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</si>
  <si>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</si>
  <si>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</si>
  <si>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</si>
  <si>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</si>
  <si>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</si>
  <si>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</si>
  <si>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</si>
  <si>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</si>
  <si>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</si>
  <si>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</si>
  <si>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</si>
  <si>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</si>
  <si>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</si>
  <si>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</si>
  <si>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</si>
  <si>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</si>
  <si>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</si>
  <si>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</si>
  <si>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</si>
  <si>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</si>
  <si>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</si>
  <si>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</si>
  <si>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</si>
  <si>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</si>
  <si>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</si>
  <si>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</si>
  <si>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</si>
  <si>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</si>
  <si>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</si>
  <si>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</si>
  <si>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</si>
  <si>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</si>
  <si>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</si>
  <si>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</si>
  <si>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</si>
  <si>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</si>
  <si>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</si>
  <si>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</si>
  <si>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</si>
  <si>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</si>
  <si>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</si>
  <si>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</si>
  <si>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</si>
  <si>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</si>
  <si>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</si>
  <si>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</si>
  <si>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</si>
  <si>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</si>
  <si>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</si>
  <si>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</si>
  <si>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</si>
  <si>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</si>
  <si>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</si>
  <si>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</si>
  <si>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</si>
  <si>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</si>
  <si>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</si>
  <si>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</si>
  <si>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</si>
  <si>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</si>
  <si>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</si>
  <si>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</si>
  <si>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</si>
  <si>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</si>
  <si>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</si>
  <si>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</si>
  <si>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</si>
  <si>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</si>
  <si>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</si>
  <si>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</si>
  <si>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</si>
  <si>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</si>
  <si>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</si>
  <si>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</si>
  <si>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</si>
  <si>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</si>
  <si>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</si>
  <si>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</si>
  <si>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</si>
  <si>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</si>
  <si>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</si>
  <si>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</si>
  <si>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</si>
  <si>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</si>
  <si>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</si>
  <si>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</si>
  <si>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</si>
  <si>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</si>
  <si>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</si>
  <si>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</si>
  <si>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</si>
  <si>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</si>
  <si>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</si>
  <si>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</si>
  <si>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</si>
  <si>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</si>
  <si>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</si>
  <si>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</si>
  <si>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</si>
  <si>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</si>
  <si>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</si>
  <si>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</si>
  <si>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</si>
  <si>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</si>
  <si>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</si>
  <si>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</si>
  <si>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</si>
  <si>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</si>
  <si>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</si>
  <si>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</si>
  <si>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</si>
  <si>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</si>
  <si>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</si>
  <si>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</si>
  <si>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</si>
  <si>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</si>
  <si>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</si>
  <si>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</si>
  <si>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</si>
  <si>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</si>
  <si>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</si>
  <si>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</si>
  <si>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</si>
  <si>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</si>
  <si>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</si>
  <si>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</si>
  <si>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</si>
  <si>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</si>
  <si>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</si>
  <si>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</si>
  <si>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</si>
  <si>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</si>
  <si>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</si>
  <si>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</si>
  <si>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</si>
  <si>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</si>
  <si>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</si>
  <si>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</si>
  <si>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</si>
  <si>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</si>
  <si>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</si>
  <si>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</si>
  <si>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</si>
  <si>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</si>
  <si>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</si>
  <si>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</si>
  <si>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</si>
  <si>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</si>
  <si>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</si>
  <si>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</si>
  <si>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</si>
  <si>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</si>
  <si>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</si>
  <si>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</si>
  <si>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</si>
  <si>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</si>
  <si>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</si>
  <si>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</si>
  <si>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</si>
  <si>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</si>
  <si>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</si>
  <si>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</si>
  <si>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</si>
  <si>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</si>
  <si>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</si>
  <si>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</si>
  <si>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</si>
  <si>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</si>
  <si>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</si>
  <si>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</si>
  <si>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</si>
  <si>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</si>
  <si>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</si>
  <si>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</si>
  <si>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</si>
  <si>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</si>
  <si>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</si>
  <si>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</si>
  <si>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</si>
  <si>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</si>
  <si>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</si>
  <si>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</si>
  <si>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</si>
  <si>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</si>
  <si>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</si>
  <si>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</si>
  <si>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</si>
  <si>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</si>
  <si>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</si>
  <si>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</si>
  <si>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</si>
  <si>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</si>
  <si>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</si>
  <si>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</si>
  <si>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</si>
  <si>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</si>
  <si>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</si>
  <si>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</si>
  <si>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</si>
  <si>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</si>
  <si>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</si>
  <si>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</si>
  <si>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</si>
  <si>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</si>
  <si>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</si>
  <si>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</si>
  <si>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</si>
  <si>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</si>
  <si>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</si>
  <si>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</si>
  <si>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</si>
  <si>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</si>
  <si>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</si>
  <si>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</si>
  <si>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</si>
  <si>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</si>
  <si>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</si>
  <si>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</si>
  <si>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</si>
  <si>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</si>
  <si>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</si>
  <si>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</si>
  <si>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</si>
  <si>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</si>
  <si>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</si>
  <si>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</si>
  <si>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</si>
  <si>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</si>
  <si>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</si>
  <si>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</si>
  <si>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</si>
  <si>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</si>
  <si>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</si>
  <si>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</si>
  <si>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</si>
  <si>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</si>
  <si>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</si>
  <si>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</si>
  <si>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</si>
  <si>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</si>
  <si>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</si>
  <si>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</si>
  <si>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</si>
  <si>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</si>
  <si>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</si>
  <si>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</si>
  <si>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</si>
  <si>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</si>
  <si>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</si>
  <si>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</si>
  <si>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</si>
  <si>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</si>
  <si>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</si>
  <si>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</si>
  <si>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</si>
  <si>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</si>
  <si>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</si>
  <si>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</si>
  <si>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</si>
  <si>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</si>
  <si>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</si>
  <si>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</si>
  <si>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</si>
  <si>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</si>
  <si>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</si>
  <si>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</si>
  <si>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</si>
  <si>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</si>
  <si>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</si>
  <si>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</si>
  <si>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</si>
  <si>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</si>
  <si>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</si>
  <si>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</si>
  <si>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</si>
  <si>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</si>
  <si>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</si>
  <si>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</si>
  <si>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</si>
  <si>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</si>
  <si>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</si>
  <si>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</si>
  <si>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</si>
  <si>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</si>
  <si>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</si>
  <si>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</si>
  <si>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</si>
  <si>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</si>
  <si>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</si>
  <si>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</si>
  <si>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</si>
  <si>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</si>
  <si>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</si>
  <si>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</si>
  <si>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</si>
  <si>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</si>
  <si>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</si>
  <si>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</si>
  <si>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</si>
  <si>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</si>
  <si>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</si>
  <si>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</si>
  <si>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</si>
  <si>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</si>
  <si>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</si>
  <si>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</si>
  <si>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</si>
  <si>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</si>
  <si>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</si>
  <si>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</si>
  <si>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</si>
  <si>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</si>
  <si>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</si>
  <si>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</si>
  <si>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</si>
  <si>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</si>
  <si>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</si>
  <si>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</si>
  <si>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</si>
  <si>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</si>
  <si>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</si>
  <si>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</si>
  <si>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</si>
  <si>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</si>
  <si>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</si>
  <si>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</si>
  <si>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</si>
  <si>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</si>
  <si>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</si>
  <si>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</si>
  <si>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</si>
  <si>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</si>
  <si>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</si>
  <si>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</si>
  <si>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</si>
  <si>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</si>
  <si>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</si>
  <si>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</si>
  <si>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</si>
  <si>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</si>
  <si>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</si>
  <si>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</si>
  <si>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</si>
  <si>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</si>
  <si>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</si>
  <si>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</si>
  <si>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</si>
  <si>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</si>
  <si>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</si>
  <si>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</si>
  <si>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</si>
  <si>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</si>
  <si>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</si>
  <si>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</si>
  <si>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</si>
  <si>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</si>
  <si>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</si>
  <si>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</si>
  <si>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</si>
  <si>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</si>
  <si>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</si>
  <si>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</si>
  <si>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</si>
  <si>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</si>
  <si>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</si>
  <si>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</si>
  <si>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</si>
  <si>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</si>
  <si>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</si>
  <si>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</si>
  <si>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</si>
  <si>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</si>
  <si>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</si>
  <si>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</si>
  <si>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</si>
  <si>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</si>
  <si>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</si>
  <si>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</si>
  <si>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</si>
  <si>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</si>
  <si>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</si>
  <si>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</si>
  <si>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</si>
  <si>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</si>
  <si>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</si>
  <si>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</si>
  <si>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</si>
  <si>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</si>
  <si>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</si>
  <si>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</si>
  <si>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</si>
  <si>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</si>
  <si>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</si>
  <si>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</si>
  <si>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</si>
  <si>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</si>
  <si>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</si>
  <si>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</si>
  <si>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</si>
  <si>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</si>
  <si>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</si>
  <si>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</si>
  <si>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</si>
  <si>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</si>
  <si>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</si>
  <si>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</si>
  <si>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</si>
  <si>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</si>
  <si>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</si>
  <si>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</si>
  <si>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</si>
  <si>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</si>
  <si>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</si>
  <si>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</si>
  <si>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</si>
  <si>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</si>
  <si>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</si>
  <si>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</si>
  <si>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</si>
  <si>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</si>
  <si>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</si>
  <si>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</si>
  <si>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</si>
  <si>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</si>
  <si>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</si>
  <si>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</si>
  <si>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</si>
  <si>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</si>
  <si>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</si>
  <si>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</si>
  <si>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</si>
  <si>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</si>
  <si>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</si>
  <si>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</si>
  <si>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</si>
  <si>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</si>
  <si>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</si>
  <si>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</si>
  <si>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</si>
  <si>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</si>
  <si>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</si>
  <si>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</si>
  <si>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</si>
  <si>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</si>
  <si>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</si>
  <si>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</si>
  <si>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</si>
  <si>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</si>
  <si>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</si>
  <si>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</si>
  <si>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</si>
  <si>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</si>
  <si>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</si>
  <si>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</si>
  <si>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</si>
  <si>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</si>
  <si>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</si>
  <si>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</si>
  <si>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</si>
  <si>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</si>
  <si>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</si>
  <si>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</si>
  <si>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</si>
  <si>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</si>
  <si>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</si>
  <si>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</si>
  <si>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</si>
  <si>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</si>
  <si>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</si>
  <si>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</si>
  <si>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</si>
  <si>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</si>
  <si>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</si>
  <si>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</si>
  <si>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</si>
  <si>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</si>
  <si>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</si>
  <si>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</si>
  <si>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</si>
  <si>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</si>
  <si>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</si>
  <si>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</si>
  <si>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</si>
  <si>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</si>
  <si>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</si>
  <si>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</si>
  <si>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</si>
  <si>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</si>
  <si>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</si>
  <si>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</si>
  <si>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</si>
  <si>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</si>
  <si>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</si>
  <si>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</si>
  <si>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</si>
  <si>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</si>
  <si>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</si>
  <si>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</si>
  <si>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</si>
  <si>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</si>
  <si>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</si>
  <si>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</si>
  <si>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</si>
  <si>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</si>
  <si>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</si>
  <si>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</si>
  <si>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</si>
  <si>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</si>
  <si>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</si>
  <si>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</si>
  <si>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</si>
  <si>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</si>
  <si>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</si>
  <si>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</si>
  <si>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</si>
  <si>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</si>
  <si>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</si>
  <si>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</si>
  <si>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</si>
  <si>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</si>
  <si>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</si>
  <si>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</si>
  <si>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</si>
  <si>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</si>
  <si>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</si>
  <si>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</si>
  <si>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</si>
  <si>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</si>
  <si>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</si>
  <si>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</si>
  <si>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</si>
  <si>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</si>
  <si>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</si>
  <si>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</si>
  <si>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</si>
  <si>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</si>
  <si>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</si>
  <si>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</si>
  <si>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</si>
  <si>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</si>
  <si>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</si>
  <si>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</si>
  <si>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</si>
  <si>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</si>
  <si>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</si>
  <si>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</si>
  <si>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</si>
  <si>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</si>
  <si>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</si>
  <si>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</si>
  <si>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</si>
  <si>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</si>
  <si>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</si>
  <si>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</si>
  <si>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</si>
  <si>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</si>
  <si>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</si>
  <si>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</si>
  <si>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</si>
  <si>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</si>
  <si>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</si>
  <si>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</si>
  <si>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</si>
  <si>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</si>
  <si>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</si>
  <si>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</si>
  <si>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</si>
  <si>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</si>
  <si>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</si>
  <si>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</si>
  <si>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</si>
  <si>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</si>
  <si>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</si>
  <si>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</si>
  <si>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</si>
  <si>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</si>
  <si>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</si>
  <si>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</si>
  <si>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</si>
  <si>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</si>
  <si>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</si>
  <si>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</si>
  <si>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</si>
  <si>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</si>
  <si>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</si>
  <si>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</si>
  <si>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</si>
  <si>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</si>
  <si>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</si>
  <si>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</si>
  <si>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</si>
  <si>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</si>
  <si>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</si>
  <si>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</si>
  <si>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</si>
  <si>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</si>
  <si>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</si>
  <si>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</si>
  <si>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</si>
  <si>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</si>
  <si>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</si>
  <si>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</si>
  <si>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</si>
  <si>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</si>
  <si>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</si>
  <si>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</si>
  <si>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</si>
  <si>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</si>
  <si>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</si>
  <si>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</si>
  <si>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</si>
  <si>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</si>
  <si>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</si>
  <si>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</si>
  <si>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</si>
  <si>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</si>
  <si>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</si>
  <si>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</si>
  <si>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</si>
  <si>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</si>
  <si>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</si>
  <si>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</si>
  <si>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</si>
  <si>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</si>
  <si>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</si>
  <si>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</si>
  <si>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</si>
  <si>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</si>
  <si>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</si>
  <si>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</si>
  <si>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</si>
  <si>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</si>
  <si>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</si>
  <si>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</si>
  <si>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</si>
  <si>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</si>
  <si>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</si>
  <si>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</si>
  <si>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</si>
  <si>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</si>
  <si>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</si>
  <si>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</si>
  <si>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</si>
  <si>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</si>
  <si>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</si>
  <si>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</si>
  <si>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</si>
  <si>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</si>
  <si>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</si>
  <si>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</si>
  <si>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</si>
  <si>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</si>
  <si>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</si>
  <si>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</si>
  <si>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</si>
  <si>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</si>
  <si>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</si>
  <si>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</si>
  <si>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</si>
  <si>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</si>
  <si>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</si>
  <si>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</si>
  <si>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</si>
  <si>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</si>
  <si>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</si>
  <si>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</si>
  <si>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</si>
  <si>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</si>
  <si>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</si>
  <si>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</si>
  <si>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</si>
  <si>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</si>
  <si>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</si>
  <si>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</si>
  <si>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</si>
  <si>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</si>
  <si>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</si>
  <si>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</si>
  <si>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</si>
  <si>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</si>
  <si>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</si>
  <si>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</si>
  <si>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</si>
  <si>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</si>
  <si>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</si>
  <si>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</si>
  <si>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</si>
  <si>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</si>
  <si>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</si>
  <si>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</si>
  <si>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</si>
  <si>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</si>
  <si>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</si>
  <si>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</si>
  <si>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</si>
  <si>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</si>
  <si>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</si>
  <si>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</si>
  <si>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</si>
  <si>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</si>
  <si>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</si>
  <si>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</si>
  <si>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</si>
  <si>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</si>
  <si>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</si>
  <si>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</si>
  <si>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</si>
  <si>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</si>
  <si>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</si>
  <si>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</si>
  <si>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</si>
  <si>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</si>
  <si>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</si>
  <si>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</si>
  <si>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</si>
  <si>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</si>
  <si>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</si>
  <si>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</si>
  <si>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</si>
  <si>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</si>
  <si>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</si>
  <si>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</si>
  <si>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</si>
  <si>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</si>
  <si>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</si>
  <si>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</si>
  <si>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</si>
  <si>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</si>
  <si>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</si>
  <si>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</si>
  <si>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</si>
  <si>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</si>
  <si>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</si>
  <si>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</si>
  <si>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</si>
  <si>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</si>
  <si>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</si>
  <si>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</si>
  <si>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</si>
  <si>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</si>
  <si>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</si>
  <si>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</si>
  <si>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</si>
  <si>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</si>
  <si>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</si>
  <si>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</si>
  <si>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</si>
  <si>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</si>
  <si>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</si>
  <si>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</si>
  <si>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</si>
  <si>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</si>
  <si>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</si>
  <si>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</si>
  <si>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</si>
  <si>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</si>
  <si>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</si>
  <si>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</si>
  <si>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</si>
  <si>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</si>
  <si>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</si>
  <si>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</si>
  <si>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</si>
  <si>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</si>
  <si>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</si>
  <si>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</si>
  <si>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</si>
  <si>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</si>
  <si>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</si>
  <si>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</si>
  <si>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</si>
  <si>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</si>
  <si>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</si>
  <si>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</si>
  <si>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</si>
  <si>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</si>
  <si>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</si>
  <si>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</si>
  <si>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</si>
  <si>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</si>
  <si>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</si>
  <si>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</si>
  <si>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</si>
  <si>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</si>
  <si>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</si>
  <si>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</si>
  <si>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</si>
  <si>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</si>
  <si>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</si>
  <si>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</si>
  <si>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</si>
  <si>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</si>
  <si>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</si>
  <si>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</si>
  <si>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</si>
  <si>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</si>
  <si>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</si>
  <si>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</si>
  <si>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</si>
  <si>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</si>
  <si>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</si>
  <si>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</si>
  <si>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</si>
  <si>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</si>
  <si>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</si>
  <si>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</si>
  <si>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</si>
  <si>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</si>
  <si>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</si>
  <si>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</si>
  <si>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</si>
  <si>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</si>
  <si>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</si>
  <si>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</si>
  <si>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</si>
  <si>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</si>
  <si>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</si>
  <si>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</si>
  <si>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</si>
  <si>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</si>
  <si>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</si>
  <si>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</si>
  <si>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</si>
  <si>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</si>
  <si>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</si>
  <si>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</si>
  <si>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</si>
  <si>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</si>
  <si>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</si>
  <si>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</si>
  <si>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</si>
  <si>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</si>
  <si>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</si>
  <si>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</si>
  <si>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</si>
  <si>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</si>
  <si>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</si>
  <si>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</si>
  <si>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</si>
  <si>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</si>
  <si>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</si>
  <si>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</si>
  <si>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</si>
  <si>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</si>
  <si>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</si>
  <si>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</si>
  <si>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</si>
  <si>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</si>
  <si>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</si>
  <si>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</si>
  <si>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</si>
  <si>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</si>
  <si>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</si>
  <si>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</si>
  <si>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</si>
  <si>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</si>
  <si>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</si>
  <si>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</si>
  <si>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</si>
  <si>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</si>
  <si>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</si>
  <si>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</si>
  <si>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</si>
  <si>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</si>
  <si>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</si>
  <si>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</si>
  <si>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</si>
  <si>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</si>
  <si>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</si>
  <si>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</si>
  <si>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</si>
  <si>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</si>
  <si>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</si>
  <si>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</si>
  <si>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</si>
  <si>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</si>
  <si>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</si>
  <si>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</si>
  <si>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</si>
  <si>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</si>
  <si>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</si>
  <si>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</si>
  <si>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</si>
  <si>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</si>
  <si>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</si>
  <si>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</si>
  <si>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</si>
  <si>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</si>
  <si>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</si>
  <si>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</si>
  <si>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</si>
  <si>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</si>
  <si>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</si>
  <si>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</si>
  <si>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</si>
  <si>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</si>
  <si>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</si>
  <si>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</si>
  <si>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</si>
  <si>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</si>
  <si>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</si>
  <si>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</si>
  <si>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</si>
  <si>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</si>
  <si>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</si>
  <si>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</si>
  <si>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</si>
  <si>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</si>
  <si>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</si>
  <si>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</si>
  <si>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</si>
  <si>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</si>
  <si>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</si>
  <si>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</si>
  <si>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</si>
  <si>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</si>
  <si>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</si>
  <si>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</si>
  <si>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</si>
  <si>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</si>
  <si>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</si>
  <si>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</si>
  <si>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</si>
  <si>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</si>
  <si>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</si>
  <si>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</si>
  <si>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</si>
  <si>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</si>
  <si>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</si>
  <si>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</si>
  <si>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</si>
  <si>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</si>
  <si>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</si>
  <si>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</si>
  <si>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</si>
  <si>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</si>
  <si>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</si>
  <si>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</si>
  <si>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</si>
  <si>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</si>
  <si>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</si>
  <si>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</si>
  <si>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</si>
  <si>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</si>
  <si>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</si>
  <si>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</si>
  <si>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</si>
  <si>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</si>
  <si>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</si>
  <si>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</si>
  <si>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</si>
  <si>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</si>
  <si>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</si>
  <si>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</si>
  <si>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</si>
  <si>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</si>
  <si>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</si>
  <si>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</si>
  <si>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</si>
  <si>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</si>
  <si>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</si>
  <si>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</si>
  <si>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</si>
  <si>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</si>
  <si>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</si>
  <si>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</si>
  <si>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</si>
  <si>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</si>
  <si>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</si>
  <si>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</si>
  <si>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</si>
  <si>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</si>
  <si>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</si>
  <si>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</si>
  <si>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</si>
  <si>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</si>
  <si>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</si>
  <si>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</si>
  <si>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</si>
  <si>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</si>
  <si>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</si>
  <si>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</si>
  <si>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</si>
  <si>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</si>
  <si>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</si>
  <si>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</si>
  <si>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</si>
  <si>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</si>
  <si>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</si>
  <si>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</si>
  <si>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</si>
  <si>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</si>
  <si>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</si>
  <si>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</si>
  <si>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</si>
  <si>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</si>
  <si>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</si>
  <si>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</si>
  <si>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</si>
  <si>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</si>
  <si>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</si>
  <si>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</si>
  <si>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</si>
  <si>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</si>
  <si>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</si>
  <si>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</si>
  <si>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</si>
  <si>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</si>
  <si>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</si>
  <si>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</si>
  <si>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</si>
  <si>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</si>
  <si>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</si>
  <si>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</si>
  <si>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</si>
  <si>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</si>
  <si>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</si>
  <si>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</si>
  <si>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</si>
  <si>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</si>
  <si>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</si>
  <si>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</si>
  <si>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</si>
  <si>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</si>
  <si>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</si>
  <si>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</si>
  <si>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</si>
  <si>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</si>
  <si>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</si>
  <si>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</si>
  <si>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</si>
  <si>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</si>
  <si>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</si>
  <si>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</si>
  <si>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</si>
  <si>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</si>
  <si>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</si>
  <si>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</si>
  <si>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</si>
  <si>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</si>
  <si>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</si>
  <si>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</si>
  <si>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</si>
  <si>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</si>
  <si>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</si>
  <si>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</si>
  <si>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</si>
  <si>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</si>
  <si>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</si>
  <si>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</si>
  <si>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</si>
  <si>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</si>
  <si>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</si>
  <si>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</si>
  <si>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</si>
  <si>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</si>
  <si>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</si>
  <si>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</si>
  <si>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</si>
  <si>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</si>
  <si>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</si>
  <si>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</si>
  <si>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</si>
  <si>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</si>
  <si>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</si>
  <si>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</si>
  <si>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</si>
  <si>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</si>
  <si>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</si>
  <si>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</si>
  <si>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</si>
  <si>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</si>
  <si>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</si>
  <si>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</si>
  <si>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</si>
  <si>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</si>
  <si>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</si>
  <si>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</si>
  <si>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</si>
  <si>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</si>
  <si>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</si>
  <si>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</si>
  <si>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</si>
  <si>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</si>
  <si>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</si>
  <si>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</si>
  <si>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</si>
  <si>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</si>
  <si>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</si>
  <si>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</si>
  <si>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</si>
  <si>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</si>
  <si>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</si>
  <si>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</si>
  <si>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</si>
  <si>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</si>
  <si>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</si>
  <si>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</si>
  <si>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</si>
  <si>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</si>
  <si>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</si>
  <si>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</si>
  <si>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</si>
  <si>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</si>
  <si>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</si>
  <si>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</si>
  <si>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</si>
  <si>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</si>
  <si>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</si>
  <si>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</si>
  <si>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</si>
  <si>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</si>
  <si>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</si>
  <si>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</si>
  <si>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</si>
  <si>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</si>
  <si>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</si>
  <si>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</si>
  <si>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</si>
  <si>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</si>
  <si>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</si>
  <si>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</si>
  <si>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</si>
  <si>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</si>
  <si>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</si>
  <si>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</si>
  <si>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</si>
  <si>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</si>
  <si>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</si>
  <si>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</si>
  <si>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</si>
  <si>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</si>
  <si>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</si>
  <si>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</si>
  <si>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</si>
  <si>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</si>
  <si>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</si>
  <si>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</si>
  <si>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</si>
  <si>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</si>
  <si>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</si>
  <si>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</si>
  <si>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</si>
  <si>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</si>
  <si>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</si>
  <si>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</si>
  <si>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</si>
  <si>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</si>
  <si>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</si>
  <si>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</si>
  <si>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</si>
  <si>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</si>
  <si>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</si>
  <si>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</si>
  <si>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</si>
  <si>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</si>
  <si>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</si>
  <si>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</si>
  <si>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</si>
  <si>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</si>
  <si>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</si>
  <si>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</si>
  <si>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</si>
  <si>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</si>
  <si>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</si>
  <si>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</si>
  <si>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</si>
  <si>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</si>
  <si>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</si>
  <si>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</si>
  <si>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</si>
  <si>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</si>
  <si>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</si>
  <si>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</si>
  <si>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</si>
  <si>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</si>
  <si>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</si>
  <si>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</si>
  <si>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</si>
  <si>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</si>
  <si>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</si>
  <si>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</si>
  <si>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</si>
  <si>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</si>
  <si>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</si>
  <si>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</si>
  <si>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</si>
  <si>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</si>
  <si>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</si>
  <si>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</si>
  <si>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</si>
  <si>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</si>
  <si>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</si>
  <si>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</si>
  <si>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</si>
  <si>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</si>
  <si>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</si>
  <si>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</si>
  <si>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</si>
  <si>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</si>
  <si>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</si>
  <si>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</si>
  <si>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</si>
  <si>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</si>
  <si>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</si>
  <si>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</si>
  <si>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</si>
  <si>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</si>
  <si>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</si>
  <si>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</si>
  <si>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</si>
  <si>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</si>
  <si>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</si>
  <si>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</si>
  <si>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</si>
  <si>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</si>
  <si>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</si>
  <si>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</si>
  <si>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</si>
  <si>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</si>
  <si>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</si>
  <si>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</si>
  <si>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</si>
  <si>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</si>
  <si>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</si>
  <si>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</si>
  <si>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</si>
  <si>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</si>
  <si>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</si>
  <si>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</si>
  <si>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</si>
  <si>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</si>
  <si>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</si>
  <si>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</si>
  <si>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</si>
  <si>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</si>
  <si>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</si>
  <si>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</si>
  <si>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</si>
  <si>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</si>
  <si>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</si>
  <si>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</si>
  <si>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</si>
  <si>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</si>
  <si>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</si>
  <si>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</si>
  <si>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</si>
  <si>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</si>
  <si>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</si>
  <si>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</si>
  <si>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</si>
  <si>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</si>
  <si>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</si>
  <si>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</si>
  <si>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</si>
  <si>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</si>
  <si>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</si>
  <si>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</si>
  <si>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</si>
  <si>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</si>
  <si>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</si>
  <si>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</si>
  <si>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</si>
  <si>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</si>
  <si>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</si>
  <si>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</si>
  <si>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</si>
  <si>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</si>
  <si>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</si>
  <si>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</si>
  <si>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</si>
  <si>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</si>
  <si>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</si>
  <si>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</si>
  <si>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</si>
  <si>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</si>
  <si>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</si>
  <si>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</si>
  <si>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</si>
  <si>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</si>
  <si>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</si>
  <si>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</si>
  <si>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</si>
  <si>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</si>
  <si>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</si>
  <si>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</si>
  <si>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</si>
  <si>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</si>
  <si>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</si>
  <si>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</si>
  <si>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</si>
  <si>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</si>
  <si>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</si>
  <si>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</si>
  <si>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</si>
  <si>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</si>
  <si>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</si>
  <si>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</si>
  <si>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</si>
  <si>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</si>
  <si>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</si>
  <si>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</si>
  <si>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</si>
  <si>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</si>
  <si>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</si>
  <si>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</si>
  <si>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</si>
  <si>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</si>
  <si>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</si>
  <si>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</si>
  <si>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</si>
  <si>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</si>
  <si>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</si>
  <si>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</si>
  <si>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</si>
  <si>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</si>
  <si>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</si>
  <si>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</si>
  <si>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</si>
  <si>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</si>
  <si>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</si>
  <si>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</si>
  <si>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</si>
  <si>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</si>
  <si>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</si>
  <si>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</si>
  <si>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</si>
  <si>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</si>
  <si>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</si>
  <si>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</si>
  <si>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</si>
  <si>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</si>
  <si>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</si>
  <si>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</si>
  <si>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</si>
  <si>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</si>
  <si>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</si>
  <si>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</si>
  <si>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</si>
  <si>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</si>
  <si>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</si>
  <si>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</si>
  <si>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</si>
  <si>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</si>
  <si>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</si>
  <si>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</si>
  <si>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</si>
  <si>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</si>
  <si>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</si>
  <si>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</si>
  <si>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</si>
  <si>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</si>
  <si>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</si>
  <si>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</si>
  <si>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</si>
  <si>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</si>
  <si>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</si>
  <si>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</si>
  <si>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</si>
  <si>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</si>
  <si>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</si>
  <si>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</si>
  <si>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</si>
  <si>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</si>
  <si>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</si>
  <si>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</si>
  <si>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</si>
  <si>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</si>
  <si>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</si>
  <si>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</si>
  <si>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</si>
  <si>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</si>
  <si>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</si>
  <si>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</si>
  <si>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</si>
  <si>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</si>
  <si>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</si>
  <si>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</si>
  <si>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</si>
  <si>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</si>
  <si>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</si>
  <si>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</si>
  <si>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</si>
  <si>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</si>
  <si>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</si>
  <si>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</si>
  <si>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</si>
  <si>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</si>
  <si>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</si>
  <si>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</si>
  <si>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</si>
  <si>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</si>
  <si>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</si>
  <si>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</si>
  <si>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</si>
  <si>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</si>
  <si>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</si>
  <si>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</si>
  <si>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</si>
  <si>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</si>
  <si>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</si>
  <si>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</si>
  <si>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</si>
  <si>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</si>
  <si>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</si>
  <si>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</si>
  <si>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</si>
  <si>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</si>
  <si>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</si>
  <si>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</si>
  <si>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</si>
  <si>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</si>
  <si>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</si>
  <si>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</si>
  <si>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</si>
  <si>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</si>
  <si>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</si>
  <si>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</si>
  <si>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</si>
  <si>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</si>
  <si>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</si>
  <si>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</si>
  <si>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</si>
  <si>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</si>
  <si>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</si>
  <si>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</si>
  <si>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</si>
  <si>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</si>
  <si>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</si>
  <si>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</si>
  <si>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</si>
  <si>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</si>
  <si>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</si>
  <si>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</si>
  <si>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</si>
  <si>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</si>
  <si>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</si>
  <si>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</si>
  <si>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</si>
  <si>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</si>
  <si>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</si>
  <si>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</si>
  <si>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</si>
  <si>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</si>
  <si>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</si>
  <si>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</si>
  <si>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</si>
  <si>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</si>
  <si>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</si>
  <si>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</si>
  <si>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</si>
  <si>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</si>
  <si>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</si>
  <si>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</si>
  <si>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</si>
  <si>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</si>
  <si>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</si>
  <si>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</si>
  <si>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</si>
  <si>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</si>
  <si>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</si>
  <si>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</si>
  <si>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</si>
  <si>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</si>
  <si>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</si>
  <si>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</si>
  <si>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</si>
  <si>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</si>
  <si>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</si>
  <si>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</si>
  <si>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</si>
  <si>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</si>
  <si>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</si>
  <si>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</si>
  <si>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</si>
  <si>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</si>
  <si>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</si>
  <si>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</si>
  <si>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</si>
  <si>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</si>
  <si>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</si>
  <si>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</si>
  <si>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</si>
  <si>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</si>
  <si>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</si>
  <si>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</si>
  <si>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</si>
  <si>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</si>
  <si>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</si>
  <si>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</si>
  <si>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</si>
  <si>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</si>
  <si>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</si>
  <si>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</si>
  <si>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</si>
  <si>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</si>
  <si>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</si>
  <si>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</si>
  <si>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</si>
  <si>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</si>
  <si>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</si>
  <si>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</si>
  <si>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</si>
  <si>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</si>
  <si>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</si>
  <si>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</si>
  <si>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</si>
  <si>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</si>
  <si>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</si>
  <si>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</si>
  <si>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</si>
  <si>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</si>
  <si>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</si>
  <si>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</si>
  <si>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</si>
  <si>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</si>
  <si>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</si>
  <si>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</si>
  <si>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</si>
  <si>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</si>
  <si>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</si>
  <si>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</si>
  <si>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</si>
  <si>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</si>
  <si>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</si>
  <si>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</si>
  <si>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</si>
  <si>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</si>
  <si>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</si>
  <si>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</si>
  <si>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</si>
  <si>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</si>
  <si>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</si>
  <si>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</si>
  <si>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</si>
  <si>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</si>
  <si>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</si>
  <si>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</si>
  <si>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</si>
  <si>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</si>
  <si>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</si>
  <si>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</si>
  <si>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</si>
  <si>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</si>
  <si>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</si>
  <si>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</si>
  <si>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</si>
  <si>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</si>
  <si>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</si>
  <si>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</si>
  <si>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</si>
  <si>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</si>
  <si>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</si>
  <si>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</si>
  <si>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</si>
  <si>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</si>
  <si>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</si>
  <si>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</si>
  <si>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</si>
  <si>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</si>
  <si>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</si>
  <si>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</si>
  <si>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</si>
  <si>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</si>
  <si>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</si>
  <si>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</si>
  <si>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</si>
  <si>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</si>
  <si>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</si>
  <si>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</si>
  <si>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</si>
  <si>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</si>
  <si>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</si>
  <si>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</si>
  <si>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</si>
  <si>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</si>
  <si>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</si>
  <si>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</si>
  <si>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</si>
  <si>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</si>
  <si>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</si>
  <si>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</si>
  <si>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</si>
  <si>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</si>
  <si>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</si>
  <si>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</si>
  <si>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</si>
  <si>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</si>
  <si>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</si>
  <si>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</si>
  <si>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</si>
  <si>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</si>
  <si>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</si>
  <si>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</si>
  <si>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</si>
  <si>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</si>
  <si>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</si>
  <si>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</si>
  <si>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</si>
  <si>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</si>
  <si>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</si>
  <si>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</si>
  <si>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</si>
  <si>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</si>
  <si>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</si>
  <si>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</si>
  <si>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</si>
  <si>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</si>
  <si>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</si>
  <si>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</si>
  <si>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</si>
  <si>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</si>
  <si>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</si>
  <si>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</si>
  <si>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</si>
  <si>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</si>
  <si>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</si>
  <si>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</si>
  <si>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</si>
  <si>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</si>
  <si>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</si>
  <si>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</si>
  <si>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</si>
  <si>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</si>
  <si>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</si>
  <si>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</si>
  <si>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</si>
  <si>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</si>
  <si>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</si>
  <si>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</si>
  <si>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</si>
  <si>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</si>
  <si>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</si>
  <si>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</si>
  <si>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</si>
  <si>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</si>
  <si>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</si>
  <si>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</si>
  <si>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</si>
  <si>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</si>
  <si>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</si>
  <si>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</si>
  <si>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</si>
  <si>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</si>
  <si>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</si>
  <si>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</si>
  <si>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</si>
  <si>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</si>
  <si>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</si>
  <si>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</si>
  <si>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</si>
  <si>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</si>
  <si>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</si>
  <si>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</si>
  <si>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</si>
  <si>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</si>
  <si>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</si>
  <si>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</si>
  <si>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</si>
  <si>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</si>
  <si>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</si>
  <si>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</si>
  <si>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</si>
  <si>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</si>
  <si>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</si>
  <si>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</si>
  <si>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</si>
  <si>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</si>
  <si>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</si>
  <si>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</si>
  <si>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</si>
  <si>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</si>
  <si>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</si>
  <si>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</si>
  <si>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</si>
  <si>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</si>
  <si>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</si>
  <si>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</si>
  <si>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</si>
  <si>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</si>
  <si>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</si>
  <si>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</si>
  <si>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</si>
  <si>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</si>
  <si>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</si>
  <si>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</si>
  <si>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</si>
  <si>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</si>
  <si>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</si>
  <si>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</si>
  <si>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</si>
  <si>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</si>
  <si>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</si>
  <si>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</si>
  <si>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</si>
  <si>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</si>
  <si>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</si>
  <si>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</si>
  <si>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</si>
  <si>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</si>
  <si>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</si>
  <si>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</si>
  <si>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</si>
  <si>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</si>
  <si>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</si>
  <si>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</si>
  <si>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</si>
  <si>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</si>
  <si>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</si>
  <si>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</si>
  <si>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</si>
  <si>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</si>
  <si>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</si>
  <si>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</si>
  <si>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</si>
  <si>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</si>
  <si>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</si>
  <si>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</si>
  <si>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</si>
  <si>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</si>
  <si>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</si>
  <si>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</si>
  <si>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</si>
  <si>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</si>
  <si>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</si>
  <si>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</si>
  <si>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</si>
  <si>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</si>
  <si>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</si>
  <si>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</si>
  <si>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</si>
  <si>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</si>
  <si>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</si>
  <si>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</si>
  <si>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</si>
  <si>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</si>
  <si>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</si>
  <si>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</si>
  <si>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</si>
  <si>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</si>
  <si>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</si>
  <si>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</si>
  <si>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</si>
  <si>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</si>
  <si>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</si>
  <si>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</si>
  <si>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</si>
  <si>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</si>
  <si>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</si>
  <si>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</si>
  <si>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</si>
  <si>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</si>
  <si>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</si>
  <si>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</si>
  <si>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</si>
  <si>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</si>
  <si>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</si>
  <si>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</si>
  <si>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</si>
  <si>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</si>
  <si>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</si>
  <si>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</si>
  <si>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</si>
  <si>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</si>
  <si>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</si>
  <si>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</si>
  <si>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</si>
  <si>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</si>
  <si>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</si>
  <si>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</si>
  <si>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</si>
  <si>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</si>
  <si>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</si>
  <si>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</si>
  <si>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</si>
  <si>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</si>
  <si>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</si>
  <si>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</si>
  <si>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</si>
  <si>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</si>
  <si>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</si>
  <si>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</si>
  <si>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</si>
  <si>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</si>
  <si>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</si>
  <si>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</si>
  <si>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</si>
  <si>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</si>
  <si>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</si>
  <si>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</si>
  <si>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</si>
  <si>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</si>
  <si>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</si>
  <si>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</si>
  <si>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</si>
  <si>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</si>
  <si>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</si>
  <si>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</si>
  <si>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</si>
  <si>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</si>
  <si>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</si>
  <si>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</si>
  <si>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</si>
  <si>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</si>
  <si>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</si>
  <si>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</si>
  <si>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</si>
  <si>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</si>
  <si>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</si>
  <si>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</si>
  <si>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</si>
  <si>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</si>
  <si>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</si>
  <si>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</si>
  <si>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</si>
  <si>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</si>
  <si>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</si>
  <si>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</si>
  <si>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</si>
  <si>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</si>
  <si>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</si>
  <si>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</si>
  <si>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</si>
  <si>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</si>
  <si>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</si>
  <si>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</si>
  <si>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</si>
  <si>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</si>
  <si>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</si>
  <si>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</si>
  <si>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</si>
  <si>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</si>
  <si>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</si>
  <si>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</si>
  <si>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</si>
  <si>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</si>
  <si>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</si>
  <si>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</si>
  <si>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</si>
  <si>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</si>
  <si>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</si>
  <si>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</si>
  <si>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</si>
  <si>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</si>
  <si>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</si>
  <si>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</si>
  <si>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</si>
  <si>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</si>
  <si>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</si>
  <si>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</si>
  <si>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</si>
  <si>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</si>
  <si>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</si>
  <si>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</si>
  <si>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</si>
  <si>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</si>
  <si>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</si>
  <si>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</si>
  <si>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</si>
  <si>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</si>
  <si>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</si>
  <si>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</si>
  <si>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</si>
  <si>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</si>
  <si>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</si>
  <si>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</si>
  <si>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</si>
  <si>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</si>
  <si>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</si>
  <si>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</si>
  <si>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</si>
  <si>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</si>
  <si>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</si>
  <si>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</si>
  <si>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</si>
  <si>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</si>
  <si>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</si>
  <si>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</si>
  <si>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</si>
  <si>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</si>
  <si>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</si>
  <si>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</si>
  <si>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</si>
  <si>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</si>
  <si>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</si>
  <si>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</si>
  <si>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</si>
  <si>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</si>
  <si>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</si>
  <si>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</si>
  <si>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</si>
  <si>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</si>
  <si>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</si>
  <si>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</si>
  <si>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</si>
  <si>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</si>
  <si>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</si>
  <si>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</si>
  <si>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</si>
  <si>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</si>
  <si>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</si>
  <si>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</si>
  <si>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</si>
  <si>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</si>
  <si>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</si>
  <si>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</si>
  <si>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</si>
  <si>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</si>
  <si>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</si>
  <si>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</si>
  <si>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</si>
  <si>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</si>
  <si>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</si>
  <si>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</si>
  <si>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</si>
  <si>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</si>
  <si>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</si>
  <si>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</si>
  <si>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</si>
  <si>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</si>
  <si>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</si>
  <si>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</si>
  <si>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</si>
  <si>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</si>
  <si>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</si>
  <si>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</si>
  <si>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</si>
  <si>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</si>
  <si>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</si>
  <si>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</si>
  <si>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</si>
  <si>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</si>
  <si>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</si>
  <si>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</si>
  <si>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</si>
  <si>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</si>
  <si>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</si>
  <si>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</si>
  <si>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</si>
  <si>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</si>
  <si>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</si>
  <si>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</si>
  <si>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</si>
  <si>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</si>
  <si>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</si>
  <si>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</si>
  <si>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</si>
  <si>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</si>
  <si>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</si>
  <si>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</si>
  <si>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</si>
  <si>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</si>
  <si>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</si>
  <si>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</si>
  <si>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</si>
  <si>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</si>
  <si>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</si>
  <si>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</si>
  <si>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</si>
  <si>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</si>
  <si>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</si>
  <si>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</si>
  <si>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</si>
  <si>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</si>
  <si>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</si>
  <si>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</si>
  <si>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</si>
  <si>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</si>
  <si>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</si>
  <si>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</si>
  <si>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</si>
  <si>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</si>
  <si>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</si>
  <si>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</si>
  <si>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</si>
  <si>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</si>
  <si>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</si>
  <si>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</si>
  <si>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</si>
  <si>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</si>
  <si>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</si>
  <si>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</si>
  <si>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</si>
  <si>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</si>
  <si>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</si>
  <si>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</si>
  <si>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</si>
  <si>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</si>
  <si>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</si>
  <si>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</si>
  <si>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</si>
  <si>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</si>
  <si>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</si>
  <si>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</si>
  <si>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</si>
  <si>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</si>
  <si>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</si>
  <si>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</si>
  <si>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</si>
  <si>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</si>
  <si>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</si>
  <si>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</si>
  <si>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</si>
  <si>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</si>
  <si>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</si>
  <si>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</si>
  <si>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</si>
  <si>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</si>
  <si>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</si>
  <si>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</si>
  <si>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</si>
  <si>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</si>
  <si>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</si>
  <si>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</si>
  <si>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</si>
  <si>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</si>
  <si>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</si>
  <si>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</si>
  <si>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</si>
  <si>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</si>
  <si>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</si>
  <si>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</si>
  <si>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</si>
  <si>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</si>
  <si>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</si>
  <si>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</si>
  <si>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</si>
  <si>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</si>
  <si>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</si>
  <si>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</si>
  <si>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</si>
  <si>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</si>
  <si>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</si>
  <si>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</si>
  <si>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</si>
  <si>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</si>
  <si>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</si>
  <si>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</si>
  <si>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</si>
  <si>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</si>
  <si>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</si>
  <si>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</si>
  <si>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</si>
  <si>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</si>
  <si>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</si>
  <si>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</si>
  <si>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</si>
  <si>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</si>
  <si>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</si>
  <si>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</si>
  <si>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</si>
  <si>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</si>
  <si>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</si>
  <si>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</si>
  <si>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</si>
  <si>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</si>
  <si>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</si>
  <si>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</si>
  <si>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</si>
  <si>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</si>
  <si>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</si>
  <si>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</si>
  <si>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</si>
  <si>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</si>
  <si>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</si>
  <si>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</si>
  <si>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</si>
  <si>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</si>
  <si>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</si>
  <si>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</si>
  <si>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</si>
  <si>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</si>
  <si>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</si>
  <si>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</si>
  <si>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</si>
  <si>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</si>
  <si>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</si>
  <si>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</si>
  <si>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</si>
  <si>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</si>
  <si>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</si>
  <si>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</si>
  <si>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</si>
  <si>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</si>
  <si>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</si>
  <si>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</si>
  <si>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</si>
  <si>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</si>
  <si>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</si>
  <si>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</si>
  <si>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</si>
  <si>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</si>
  <si>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</si>
  <si>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</si>
  <si>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</si>
  <si>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</si>
  <si>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</si>
  <si>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</si>
  <si>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</si>
  <si>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</si>
  <si>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</si>
  <si>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</si>
  <si>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</si>
  <si>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</si>
  <si>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</si>
  <si>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</si>
  <si>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</si>
  <si>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</si>
  <si>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</si>
  <si>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</si>
  <si>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</si>
  <si>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</si>
  <si>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</si>
  <si>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</si>
  <si>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</si>
  <si>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</si>
  <si>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</si>
  <si>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</si>
  <si>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</si>
  <si>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</si>
  <si>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</si>
  <si>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</si>
  <si>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</si>
  <si>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</si>
  <si>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</si>
  <si>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</si>
  <si>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</si>
  <si>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</si>
  <si>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</si>
  <si>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</si>
  <si>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</si>
  <si>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</si>
  <si>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</si>
  <si>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</si>
  <si>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</si>
  <si>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</si>
  <si>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</si>
  <si>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</si>
  <si>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</si>
  <si>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</si>
  <si>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</si>
  <si>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</si>
  <si>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</si>
  <si>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</si>
  <si>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</si>
  <si>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</si>
  <si>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</si>
  <si>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</si>
  <si>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</si>
  <si>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</si>
  <si>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</si>
  <si>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</si>
  <si>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</si>
  <si>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</si>
  <si>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</si>
  <si>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</si>
  <si>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</si>
  <si>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</si>
  <si>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</si>
  <si>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</si>
  <si>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</si>
  <si>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</si>
  <si>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</si>
  <si>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</si>
  <si>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</si>
  <si>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</si>
  <si>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</si>
  <si>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</si>
  <si>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</si>
  <si>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</si>
  <si>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</si>
  <si>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</si>
  <si>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</si>
  <si>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</si>
  <si>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</si>
  <si>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</si>
  <si>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</si>
  <si>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</si>
  <si>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</si>
  <si>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</si>
  <si>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</si>
  <si>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</si>
  <si>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</si>
  <si>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</si>
  <si>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</si>
  <si>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</si>
  <si>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</si>
  <si>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</si>
  <si>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</si>
  <si>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</si>
  <si>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</si>
  <si>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</si>
  <si>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</si>
  <si>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</si>
  <si>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</si>
  <si>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</si>
  <si>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</si>
  <si>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</si>
  <si>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</si>
  <si>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</si>
  <si>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</si>
  <si>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</si>
  <si>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</si>
  <si>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</si>
  <si>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</si>
  <si>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</si>
  <si>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</si>
  <si>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</si>
  <si>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</si>
  <si>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</si>
  <si>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</si>
  <si>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</si>
  <si>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</si>
  <si>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</si>
  <si>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</si>
  <si>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</si>
  <si>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</si>
  <si>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</si>
  <si>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</si>
  <si>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</si>
  <si>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</si>
  <si>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</si>
  <si>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</si>
  <si>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</si>
  <si>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</si>
  <si>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</si>
  <si>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</si>
  <si>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</si>
  <si>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</si>
  <si>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</si>
  <si>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</si>
  <si>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</si>
  <si>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</si>
  <si>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</si>
  <si>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</si>
  <si>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</si>
  <si>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</si>
  <si>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</si>
  <si>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</si>
  <si>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</si>
  <si>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</si>
  <si>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</si>
  <si>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</si>
  <si>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</si>
  <si>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</si>
  <si>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</si>
  <si>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</si>
  <si>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</si>
  <si>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</si>
  <si>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</si>
  <si>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</si>
  <si>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</si>
  <si>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</si>
  <si>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</si>
  <si>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</si>
  <si>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</si>
  <si>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</si>
  <si>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</si>
  <si>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</si>
  <si>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</si>
  <si>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</si>
  <si>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</si>
  <si>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</si>
  <si>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</si>
  <si>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</si>
  <si>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</si>
  <si>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</si>
  <si>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</si>
  <si>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</si>
  <si>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</si>
  <si>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</si>
  <si>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</si>
  <si>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</si>
  <si>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</si>
  <si>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</si>
  <si>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</si>
  <si>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</si>
  <si>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</si>
  <si>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</si>
  <si>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</si>
  <si>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</si>
  <si>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</si>
  <si>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</si>
  <si>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</si>
  <si>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</si>
  <si>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</si>
  <si>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</si>
  <si>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</si>
  <si>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</si>
  <si>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</si>
  <si>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</si>
  <si>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</si>
  <si>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</si>
  <si>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</si>
  <si>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</si>
  <si>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</si>
  <si>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</si>
  <si>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</si>
  <si>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</si>
  <si>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</si>
  <si>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</si>
  <si>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</si>
  <si>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</si>
  <si>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</si>
  <si>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</si>
  <si>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</si>
  <si>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</si>
  <si>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</si>
  <si>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</si>
  <si>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</si>
  <si>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</si>
  <si>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</si>
  <si>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</si>
  <si>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</si>
  <si>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</si>
  <si>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</si>
  <si>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</si>
  <si>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</si>
  <si>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</si>
  <si>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</si>
  <si>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</si>
  <si>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</si>
  <si>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</si>
  <si>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</si>
  <si>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</si>
  <si>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</si>
  <si>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</si>
  <si>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</si>
  <si>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</si>
  <si>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</si>
  <si>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</si>
  <si>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</si>
  <si>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</si>
  <si>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</si>
  <si>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</si>
  <si>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</si>
  <si>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</si>
  <si>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</si>
  <si>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</si>
  <si>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</si>
  <si>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</si>
  <si>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</si>
  <si>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</si>
  <si>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</si>
  <si>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</si>
  <si>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</si>
  <si>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</si>
  <si>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</si>
  <si>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</si>
  <si>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</si>
  <si>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</si>
  <si>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</si>
  <si>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</si>
  <si>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</si>
  <si>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</si>
  <si>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</si>
  <si>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</si>
  <si>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</si>
  <si>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</si>
  <si>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</si>
  <si>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</si>
  <si>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</si>
  <si>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</si>
  <si>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</si>
  <si>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</si>
  <si>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</si>
  <si>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</si>
  <si>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</si>
  <si>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</si>
  <si>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</si>
  <si>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</si>
  <si>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</si>
  <si>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</si>
  <si>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</si>
  <si>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</si>
  <si>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</si>
  <si>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</si>
  <si>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</si>
  <si>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</si>
  <si>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</si>
  <si>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</si>
  <si>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</si>
  <si>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</si>
  <si>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</si>
  <si>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</si>
  <si>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</si>
  <si>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</si>
  <si>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</si>
  <si>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</si>
  <si>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</si>
  <si>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</si>
  <si>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</si>
  <si>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</si>
  <si>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</si>
  <si>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</si>
  <si>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</si>
  <si>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</si>
  <si>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</si>
  <si>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</si>
  <si>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</si>
  <si>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</si>
  <si>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</si>
  <si>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</si>
  <si>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</si>
  <si>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</si>
  <si>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</si>
  <si>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</si>
  <si>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</si>
  <si>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</si>
  <si>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</si>
  <si>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</si>
  <si>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</si>
  <si>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</si>
  <si>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</si>
  <si>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</si>
  <si>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</si>
  <si>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</si>
  <si>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</si>
  <si>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</si>
  <si>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</si>
  <si>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</si>
  <si>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</si>
  <si>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</si>
  <si>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</si>
  <si>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</si>
  <si>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</si>
  <si>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</si>
  <si>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</si>
  <si>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</si>
  <si>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</si>
  <si>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</si>
  <si>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</si>
  <si>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</si>
  <si>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</si>
  <si>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</si>
  <si>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</si>
  <si>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</si>
  <si>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</si>
  <si>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</si>
  <si>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</si>
  <si>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</si>
  <si>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</si>
  <si>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</si>
  <si>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</si>
  <si>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</si>
  <si>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</si>
  <si>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</si>
  <si>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</si>
  <si>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</si>
  <si>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</si>
  <si>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</si>
  <si>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</si>
  <si>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</si>
  <si>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</si>
  <si>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</si>
  <si>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</si>
  <si>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</si>
  <si>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</si>
  <si>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</si>
  <si>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</si>
  <si>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</si>
  <si>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</si>
  <si>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</si>
  <si>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</si>
  <si>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</si>
  <si>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</si>
  <si>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</si>
  <si>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</si>
  <si>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</si>
  <si>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</si>
  <si>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</si>
  <si>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</si>
  <si>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</si>
  <si>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</si>
  <si>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</si>
  <si>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</si>
  <si>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</si>
  <si>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</si>
  <si>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</si>
  <si>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</si>
  <si>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</si>
  <si>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</si>
  <si>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</si>
  <si>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</si>
  <si>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</si>
  <si>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</si>
  <si>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</si>
  <si>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</si>
  <si>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</si>
  <si>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</si>
  <si>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</si>
  <si>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</si>
  <si>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</si>
  <si>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</si>
  <si>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</si>
  <si>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</si>
  <si>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</si>
  <si>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</si>
  <si>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</si>
  <si>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</si>
  <si>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</si>
  <si>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</si>
  <si>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</si>
  <si>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</si>
  <si>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</si>
  <si>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</si>
  <si>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</si>
  <si>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</si>
  <si>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</si>
  <si>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</si>
  <si>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</si>
  <si>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</si>
  <si>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</si>
  <si>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</si>
  <si>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</si>
  <si>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</si>
  <si>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</si>
  <si>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</si>
  <si>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</si>
  <si>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</si>
  <si>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</si>
  <si>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</si>
  <si>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</si>
  <si>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</si>
  <si>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</si>
  <si>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</si>
  <si>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</si>
  <si>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</si>
  <si>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</si>
  <si>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</si>
  <si>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</si>
  <si>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</si>
  <si>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</si>
  <si>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</si>
  <si>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</si>
  <si>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</si>
  <si>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</si>
  <si>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</si>
  <si>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</si>
  <si>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</si>
  <si>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</si>
  <si>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</si>
  <si>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</si>
  <si>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</si>
  <si>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</si>
  <si>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</si>
  <si>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</si>
  <si>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</si>
  <si>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</si>
  <si>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</si>
  <si>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</si>
  <si>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</si>
  <si>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</si>
  <si>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</si>
  <si>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</si>
  <si>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</si>
  <si>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</si>
  <si>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</si>
  <si>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</si>
  <si>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</si>
  <si>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</si>
  <si>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</si>
  <si>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</si>
  <si>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</si>
  <si>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</si>
  <si>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</si>
  <si>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</si>
  <si>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</si>
  <si>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</si>
  <si>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</si>
  <si>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</si>
  <si>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</si>
  <si>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</si>
  <si>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</si>
  <si>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</si>
  <si>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</si>
  <si>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</si>
  <si>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</si>
  <si>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</si>
  <si>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</si>
  <si>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</si>
  <si>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</si>
  <si>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</si>
  <si>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</si>
  <si>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</si>
  <si>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</si>
  <si>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</si>
  <si>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</si>
  <si>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</si>
  <si>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</si>
  <si>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</si>
  <si>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</si>
  <si>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</si>
  <si>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</si>
  <si>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</si>
  <si>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</si>
  <si>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</si>
  <si>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</si>
  <si>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</si>
  <si>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</si>
  <si>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</si>
  <si>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</si>
  <si>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</si>
  <si>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</si>
  <si>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</si>
  <si>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</si>
  <si>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</si>
  <si>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</si>
  <si>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</si>
  <si>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</si>
  <si>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</si>
  <si>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</si>
  <si>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</si>
  <si>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</si>
  <si>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</si>
  <si>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</si>
  <si>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</si>
  <si>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</si>
  <si>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</si>
  <si>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</si>
  <si>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</si>
  <si>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</si>
  <si>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</si>
  <si>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</si>
  <si>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</si>
  <si>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</si>
  <si>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</si>
  <si>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</si>
  <si>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</si>
  <si>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</si>
  <si>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</si>
  <si>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</si>
  <si>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</si>
  <si>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</si>
  <si>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</si>
  <si>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</si>
  <si>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</si>
  <si>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</si>
  <si>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</si>
  <si>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</si>
  <si>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</si>
  <si>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</si>
  <si>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</si>
  <si>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</si>
  <si>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</si>
  <si>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</si>
  <si>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</si>
  <si>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</si>
  <si>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</si>
  <si>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</si>
  <si>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</si>
  <si>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</si>
  <si>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</si>
  <si>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</si>
  <si>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</si>
  <si>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</si>
  <si>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</si>
  <si>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</si>
  <si>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</si>
  <si>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</si>
  <si>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</si>
  <si>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</si>
  <si>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</si>
  <si>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</si>
  <si>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</si>
  <si>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</si>
  <si>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</si>
  <si>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</si>
  <si>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</si>
  <si>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</si>
  <si>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</si>
  <si>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</si>
  <si>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</si>
  <si>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</si>
  <si>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</si>
  <si>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</si>
  <si>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</si>
  <si>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</si>
  <si>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</si>
  <si>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</si>
  <si>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</si>
  <si>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</si>
  <si>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</si>
  <si>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</si>
  <si>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</si>
  <si>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</si>
  <si>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</si>
  <si>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</si>
  <si>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</si>
  <si>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</si>
  <si>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</si>
  <si>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</si>
  <si>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</si>
  <si>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</si>
  <si>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</si>
  <si>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</si>
  <si>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</si>
  <si>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</si>
  <si>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</si>
  <si>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</si>
  <si>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</si>
  <si>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</si>
  <si>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</si>
  <si>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</si>
  <si>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</si>
  <si>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</si>
  <si>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</si>
  <si>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</si>
  <si>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</si>
  <si>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</si>
  <si>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</si>
  <si>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</si>
  <si>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</si>
  <si>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</si>
  <si>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</si>
  <si>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</si>
  <si>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</si>
  <si>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</si>
  <si>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</si>
  <si>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</si>
  <si>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</si>
  <si>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</si>
  <si>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</si>
  <si>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</si>
  <si>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</si>
  <si>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</si>
  <si>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</si>
  <si>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</si>
  <si>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</si>
  <si>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</si>
  <si>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</si>
  <si>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</si>
  <si>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</si>
  <si>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</si>
  <si>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</si>
  <si>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</si>
  <si>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</si>
  <si>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</si>
  <si>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</si>
  <si>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</si>
  <si>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</si>
  <si>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</si>
  <si>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</si>
  <si>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</si>
  <si>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</si>
  <si>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</si>
  <si>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</si>
  <si>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</si>
  <si>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</si>
  <si>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</si>
  <si>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</si>
  <si>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</si>
  <si>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</si>
  <si>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</si>
  <si>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</si>
  <si>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</si>
  <si>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</si>
  <si>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</si>
  <si>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</si>
  <si>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</si>
  <si>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</si>
  <si>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</si>
  <si>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</si>
  <si>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</si>
  <si>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</si>
  <si>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</si>
  <si>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</si>
  <si>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</si>
  <si>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</si>
  <si>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</si>
  <si>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</si>
  <si>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</si>
  <si>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</si>
  <si>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</si>
  <si>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</si>
  <si>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</si>
  <si>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</si>
  <si>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</si>
  <si>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</si>
  <si>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</si>
  <si>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</si>
  <si>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</si>
  <si>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</si>
  <si>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</si>
  <si>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</si>
  <si>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</si>
  <si>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</si>
  <si>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</si>
  <si>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</si>
  <si>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</si>
  <si>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</si>
  <si>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</si>
  <si>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</si>
  <si>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</si>
  <si>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</si>
  <si>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</si>
  <si>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</si>
  <si>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</si>
  <si>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</si>
  <si>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</si>
  <si>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</si>
  <si>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</si>
  <si>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</si>
  <si>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</si>
  <si>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</si>
  <si>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</si>
  <si>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</si>
  <si>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</si>
  <si>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</si>
  <si>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</si>
  <si>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</si>
  <si>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</si>
  <si>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</si>
  <si>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</si>
  <si>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</si>
  <si>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</si>
  <si>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</si>
  <si>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</si>
  <si>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</si>
  <si>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</si>
  <si>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</si>
  <si>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</si>
  <si>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</si>
  <si>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</si>
  <si>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</si>
  <si>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</si>
  <si>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</si>
  <si>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</si>
  <si>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</si>
  <si>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</si>
  <si>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</si>
  <si>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</si>
  <si>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</si>
  <si>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</si>
  <si>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</si>
  <si>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</si>
  <si>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</si>
  <si>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</si>
  <si>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</si>
  <si>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</si>
  <si>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</si>
  <si>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</si>
  <si>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</si>
  <si>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</si>
  <si>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</si>
  <si>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</si>
  <si>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</si>
  <si>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</si>
  <si>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</si>
  <si>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</si>
  <si>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</si>
  <si>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</si>
  <si>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</si>
  <si>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</si>
  <si>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</si>
  <si>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</si>
  <si>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</si>
  <si>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</si>
  <si>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</si>
  <si>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</si>
  <si>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</si>
  <si>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</si>
  <si>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</si>
  <si>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</si>
  <si>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</si>
  <si>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</si>
  <si>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</si>
  <si>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</si>
  <si>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</si>
  <si>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</si>
  <si>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</si>
  <si>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</si>
  <si>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</si>
  <si>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</si>
  <si>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</si>
  <si>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</si>
  <si>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</si>
  <si>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</si>
  <si>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</si>
  <si>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</si>
  <si>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</si>
  <si>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</si>
  <si>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</si>
  <si>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</si>
  <si>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</si>
  <si>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</si>
  <si>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</si>
  <si>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</si>
  <si>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</si>
  <si>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</si>
  <si>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</si>
  <si>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</si>
  <si>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</si>
  <si>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</si>
  <si>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</si>
  <si>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</si>
  <si>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</si>
  <si>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</si>
  <si>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</si>
  <si>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</si>
  <si>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</si>
  <si>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</si>
  <si>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</si>
  <si>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</si>
  <si>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</si>
  <si>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</si>
  <si>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</si>
  <si>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</si>
  <si>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</si>
  <si>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</si>
  <si>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</si>
  <si>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</si>
  <si>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</si>
  <si>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</si>
  <si>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</si>
  <si>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</si>
  <si>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</si>
  <si>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</si>
  <si>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</si>
  <si>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</si>
  <si>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</si>
  <si>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</si>
  <si>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</si>
  <si>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</si>
  <si>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</si>
  <si>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</si>
  <si>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</si>
  <si>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</si>
  <si>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</si>
  <si>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</si>
  <si>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</si>
  <si>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</si>
  <si>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</si>
  <si>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</si>
  <si>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</si>
  <si>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</si>
  <si>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</si>
  <si>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</si>
  <si>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</si>
  <si>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</si>
  <si>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</si>
  <si>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</si>
  <si>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</si>
  <si>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</si>
  <si>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</si>
  <si>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</si>
  <si>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</si>
  <si>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</si>
  <si>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</si>
  <si>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</si>
  <si>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</si>
  <si>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</si>
  <si>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</si>
  <si>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</si>
  <si>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</si>
  <si>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</si>
  <si>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</si>
  <si>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</si>
  <si>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</si>
  <si>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</si>
  <si>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</si>
  <si>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</si>
  <si>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</si>
  <si>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</si>
  <si>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</si>
  <si>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</si>
  <si>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</si>
  <si>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</si>
  <si>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</si>
  <si>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</si>
  <si>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</si>
  <si>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</si>
  <si>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</si>
  <si>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</si>
  <si>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</si>
  <si>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</si>
  <si>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</si>
  <si>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</si>
  <si>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</si>
  <si>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</si>
  <si>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</si>
  <si>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</si>
  <si>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</si>
  <si>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</si>
  <si>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</si>
  <si>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</si>
  <si>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</si>
  <si>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</si>
  <si>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</si>
  <si>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</si>
  <si>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</si>
  <si>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</si>
  <si>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</si>
  <si>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</si>
  <si>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</si>
  <si>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</si>
  <si>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</si>
  <si>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</si>
  <si>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</si>
  <si>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</si>
  <si>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</si>
  <si>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</si>
  <si>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</si>
  <si>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</si>
  <si>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</si>
  <si>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</si>
  <si>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</si>
  <si>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</si>
  <si>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</si>
  <si>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</si>
  <si>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</si>
  <si>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</si>
  <si>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</si>
  <si>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</si>
  <si>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</si>
  <si>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</si>
  <si>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</si>
  <si>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</si>
  <si>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</si>
  <si>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</si>
  <si>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</si>
  <si>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</si>
  <si>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</si>
  <si>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</si>
  <si>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</si>
  <si>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</si>
  <si>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</si>
  <si>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</si>
  <si>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</si>
  <si>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</si>
  <si>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</si>
  <si>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</si>
  <si>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</si>
  <si>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</si>
  <si>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</si>
  <si>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</si>
  <si>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</si>
  <si>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</si>
  <si>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</si>
  <si>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</si>
  <si>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</si>
  <si>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</si>
  <si>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</si>
  <si>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</si>
  <si>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</si>
  <si>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</si>
  <si>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</si>
  <si>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</si>
  <si>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</si>
  <si>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</si>
  <si>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</si>
  <si>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</si>
  <si>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</si>
  <si>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</si>
  <si>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</si>
  <si>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</si>
  <si>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</si>
  <si>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</si>
  <si>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</si>
  <si>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</si>
  <si>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</si>
  <si>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</si>
  <si>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</si>
  <si>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</si>
  <si>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</si>
  <si>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</si>
  <si>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</si>
  <si>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</si>
  <si>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</si>
  <si>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</si>
  <si>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</si>
  <si>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</si>
  <si>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</si>
  <si>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</si>
  <si>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</si>
  <si>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</si>
  <si>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</si>
  <si>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</si>
  <si>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</si>
  <si>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</si>
  <si>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</si>
  <si>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</si>
  <si>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</si>
  <si>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</si>
  <si>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</si>
  <si>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</si>
  <si>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</si>
  <si>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</si>
  <si>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</si>
  <si>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</si>
  <si>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</si>
  <si>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</si>
  <si>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</si>
  <si>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</si>
  <si>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</si>
  <si>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</si>
  <si>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</si>
  <si>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</si>
  <si>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</si>
  <si>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</si>
  <si>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</si>
  <si>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</si>
  <si>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</si>
  <si>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</si>
  <si>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</si>
  <si>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</si>
  <si>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</si>
  <si>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</si>
  <si>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</si>
  <si>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</si>
  <si>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</si>
  <si>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</si>
  <si>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</si>
  <si>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</si>
  <si>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</si>
  <si>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</si>
  <si>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</si>
  <si>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</si>
  <si>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</si>
  <si>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</si>
  <si>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</si>
  <si>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</si>
  <si>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</si>
  <si>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</si>
  <si>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</si>
  <si>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</si>
  <si>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</si>
  <si>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</si>
  <si>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</si>
  <si>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</si>
  <si>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</si>
  <si>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</si>
  <si>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</si>
  <si>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</si>
  <si>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</si>
  <si>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</si>
  <si>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</si>
  <si>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</si>
  <si>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</si>
  <si>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</si>
  <si>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</si>
  <si>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</si>
  <si>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</si>
  <si>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</si>
  <si>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</si>
  <si>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</si>
  <si>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</si>
  <si>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</si>
  <si>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</si>
  <si>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</si>
  <si>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</si>
  <si>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</si>
  <si>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</si>
  <si>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</si>
  <si>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</si>
  <si>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</si>
  <si>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</si>
  <si>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</si>
  <si>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</si>
  <si>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</si>
  <si>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</si>
  <si>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</si>
  <si>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</si>
  <si>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</si>
  <si>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</si>
  <si>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</si>
  <si>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</si>
  <si>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</si>
  <si>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</si>
  <si>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</si>
  <si>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</si>
  <si>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</si>
  <si>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</si>
  <si>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</si>
  <si>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</si>
  <si>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</si>
  <si>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</si>
  <si>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</si>
  <si>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</si>
  <si>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</si>
  <si>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</si>
  <si>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</si>
  <si>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</si>
  <si>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</si>
  <si>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</si>
  <si>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</si>
  <si>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</si>
  <si>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</si>
  <si>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</si>
  <si>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</si>
  <si>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</si>
  <si>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</si>
  <si>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</si>
  <si>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</si>
  <si>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</si>
  <si>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</si>
  <si>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</si>
  <si>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</si>
  <si>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</si>
  <si>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</si>
  <si>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</si>
  <si>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</si>
  <si>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</si>
  <si>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</si>
  <si>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</si>
  <si>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</si>
  <si>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</si>
  <si>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</si>
  <si>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</si>
  <si>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</si>
  <si>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</si>
  <si>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</si>
  <si>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</si>
  <si>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</si>
  <si>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</si>
  <si>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</si>
  <si>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</si>
  <si>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</si>
  <si>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</si>
  <si>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</si>
  <si>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</si>
  <si>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</si>
  <si>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</si>
  <si>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</si>
  <si>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</si>
  <si>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</si>
  <si>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</si>
  <si>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</si>
  <si>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</si>
  <si>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</si>
  <si>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</si>
  <si>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</si>
  <si>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</si>
  <si>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</si>
  <si>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</si>
  <si>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</si>
  <si>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</si>
  <si>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</si>
  <si>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</si>
  <si>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</si>
  <si>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</si>
  <si>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</si>
  <si>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</si>
  <si>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</si>
  <si>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</si>
  <si>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</si>
  <si>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</si>
  <si>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</si>
  <si>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</si>
  <si>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</si>
  <si>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</si>
  <si>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</si>
  <si>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</si>
  <si>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</si>
  <si>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</si>
  <si>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</si>
  <si>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</si>
  <si>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</si>
  <si>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</si>
  <si>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</si>
  <si>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</si>
  <si>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</si>
  <si>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</si>
  <si>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</si>
  <si>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</si>
  <si>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</si>
  <si>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</si>
  <si>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</si>
  <si>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</si>
  <si>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</si>
  <si>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</si>
  <si>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</si>
  <si>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</si>
  <si>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</si>
  <si>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</si>
  <si>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</si>
  <si>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</si>
  <si>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</si>
  <si>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</si>
  <si>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</si>
  <si>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</si>
  <si>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</si>
  <si>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</si>
  <si>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</si>
  <si>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</si>
  <si>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</si>
  <si>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</si>
  <si>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</si>
  <si>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</si>
  <si>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</si>
  <si>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</si>
  <si>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</si>
  <si>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</si>
  <si>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</si>
  <si>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</si>
  <si>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</si>
  <si>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</si>
  <si>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</si>
  <si>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</si>
  <si>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</si>
  <si>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</si>
  <si>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</si>
  <si>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</si>
  <si>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</si>
  <si>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</si>
  <si>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</si>
  <si>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</si>
  <si>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</si>
  <si>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</si>
  <si>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</si>
  <si>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</si>
  <si>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</si>
  <si>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</si>
  <si>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</si>
  <si>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</si>
  <si>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</si>
  <si>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</si>
  <si>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</si>
  <si>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</si>
  <si>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</si>
  <si>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</si>
  <si>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</si>
  <si>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</si>
  <si>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</si>
  <si>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</si>
  <si>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</si>
  <si>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</si>
  <si>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</si>
  <si>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</si>
  <si>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</si>
  <si>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</si>
  <si>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</si>
  <si>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</si>
  <si>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</si>
  <si>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</si>
  <si>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</si>
  <si>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</si>
  <si>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</si>
  <si>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</si>
  <si>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</si>
  <si>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</si>
  <si>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</si>
  <si>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</si>
  <si>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</si>
  <si>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</si>
  <si>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</si>
  <si>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</si>
  <si>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</si>
  <si>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</si>
  <si>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</si>
  <si>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</si>
  <si>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</si>
  <si>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</si>
  <si>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</si>
  <si>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</si>
  <si>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</si>
  <si>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</si>
  <si>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</si>
  <si>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</si>
  <si>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</si>
  <si>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</si>
  <si>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</si>
  <si>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</si>
  <si>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</si>
  <si>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</si>
  <si>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</si>
  <si>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</si>
  <si>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</si>
  <si>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</si>
  <si>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</si>
  <si>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</si>
  <si>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</si>
  <si>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</si>
  <si>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</si>
  <si>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</si>
  <si>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</si>
  <si>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</si>
  <si>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</si>
  <si>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</si>
  <si>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</si>
  <si>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</si>
  <si>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</si>
  <si>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</si>
  <si>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</si>
  <si>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</si>
  <si>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</si>
  <si>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</si>
  <si>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</si>
  <si>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</si>
  <si>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</si>
  <si>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</si>
  <si>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</si>
  <si>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</si>
  <si>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</si>
  <si>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</si>
  <si>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</si>
  <si>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</si>
  <si>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</si>
  <si>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</si>
  <si>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</si>
  <si>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</si>
  <si>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</si>
  <si>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</si>
  <si>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</si>
  <si>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</si>
  <si>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</si>
  <si>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</si>
  <si>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</si>
  <si>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</si>
  <si>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</si>
  <si>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</si>
  <si>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</si>
  <si>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</si>
  <si>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</si>
  <si>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</si>
  <si>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</si>
  <si>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</si>
  <si>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</si>
  <si>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</si>
  <si>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</si>
  <si>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</si>
  <si>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</si>
  <si>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</si>
  <si>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</si>
  <si>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</si>
  <si>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</si>
  <si>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</si>
  <si>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</si>
  <si>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</si>
  <si>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</si>
  <si>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</si>
  <si>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</si>
  <si>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</si>
  <si>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</si>
  <si>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</si>
  <si>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</si>
  <si>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</si>
  <si>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</si>
  <si>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</si>
  <si>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</si>
  <si>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</si>
  <si>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</si>
  <si>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</si>
  <si>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</si>
  <si>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</si>
  <si>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</si>
  <si>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</si>
  <si>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</si>
  <si>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</si>
  <si>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</si>
  <si>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</si>
  <si>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</si>
  <si>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</si>
  <si>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</si>
  <si>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</si>
  <si>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</si>
  <si>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</si>
  <si>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</si>
  <si>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</si>
  <si>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</si>
  <si>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</si>
  <si>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</si>
  <si>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</si>
  <si>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</si>
  <si>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</si>
  <si>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</si>
  <si>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</si>
  <si>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</si>
  <si>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</si>
  <si>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</si>
  <si>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</si>
  <si>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</si>
  <si>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</si>
  <si>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</si>
  <si>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</si>
  <si>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</si>
  <si>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</si>
  <si>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</si>
  <si>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</si>
  <si>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</si>
  <si>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</si>
  <si>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</si>
  <si>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</si>
  <si>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</si>
  <si>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</si>
  <si>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</si>
  <si>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</si>
  <si>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</si>
  <si>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</si>
  <si>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</si>
  <si>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</si>
  <si>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</si>
  <si>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</si>
  <si>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</si>
  <si>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</si>
  <si>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</si>
  <si>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</si>
  <si>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</si>
  <si>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</si>
  <si>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</si>
  <si>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</si>
  <si>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</si>
  <si>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</si>
  <si>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</si>
  <si>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</si>
  <si>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</si>
  <si>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</si>
  <si>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</si>
  <si>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</si>
  <si>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</si>
  <si>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</si>
  <si>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</si>
  <si>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</si>
  <si>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</si>
  <si>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</si>
  <si>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</si>
  <si>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</si>
  <si>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</si>
  <si>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</si>
  <si>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</si>
  <si>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</si>
  <si>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</si>
  <si>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</si>
  <si>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</si>
  <si>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</si>
  <si>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</si>
  <si>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</si>
  <si>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</si>
  <si>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</si>
  <si>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</si>
  <si>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</si>
  <si>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</si>
  <si>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</si>
  <si>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</si>
  <si>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</si>
  <si>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</si>
  <si>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</si>
  <si>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</si>
  <si>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</si>
  <si>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</si>
  <si>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</si>
  <si>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</si>
  <si>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</si>
  <si>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</si>
  <si>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</si>
  <si>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</si>
  <si>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</si>
  <si>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</si>
  <si>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</si>
  <si>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</si>
  <si>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</si>
  <si>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</si>
  <si>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</si>
  <si>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</si>
  <si>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</si>
  <si>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</si>
  <si>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</si>
  <si>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</si>
  <si>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</si>
  <si>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</si>
  <si>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</si>
  <si>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</si>
  <si>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</si>
  <si>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</si>
  <si>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</si>
  <si>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</si>
  <si>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</si>
  <si>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</si>
  <si>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</si>
  <si>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</si>
  <si>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</si>
  <si>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</si>
  <si>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</si>
  <si>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</si>
  <si>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</si>
  <si>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</si>
  <si>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</si>
  <si>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</si>
  <si>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</si>
  <si>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</si>
  <si>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</si>
  <si>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</si>
  <si>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</si>
  <si>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</si>
  <si>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</si>
  <si>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</si>
  <si>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</si>
  <si>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</si>
  <si>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</si>
  <si>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</si>
  <si>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</si>
  <si>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</si>
  <si>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</si>
  <si>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</si>
  <si>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</si>
  <si>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</si>
  <si>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</si>
  <si>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</si>
  <si>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</si>
  <si>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</si>
  <si>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</si>
  <si>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</si>
  <si>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</si>
  <si>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</si>
  <si>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</si>
  <si>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</si>
  <si>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</si>
  <si>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</si>
  <si>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</si>
  <si>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</si>
  <si>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</si>
  <si>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</si>
  <si>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</si>
  <si>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</si>
  <si>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</si>
  <si>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</si>
  <si>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</si>
  <si>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</si>
  <si>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</si>
  <si>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</si>
  <si>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</si>
  <si>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</si>
  <si>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</si>
  <si>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</si>
  <si>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</si>
  <si>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</si>
  <si>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</si>
  <si>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</si>
  <si>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</si>
  <si>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</si>
  <si>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</si>
  <si>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</si>
  <si>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</si>
  <si>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</si>
  <si>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</si>
  <si>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</si>
  <si>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</si>
  <si>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</si>
  <si>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</si>
  <si>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</si>
  <si>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</si>
  <si>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</si>
  <si>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</si>
  <si>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</si>
  <si>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</si>
  <si>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</si>
  <si>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</si>
  <si>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</si>
  <si>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</si>
  <si>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</si>
  <si>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</si>
  <si>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</si>
  <si>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</si>
  <si>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</si>
  <si>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</si>
  <si>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</si>
  <si>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</si>
  <si>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</si>
  <si>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</si>
  <si>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</si>
  <si>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</si>
  <si>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</si>
  <si>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</si>
  <si>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</si>
  <si>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</si>
  <si>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</si>
  <si>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</si>
  <si>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</si>
  <si>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</si>
  <si>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</si>
  <si>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</si>
  <si>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</si>
  <si>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</si>
  <si>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</si>
  <si>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</si>
  <si>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</si>
  <si>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</si>
  <si>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</si>
  <si>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</si>
  <si>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</si>
  <si>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</si>
  <si>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</si>
  <si>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</si>
  <si>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</si>
  <si>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</si>
  <si>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</si>
  <si>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</si>
  <si>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</si>
  <si>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</si>
  <si>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</si>
  <si>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</si>
  <si>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</si>
  <si>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</si>
  <si>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</si>
  <si>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</si>
  <si>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</si>
  <si>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</si>
  <si>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</si>
  <si>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</si>
  <si>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</si>
  <si>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</si>
  <si>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</si>
  <si>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</si>
  <si>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</si>
  <si>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</si>
  <si>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</si>
  <si>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</si>
  <si>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</si>
  <si>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</si>
  <si>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</si>
  <si>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</si>
  <si>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</si>
  <si>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</si>
  <si>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</si>
  <si>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</si>
  <si>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</si>
  <si>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</si>
  <si>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</si>
  <si>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</si>
  <si>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</si>
  <si>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</si>
  <si>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</si>
  <si>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</si>
  <si>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</si>
  <si>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</si>
  <si>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</si>
  <si>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</si>
  <si>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</si>
  <si>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</si>
  <si>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</si>
  <si>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</si>
  <si>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</si>
  <si>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</si>
  <si>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</si>
  <si>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</si>
  <si>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</si>
  <si>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</si>
  <si>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</si>
  <si>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</si>
  <si>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</si>
  <si>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</si>
  <si>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</si>
  <si>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</si>
  <si>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</si>
  <si>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</si>
  <si>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</si>
  <si>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</si>
  <si>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</si>
  <si>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</si>
  <si>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</si>
  <si>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</si>
  <si>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</si>
  <si>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</si>
  <si>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</si>
  <si>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</si>
  <si>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</si>
  <si>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</si>
  <si>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</si>
  <si>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</si>
  <si>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</si>
  <si>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</si>
  <si>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</si>
  <si>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</si>
  <si>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</si>
  <si>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</si>
  <si>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</si>
  <si>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</si>
  <si>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</si>
  <si>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</si>
  <si>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</si>
  <si>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</si>
  <si>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</si>
  <si>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</si>
  <si>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</si>
  <si>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</si>
  <si>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</si>
  <si>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</si>
  <si>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</si>
  <si>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</si>
  <si>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</si>
  <si>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</si>
  <si>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</si>
  <si>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</si>
  <si>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</si>
  <si>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</si>
  <si>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</si>
  <si>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</si>
  <si>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</si>
  <si>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</si>
  <si>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</si>
  <si>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</si>
  <si>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</si>
  <si>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</si>
  <si>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</si>
  <si>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</si>
  <si>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</si>
  <si>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</si>
  <si>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</si>
  <si>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</si>
  <si>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</si>
  <si>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</si>
  <si>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</si>
  <si>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</si>
  <si>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</si>
  <si>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IQR of Goal</t>
  </si>
  <si>
    <t>Lower Quartile of Goal</t>
  </si>
  <si>
    <t>Years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</si>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</sst>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1" applyFont="1"/>
    <xf numFmtId="44" fontId="0" fillId="0" borderId="0" xfId="1" applyFont="1"/>
    <xf numFmtId="165" fontId="0" fillId="0" borderId="0" xfId="0" applyNumberFormat="1"/>
    <xf numFmtId="166" fontId="0" fillId="0" borderId="0" xfId="1" applyNumberFormat="1" applyFont="1"/>
    <xf numFmtId="10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E4-475E-A7D2-8879139E431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E4-475E-A7D2-8879139E43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E4-475E-A7D2-8879139E4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259583"/>
        <c:axId val="1454258335"/>
      </c:lineChart>
      <c:catAx>
        <c:axId val="145425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258335"/>
        <c:crosses val="autoZero"/>
        <c:auto val="1"/>
        <c:lblAlgn val="ctr"/>
        <c:lblOffset val="100"/>
        <c:noMultiLvlLbl val="0"/>
      </c:catAx>
      <c:valAx>
        <c:axId val="145425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2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0-4815-93C4-38CC88B0F503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0-4815-93C4-38CC88B0F503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0-4815-93C4-38CC88B0F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4167711"/>
        <c:axId val="1764164383"/>
      </c:lineChart>
      <c:catAx>
        <c:axId val="176416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164383"/>
        <c:crosses val="autoZero"/>
        <c:auto val="1"/>
        <c:lblAlgn val="ctr"/>
        <c:lblOffset val="100"/>
        <c:noMultiLvlLbl val="0"/>
      </c:catAx>
      <c:valAx>
        <c:axId val="176416438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16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8-487F-AC69-0F6BD52B359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8-487F-AC69-0F6BD52B359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A8-487F-AC69-0F6BD52B359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A8-487F-AC69-0F6BD52B3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389520"/>
        <c:axId val="583377384"/>
      </c:barChart>
      <c:catAx>
        <c:axId val="58338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77384"/>
        <c:crosses val="autoZero"/>
        <c:auto val="1"/>
        <c:lblAlgn val="ctr"/>
        <c:lblOffset val="100"/>
        <c:noMultiLvlLbl val="0"/>
      </c:catAx>
      <c:valAx>
        <c:axId val="58337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8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4-4442-8113-3365365E44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14-4442-8113-3365365E44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14-4442-8113-3365365E4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126688"/>
        <c:axId val="588123736"/>
      </c:barChart>
      <c:catAx>
        <c:axId val="58812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23736"/>
        <c:crosses val="autoZero"/>
        <c:auto val="1"/>
        <c:lblAlgn val="ctr"/>
        <c:lblOffset val="100"/>
        <c:noMultiLvlLbl val="0"/>
      </c:catAx>
      <c:valAx>
        <c:axId val="58812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2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D-42AC-AA39-4C4B765AA8F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D-42AC-AA39-4C4B765AA8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D-42AC-AA39-4C4B765AA8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ED-42AC-AA39-4C4B765AA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786616"/>
        <c:axId val="687787600"/>
      </c:lineChart>
      <c:catAx>
        <c:axId val="68778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87600"/>
        <c:crosses val="autoZero"/>
        <c:auto val="1"/>
        <c:lblAlgn val="ctr"/>
        <c:lblOffset val="100"/>
        <c:noMultiLvlLbl val="0"/>
      </c:catAx>
      <c:valAx>
        <c:axId val="68778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8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EA95D39-C5EF-4F05-B4A2-A8C2196FDA9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B997964-CBF5-4EDF-B682-DB455ED4269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67A553-8FB6-4BF2-87A9-4A0440DADCE5}">
  <sheetPr/>
  <sheetViews>
    <sheetView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ustomXml" Target="../ink/ink7.xml"/><Relationship Id="rId18" Type="http://schemas.openxmlformats.org/officeDocument/2006/relationships/image" Target="../media/image9.png"/><Relationship Id="rId3" Type="http://schemas.openxmlformats.org/officeDocument/2006/relationships/customXml" Target="../ink/ink2.xml"/><Relationship Id="rId21" Type="http://schemas.openxmlformats.org/officeDocument/2006/relationships/customXml" Target="../ink/ink11.xml"/><Relationship Id="rId7" Type="http://schemas.openxmlformats.org/officeDocument/2006/relationships/customXml" Target="../ink/ink4.xml"/><Relationship Id="rId12" Type="http://schemas.openxmlformats.org/officeDocument/2006/relationships/image" Target="../media/image6.png"/><Relationship Id="rId17" Type="http://schemas.openxmlformats.org/officeDocument/2006/relationships/customXml" Target="../ink/ink9.xml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0" Type="http://schemas.openxmlformats.org/officeDocument/2006/relationships/image" Target="../media/image10.png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11" Type="http://schemas.openxmlformats.org/officeDocument/2006/relationships/customXml" Target="../ink/ink6.xml"/><Relationship Id="rId5" Type="http://schemas.openxmlformats.org/officeDocument/2006/relationships/customXml" Target="../ink/ink3.xml"/><Relationship Id="rId15" Type="http://schemas.openxmlformats.org/officeDocument/2006/relationships/customXml" Target="../ink/ink8.xml"/><Relationship Id="rId10" Type="http://schemas.openxmlformats.org/officeDocument/2006/relationships/image" Target="../media/image5.png"/><Relationship Id="rId19" Type="http://schemas.openxmlformats.org/officeDocument/2006/relationships/customXml" Target="../ink/ink10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4" Type="http://schemas.openxmlformats.org/officeDocument/2006/relationships/image" Target="../media/image7.png"/><Relationship Id="rId22" Type="http://schemas.openxmlformats.org/officeDocument/2006/relationships/customXml" Target="../ink/ink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26" Type="http://schemas.openxmlformats.org/officeDocument/2006/relationships/customXml" Target="../ink/ink19.xml"/><Relationship Id="rId18" Type="http://schemas.openxmlformats.org/officeDocument/2006/relationships/image" Target="../media/image9.png"/><Relationship Id="rId21" Type="http://schemas.openxmlformats.org/officeDocument/2006/relationships/customXml" Target="../ink/ink14.xml"/><Relationship Id="rId25" Type="http://schemas.openxmlformats.org/officeDocument/2006/relationships/customXml" Target="../ink/ink18.xml"/><Relationship Id="rId12" Type="http://schemas.openxmlformats.org/officeDocument/2006/relationships/image" Target="../media/image6.png"/><Relationship Id="rId20" Type="http://schemas.openxmlformats.org/officeDocument/2006/relationships/image" Target="../media/image10.png"/><Relationship Id="rId2" Type="http://schemas.openxmlformats.org/officeDocument/2006/relationships/image" Target="../media/image1.png"/><Relationship Id="rId29" Type="http://schemas.openxmlformats.org/officeDocument/2006/relationships/customXml" Target="../ink/ink22.xml"/><Relationship Id="rId16" Type="http://schemas.openxmlformats.org/officeDocument/2006/relationships/image" Target="../media/image8.png"/><Relationship Id="rId1" Type="http://schemas.openxmlformats.org/officeDocument/2006/relationships/customXml" Target="../ink/ink13.xml"/><Relationship Id="rId24" Type="http://schemas.openxmlformats.org/officeDocument/2006/relationships/customXml" Target="../ink/ink17.xml"/><Relationship Id="rId6" Type="http://schemas.openxmlformats.org/officeDocument/2006/relationships/image" Target="../media/image3.png"/><Relationship Id="rId23" Type="http://schemas.openxmlformats.org/officeDocument/2006/relationships/customXml" Target="../ink/ink16.xml"/><Relationship Id="rId28" Type="http://schemas.openxmlformats.org/officeDocument/2006/relationships/customXml" Target="../ink/ink21.xml"/><Relationship Id="rId10" Type="http://schemas.openxmlformats.org/officeDocument/2006/relationships/image" Target="../media/image5.png"/><Relationship Id="rId31" Type="http://schemas.openxmlformats.org/officeDocument/2006/relationships/customXml" Target="../ink/ink24.xml"/><Relationship Id="rId22" Type="http://schemas.openxmlformats.org/officeDocument/2006/relationships/customXml" Target="../ink/ink15.xml"/><Relationship Id="rId4" Type="http://schemas.openxmlformats.org/officeDocument/2006/relationships/image" Target="../media/image2.png"/><Relationship Id="rId27" Type="http://schemas.openxmlformats.org/officeDocument/2006/relationships/customXml" Target="../ink/ink20.xml"/><Relationship Id="rId14" Type="http://schemas.openxmlformats.org/officeDocument/2006/relationships/image" Target="../media/image7.png"/><Relationship Id="rId30" Type="http://schemas.openxmlformats.org/officeDocument/2006/relationships/customXml" Target="../ink/ink2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26" Type="http://schemas.openxmlformats.org/officeDocument/2006/relationships/customXml" Target="../ink/ink31.xml"/><Relationship Id="rId18" Type="http://schemas.openxmlformats.org/officeDocument/2006/relationships/image" Target="../media/image9.png"/><Relationship Id="rId21" Type="http://schemas.openxmlformats.org/officeDocument/2006/relationships/customXml" Target="../ink/ink26.xml"/><Relationship Id="rId25" Type="http://schemas.openxmlformats.org/officeDocument/2006/relationships/customXml" Target="../ink/ink30.xml"/><Relationship Id="rId12" Type="http://schemas.openxmlformats.org/officeDocument/2006/relationships/image" Target="../media/image6.png"/><Relationship Id="rId20" Type="http://schemas.openxmlformats.org/officeDocument/2006/relationships/image" Target="../media/image10.png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9" Type="http://schemas.openxmlformats.org/officeDocument/2006/relationships/customXml" Target="../ink/ink34.xml"/><Relationship Id="rId1" Type="http://schemas.openxmlformats.org/officeDocument/2006/relationships/customXml" Target="../ink/ink25.xml"/><Relationship Id="rId24" Type="http://schemas.openxmlformats.org/officeDocument/2006/relationships/customXml" Target="../ink/ink29.xml"/><Relationship Id="rId6" Type="http://schemas.openxmlformats.org/officeDocument/2006/relationships/image" Target="../media/image3.png"/><Relationship Id="rId23" Type="http://schemas.openxmlformats.org/officeDocument/2006/relationships/customXml" Target="../ink/ink28.xml"/><Relationship Id="rId28" Type="http://schemas.openxmlformats.org/officeDocument/2006/relationships/customXml" Target="../ink/ink33.xml"/><Relationship Id="rId10" Type="http://schemas.openxmlformats.org/officeDocument/2006/relationships/image" Target="../media/image5.png"/><Relationship Id="rId31" Type="http://schemas.openxmlformats.org/officeDocument/2006/relationships/customXml" Target="../ink/ink36.xml"/><Relationship Id="rId22" Type="http://schemas.openxmlformats.org/officeDocument/2006/relationships/customXml" Target="../ink/ink27.xml"/><Relationship Id="rId4" Type="http://schemas.openxmlformats.org/officeDocument/2006/relationships/image" Target="../media/image2.png"/><Relationship Id="rId27" Type="http://schemas.openxmlformats.org/officeDocument/2006/relationships/customXml" Target="../ink/ink32.xml"/><Relationship Id="rId30" Type="http://schemas.openxmlformats.org/officeDocument/2006/relationships/customXml" Target="../ink/ink35.xml"/><Relationship Id="rId1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396875</xdr:colOff>
      <xdr:row>3</xdr:row>
      <xdr:rowOff>3175</xdr:rowOff>
    </xdr:from>
    <xdr:to>
      <xdr:col>10</xdr:col>
      <xdr:colOff>625475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41D55-39FD-40A8-ABF0-125352A84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2029435</xdr:colOff>
      <xdr:row>5</xdr:row>
      <xdr:rowOff>130149</xdr:rowOff>
    </xdr:from>
    <xdr:to>
      <xdr:col>1</xdr:col>
      <xdr:colOff>2082715</xdr:colOff>
      <xdr:row>521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CEE883D7-AE71-7AF5-F266-A784931887CE}"/>
                </a:ext>
              </a:extLst>
            </xdr14:cNvPr>
            <xdr14:cNvContentPartPr/>
          </xdr14:nvContentPartPr>
          <xdr14:nvPr macro=""/>
          <xdr14:xfrm>
            <a:off x="2656080" y="2115360"/>
            <a:ext cx="53280" cy="306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CEE883D7-AE71-7AF5-F266-A784931887C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647440" y="2106360"/>
              <a:ext cx="709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2000995</xdr:colOff>
      <xdr:row>5</xdr:row>
      <xdr:rowOff>343269</xdr:rowOff>
    </xdr:from>
    <xdr:to>
      <xdr:col>1</xdr:col>
      <xdr:colOff>2045635</xdr:colOff>
      <xdr:row>521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8B24D42C-08E7-E6AA-CDDE-F93991B35119}"/>
                </a:ext>
              </a:extLst>
            </xdr14:cNvPr>
            <xdr14:cNvContentPartPr/>
          </xdr14:nvContentPartPr>
          <xdr14:nvPr macro=""/>
          <xdr14:xfrm>
            <a:off x="2627640" y="2328480"/>
            <a:ext cx="44640" cy="30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8B24D42C-08E7-E6AA-CDDE-F93991B3511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18640" y="2319840"/>
              <a:ext cx="6228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1611064</xdr:colOff>
      <xdr:row>5</xdr:row>
      <xdr:rowOff>157509</xdr:rowOff>
    </xdr:from>
    <xdr:to>
      <xdr:col>2</xdr:col>
      <xdr:colOff>1657504</xdr:colOff>
      <xdr:row>521</xdr:row>
      <xdr:rowOff>10800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4D63D9F0-B60C-186E-FABE-9C26318DCF74}"/>
                </a:ext>
              </a:extLst>
            </xdr14:cNvPr>
            <xdr14:cNvContentPartPr/>
          </xdr14:nvContentPartPr>
          <xdr14:nvPr macro=""/>
          <xdr14:xfrm>
            <a:off x="4984920" y="2142720"/>
            <a:ext cx="46440" cy="108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4D63D9F0-B60C-186E-FABE-9C26318DCF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75920" y="2134080"/>
              <a:ext cx="64080" cy="2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2358064</xdr:colOff>
      <xdr:row>4</xdr:row>
      <xdr:rowOff>88257</xdr:rowOff>
    </xdr:from>
    <xdr:to>
      <xdr:col>2</xdr:col>
      <xdr:colOff>2401624</xdr:colOff>
      <xdr:row>521</xdr:row>
      <xdr:rowOff>16560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06CE799B-3948-A95F-F904-6425BB0D7927}"/>
                </a:ext>
              </a:extLst>
            </xdr14:cNvPr>
            <xdr14:cNvContentPartPr/>
          </xdr14:nvContentPartPr>
          <xdr14:nvPr macro=""/>
          <xdr14:xfrm>
            <a:off x="5731920" y="1712520"/>
            <a:ext cx="43560" cy="165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06CE799B-3948-A95F-F904-6425BB0D792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22920" y="1703520"/>
              <a:ext cx="6120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2296864</xdr:colOff>
      <xdr:row>4</xdr:row>
      <xdr:rowOff>204897</xdr:rowOff>
    </xdr:from>
    <xdr:to>
      <xdr:col>2</xdr:col>
      <xdr:colOff>2350144</xdr:colOff>
      <xdr:row>521</xdr:row>
      <xdr:rowOff>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D03880F3-D0F7-8E33-B671-60E636A45E68}"/>
                </a:ext>
              </a:extLst>
            </xdr14:cNvPr>
            <xdr14:cNvContentPartPr/>
          </xdr14:nvContentPartPr>
          <xdr14:nvPr macro=""/>
          <xdr14:xfrm>
            <a:off x="5670720" y="1829160"/>
            <a:ext cx="53280" cy="68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D03880F3-D0F7-8E33-B671-60E636A45E6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661720" y="1820520"/>
              <a:ext cx="70920" cy="2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287659</xdr:colOff>
      <xdr:row>4</xdr:row>
      <xdr:rowOff>110217</xdr:rowOff>
    </xdr:from>
    <xdr:to>
      <xdr:col>3</xdr:col>
      <xdr:colOff>343099</xdr:colOff>
      <xdr:row>521</xdr:row>
      <xdr:rowOff>15480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2BE14560-4F86-72F7-E979-9CF239BCCE70}"/>
                </a:ext>
              </a:extLst>
            </xdr14:cNvPr>
            <xdr14:cNvContentPartPr/>
          </xdr14:nvContentPartPr>
          <xdr14:nvPr macro=""/>
          <xdr14:xfrm>
            <a:off x="6544080" y="1734480"/>
            <a:ext cx="55440" cy="15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2BE14560-4F86-72F7-E979-9CF239BCCE7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535080" y="1725480"/>
              <a:ext cx="7308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1743904</xdr:colOff>
      <xdr:row>2015</xdr:row>
      <xdr:rowOff>281766</xdr:rowOff>
    </xdr:from>
    <xdr:to>
      <xdr:col>2</xdr:col>
      <xdr:colOff>1761544</xdr:colOff>
      <xdr:row>2782</xdr:row>
      <xdr:rowOff>28440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CEA83CF0-B9D1-AA5B-1FBD-CE6690842566}"/>
                </a:ext>
              </a:extLst>
            </xdr14:cNvPr>
            <xdr14:cNvContentPartPr/>
          </xdr14:nvContentPartPr>
          <xdr14:nvPr macro=""/>
          <xdr14:xfrm>
            <a:off x="5117760" y="462240"/>
            <a:ext cx="17640" cy="284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CEA83CF0-B9D1-AA5B-1FBD-CE669084256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108760" y="453240"/>
              <a:ext cx="352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839409</xdr:colOff>
      <xdr:row>521</xdr:row>
      <xdr:rowOff>232938</xdr:rowOff>
    </xdr:from>
    <xdr:to>
      <xdr:col>14</xdr:col>
      <xdr:colOff>851289</xdr:colOff>
      <xdr:row>521</xdr:row>
      <xdr:rowOff>281898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CADFCE46-AAB2-3327-2D41-93D0EADC4E08}"/>
                </a:ext>
              </a:extLst>
            </xdr14:cNvPr>
            <xdr14:cNvContentPartPr/>
          </xdr14:nvContentPartPr>
          <xdr14:nvPr macro=""/>
          <xdr14:xfrm>
            <a:off x="24656923" y="270587531"/>
            <a:ext cx="11880" cy="489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CADFCE46-AAB2-3327-2D41-93D0EADC4E0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4648283" y="270578531"/>
              <a:ext cx="2952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2761560</xdr:colOff>
      <xdr:row>115</xdr:row>
      <xdr:rowOff>3600</xdr:rowOff>
    </xdr:from>
    <xdr:to>
      <xdr:col>13</xdr:col>
      <xdr:colOff>2770200</xdr:colOff>
      <xdr:row>521</xdr:row>
      <xdr:rowOff>12960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0BBADA68-2190-8348-62B1-6C9F1213C1E6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0BBADA68-2190-8348-62B1-6C9F1213C1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2820240</xdr:colOff>
      <xdr:row>0</xdr:row>
      <xdr:rowOff>136800</xdr:rowOff>
    </xdr:from>
    <xdr:to>
      <xdr:col>13</xdr:col>
      <xdr:colOff>2850840</xdr:colOff>
      <xdr:row>0</xdr:row>
      <xdr:rowOff>147240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F6F3A70B-5ADC-F5EB-840D-74B3A77A9E77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F6F3A70B-5ADC-F5EB-840D-74B3A77A9E7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2761560</xdr:colOff>
      <xdr:row>115</xdr:row>
      <xdr:rowOff>3600</xdr:rowOff>
    </xdr:from>
    <xdr:ext cx="864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BDF6B692-1DDA-4CB7-8A9A-802CAF0568EF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DF6B692-1DDA-4CB7-8A9A-802CAF0568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2820240</xdr:colOff>
      <xdr:row>0</xdr:row>
      <xdr:rowOff>136800</xdr:rowOff>
    </xdr:from>
    <xdr:ext cx="30600" cy="10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12B1AA61-7F54-48C3-B110-A5214FBEC49E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12B1AA61-7F54-48C3-B110-A5214FBEC49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41274</xdr:colOff>
      <xdr:row>14</xdr:row>
      <xdr:rowOff>120650</xdr:rowOff>
    </xdr:from>
    <xdr:to>
      <xdr:col>14</xdr:col>
      <xdr:colOff>342900</xdr:colOff>
      <xdr:row>34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7356F3-8905-4BA6-874D-16DE3B6B2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2820240</xdr:colOff>
      <xdr:row>0</xdr:row>
      <xdr:rowOff>136800</xdr:rowOff>
    </xdr:from>
    <xdr:to>
      <xdr:col>14</xdr:col>
      <xdr:colOff>31440</xdr:colOff>
      <xdr:row>0</xdr:row>
      <xdr:rowOff>147240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DAE4BA1E-F126-419F-AA8B-546B1EFEADD6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F6F3A70B-5ADC-F5EB-840D-74B3A77A9E7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2820240</xdr:colOff>
      <xdr:row>0</xdr:row>
      <xdr:rowOff>136800</xdr:rowOff>
    </xdr:from>
    <xdr:ext cx="30600" cy="10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CD8DC71D-0BBE-4B1A-9E06-0932A1478CE2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12B1AA61-7F54-48C3-B110-A5214FBEC49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</xdr:col>
      <xdr:colOff>2029435</xdr:colOff>
      <xdr:row>0</xdr:row>
      <xdr:rowOff>130149</xdr:rowOff>
    </xdr:from>
    <xdr:to>
      <xdr:col>1</xdr:col>
      <xdr:colOff>2082715</xdr:colOff>
      <xdr:row>0</xdr:row>
      <xdr:rowOff>160749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6AFACA22-0CBC-48F1-88BF-4CD3C7323CB1}"/>
                </a:ext>
              </a:extLst>
            </xdr14:cNvPr>
            <xdr14:cNvContentPartPr/>
          </xdr14:nvContentPartPr>
          <xdr14:nvPr macro=""/>
          <xdr14:xfrm>
            <a:off x="2656080" y="2115360"/>
            <a:ext cx="53280" cy="306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CEE883D7-AE71-7AF5-F266-A784931887C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647440" y="2106360"/>
              <a:ext cx="709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2000995</xdr:colOff>
      <xdr:row>0</xdr:row>
      <xdr:rowOff>343269</xdr:rowOff>
    </xdr:from>
    <xdr:to>
      <xdr:col>1</xdr:col>
      <xdr:colOff>2045635</xdr:colOff>
      <xdr:row>1</xdr:row>
      <xdr:rowOff>30969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C283DAFD-0C47-434F-927D-15CCBE501C54}"/>
                </a:ext>
              </a:extLst>
            </xdr14:cNvPr>
            <xdr14:cNvContentPartPr/>
          </xdr14:nvContentPartPr>
          <xdr14:nvPr macro=""/>
          <xdr14:xfrm>
            <a:off x="2627640" y="2328480"/>
            <a:ext cx="44640" cy="30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8B24D42C-08E7-E6AA-CDDE-F93991B3511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18640" y="2319840"/>
              <a:ext cx="6228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1611064</xdr:colOff>
      <xdr:row>0</xdr:row>
      <xdr:rowOff>157509</xdr:rowOff>
    </xdr:from>
    <xdr:to>
      <xdr:col>2</xdr:col>
      <xdr:colOff>1657504</xdr:colOff>
      <xdr:row>0</xdr:row>
      <xdr:rowOff>168309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D730B304-2C50-42E4-B679-D4C0110965AB}"/>
                </a:ext>
              </a:extLst>
            </xdr14:cNvPr>
            <xdr14:cNvContentPartPr/>
          </xdr14:nvContentPartPr>
          <xdr14:nvPr macro=""/>
          <xdr14:xfrm>
            <a:off x="4984920" y="2142720"/>
            <a:ext cx="46440" cy="108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4D63D9F0-B60C-186E-FABE-9C26318DCF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75920" y="2134080"/>
              <a:ext cx="64080" cy="2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2358064</xdr:colOff>
      <xdr:row>0</xdr:row>
      <xdr:rowOff>88257</xdr:rowOff>
    </xdr:from>
    <xdr:to>
      <xdr:col>2</xdr:col>
      <xdr:colOff>2401624</xdr:colOff>
      <xdr:row>0</xdr:row>
      <xdr:rowOff>104817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201F3EDE-7B48-4411-BA7E-5D3F7C0E843B}"/>
                </a:ext>
              </a:extLst>
            </xdr14:cNvPr>
            <xdr14:cNvContentPartPr/>
          </xdr14:nvContentPartPr>
          <xdr14:nvPr macro=""/>
          <xdr14:xfrm>
            <a:off x="5731920" y="1712520"/>
            <a:ext cx="43560" cy="165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06CE799B-3948-A95F-F904-6425BB0D792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22920" y="1703520"/>
              <a:ext cx="6120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2296864</xdr:colOff>
      <xdr:row>0</xdr:row>
      <xdr:rowOff>204897</xdr:rowOff>
    </xdr:from>
    <xdr:to>
      <xdr:col>2</xdr:col>
      <xdr:colOff>2350144</xdr:colOff>
      <xdr:row>1</xdr:row>
      <xdr:rowOff>8537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A1A2B0ED-FD70-4D35-A93D-806A7F05651D}"/>
                </a:ext>
              </a:extLst>
            </xdr14:cNvPr>
            <xdr14:cNvContentPartPr/>
          </xdr14:nvContentPartPr>
          <xdr14:nvPr macro=""/>
          <xdr14:xfrm>
            <a:off x="5670720" y="1829160"/>
            <a:ext cx="53280" cy="68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D03880F3-D0F7-8E33-B671-60E636A45E6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661720" y="1820520"/>
              <a:ext cx="70920" cy="2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287659</xdr:colOff>
      <xdr:row>0</xdr:row>
      <xdr:rowOff>110217</xdr:rowOff>
    </xdr:from>
    <xdr:to>
      <xdr:col>3</xdr:col>
      <xdr:colOff>343099</xdr:colOff>
      <xdr:row>0</xdr:row>
      <xdr:rowOff>125697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70F07D55-7310-41EC-8305-3CF75D1553F8}"/>
                </a:ext>
              </a:extLst>
            </xdr14:cNvPr>
            <xdr14:cNvContentPartPr/>
          </xdr14:nvContentPartPr>
          <xdr14:nvPr macro=""/>
          <xdr14:xfrm>
            <a:off x="6544080" y="1734480"/>
            <a:ext cx="55440" cy="15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2BE14560-4F86-72F7-E979-9CF239BCCE7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535080" y="1725480"/>
              <a:ext cx="7308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1743904</xdr:colOff>
      <xdr:row>0</xdr:row>
      <xdr:rowOff>281766</xdr:rowOff>
    </xdr:from>
    <xdr:to>
      <xdr:col>2</xdr:col>
      <xdr:colOff>1761544</xdr:colOff>
      <xdr:row>1</xdr:row>
      <xdr:rowOff>30806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3BBE7B67-FF2A-4E25-9684-4FC1ECE5B1DC}"/>
                </a:ext>
              </a:extLst>
            </xdr14:cNvPr>
            <xdr14:cNvContentPartPr/>
          </xdr14:nvContentPartPr>
          <xdr14:nvPr macro=""/>
          <xdr14:xfrm>
            <a:off x="5117760" y="462240"/>
            <a:ext cx="17640" cy="284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CEA83CF0-B9D1-AA5B-1FBD-CE669084256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108760" y="453240"/>
              <a:ext cx="352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839409</xdr:colOff>
      <xdr:row>0</xdr:row>
      <xdr:rowOff>232938</xdr:rowOff>
    </xdr:from>
    <xdr:to>
      <xdr:col>14</xdr:col>
      <xdr:colOff>851289</xdr:colOff>
      <xdr:row>1</xdr:row>
      <xdr:rowOff>46948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D049A0A-7B07-46D2-9715-8EB7AAC43027}"/>
                </a:ext>
              </a:extLst>
            </xdr14:cNvPr>
            <xdr14:cNvContentPartPr/>
          </xdr14:nvContentPartPr>
          <xdr14:nvPr macro=""/>
          <xdr14:xfrm>
            <a:off x="24656923" y="270587531"/>
            <a:ext cx="11880" cy="489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CADFCE46-AAB2-3327-2D41-93D0EADC4E0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4648283" y="270578531"/>
              <a:ext cx="2952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2761560</xdr:colOff>
      <xdr:row>0</xdr:row>
      <xdr:rowOff>3600</xdr:rowOff>
    </xdr:from>
    <xdr:to>
      <xdr:col>14</xdr:col>
      <xdr:colOff>7950</xdr:colOff>
      <xdr:row>0</xdr:row>
      <xdr:rowOff>16560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12F38582-9390-4323-9257-F5203D760C80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0BBADA68-2190-8348-62B1-6C9F1213C1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2761560</xdr:colOff>
      <xdr:row>0</xdr:row>
      <xdr:rowOff>3600</xdr:rowOff>
    </xdr:from>
    <xdr:ext cx="864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59CFB294-BFF6-4BE4-A2A8-D05B41CB48C9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DF6B692-1DDA-4CB7-8A9A-802CAF0568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2820240</xdr:colOff>
      <xdr:row>0</xdr:row>
      <xdr:rowOff>136800</xdr:rowOff>
    </xdr:from>
    <xdr:to>
      <xdr:col>14</xdr:col>
      <xdr:colOff>31440</xdr:colOff>
      <xdr:row>0</xdr:row>
      <xdr:rowOff>147240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038C6250-EF07-45EF-96F0-3D173C9C247A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F6F3A70B-5ADC-F5EB-840D-74B3A77A9E7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2820240</xdr:colOff>
      <xdr:row>0</xdr:row>
      <xdr:rowOff>136800</xdr:rowOff>
    </xdr:from>
    <xdr:ext cx="30600" cy="10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4EDF6340-E294-4F27-A58B-670A5EE4BDCF}"/>
                </a:ext>
              </a:extLst>
            </xdr14:cNvPr>
            <xdr14:cNvContentPartPr/>
          </xdr14:nvContentPartPr>
          <xdr14:nvPr macro=""/>
          <xdr14:xfrm>
            <a:off x="23700043" y="136800"/>
            <a:ext cx="30600" cy="104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12B1AA61-7F54-48C3-B110-A5214FBEC49E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3691043" y="128160"/>
              <a:ext cx="48240" cy="2808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</xdr:col>
      <xdr:colOff>2029435</xdr:colOff>
      <xdr:row>0</xdr:row>
      <xdr:rowOff>130149</xdr:rowOff>
    </xdr:from>
    <xdr:to>
      <xdr:col>1</xdr:col>
      <xdr:colOff>2082715</xdr:colOff>
      <xdr:row>0</xdr:row>
      <xdr:rowOff>160749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48263A77-38CC-4898-9699-E54485559EDF}"/>
                </a:ext>
              </a:extLst>
            </xdr14:cNvPr>
            <xdr14:cNvContentPartPr/>
          </xdr14:nvContentPartPr>
          <xdr14:nvPr macro=""/>
          <xdr14:xfrm>
            <a:off x="2656080" y="2115360"/>
            <a:ext cx="53280" cy="3060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CEE883D7-AE71-7AF5-F266-A784931887C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647440" y="2106360"/>
              <a:ext cx="7092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2000995</xdr:colOff>
      <xdr:row>0</xdr:row>
      <xdr:rowOff>343269</xdr:rowOff>
    </xdr:from>
    <xdr:to>
      <xdr:col>1</xdr:col>
      <xdr:colOff>2045635</xdr:colOff>
      <xdr:row>1</xdr:row>
      <xdr:rowOff>30969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B1A64013-B523-4640-BBE5-9777564DDD0B}"/>
                </a:ext>
              </a:extLst>
            </xdr14:cNvPr>
            <xdr14:cNvContentPartPr/>
          </xdr14:nvContentPartPr>
          <xdr14:nvPr macro=""/>
          <xdr14:xfrm>
            <a:off x="2627640" y="2328480"/>
            <a:ext cx="44640" cy="30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8B24D42C-08E7-E6AA-CDDE-F93991B35119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18640" y="2319840"/>
              <a:ext cx="6228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1611064</xdr:colOff>
      <xdr:row>0</xdr:row>
      <xdr:rowOff>157509</xdr:rowOff>
    </xdr:from>
    <xdr:to>
      <xdr:col>2</xdr:col>
      <xdr:colOff>1657504</xdr:colOff>
      <xdr:row>0</xdr:row>
      <xdr:rowOff>168309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B9A6C09F-5909-4586-A072-A6D873006B9F}"/>
                </a:ext>
              </a:extLst>
            </xdr14:cNvPr>
            <xdr14:cNvContentPartPr/>
          </xdr14:nvContentPartPr>
          <xdr14:nvPr macro=""/>
          <xdr14:xfrm>
            <a:off x="4984920" y="2142720"/>
            <a:ext cx="46440" cy="1080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4D63D9F0-B60C-186E-FABE-9C26318DCF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75920" y="2134080"/>
              <a:ext cx="64080" cy="2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2358064</xdr:colOff>
      <xdr:row>0</xdr:row>
      <xdr:rowOff>88257</xdr:rowOff>
    </xdr:from>
    <xdr:to>
      <xdr:col>2</xdr:col>
      <xdr:colOff>2401624</xdr:colOff>
      <xdr:row>0</xdr:row>
      <xdr:rowOff>104817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334140E7-2D30-40F0-B508-CD660D7F6FC3}"/>
                </a:ext>
              </a:extLst>
            </xdr14:cNvPr>
            <xdr14:cNvContentPartPr/>
          </xdr14:nvContentPartPr>
          <xdr14:nvPr macro=""/>
          <xdr14:xfrm>
            <a:off x="5731920" y="1712520"/>
            <a:ext cx="43560" cy="1656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06CE799B-3948-A95F-F904-6425BB0D7927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22920" y="1703520"/>
              <a:ext cx="6120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2296864</xdr:colOff>
      <xdr:row>0</xdr:row>
      <xdr:rowOff>204897</xdr:rowOff>
    </xdr:from>
    <xdr:to>
      <xdr:col>2</xdr:col>
      <xdr:colOff>2350144</xdr:colOff>
      <xdr:row>1</xdr:row>
      <xdr:rowOff>8537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F4E2E535-2D84-40C7-8031-264232BC3B47}"/>
                </a:ext>
              </a:extLst>
            </xdr14:cNvPr>
            <xdr14:cNvContentPartPr/>
          </xdr14:nvContentPartPr>
          <xdr14:nvPr macro=""/>
          <xdr14:xfrm>
            <a:off x="5670720" y="1829160"/>
            <a:ext cx="53280" cy="68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D03880F3-D0F7-8E33-B671-60E636A45E6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661720" y="1820520"/>
              <a:ext cx="70920" cy="2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287659</xdr:colOff>
      <xdr:row>0</xdr:row>
      <xdr:rowOff>110217</xdr:rowOff>
    </xdr:from>
    <xdr:to>
      <xdr:col>3</xdr:col>
      <xdr:colOff>343099</xdr:colOff>
      <xdr:row>0</xdr:row>
      <xdr:rowOff>125697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081B044A-4787-45E8-924A-B840D12EF820}"/>
                </a:ext>
              </a:extLst>
            </xdr14:cNvPr>
            <xdr14:cNvContentPartPr/>
          </xdr14:nvContentPartPr>
          <xdr14:nvPr macro=""/>
          <xdr14:xfrm>
            <a:off x="6544080" y="1734480"/>
            <a:ext cx="55440" cy="15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2BE14560-4F86-72F7-E979-9CF239BCCE7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535080" y="1725480"/>
              <a:ext cx="7308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839409</xdr:colOff>
      <xdr:row>0</xdr:row>
      <xdr:rowOff>232938</xdr:rowOff>
    </xdr:from>
    <xdr:to>
      <xdr:col>14</xdr:col>
      <xdr:colOff>851289</xdr:colOff>
      <xdr:row>1</xdr:row>
      <xdr:rowOff>46948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D5FD2C7E-1BF2-47A2-BC81-2E85CB5353EC}"/>
                </a:ext>
              </a:extLst>
            </xdr14:cNvPr>
            <xdr14:cNvContentPartPr/>
          </xdr14:nvContentPartPr>
          <xdr14:nvPr macro=""/>
          <xdr14:xfrm>
            <a:off x="24656923" y="270587531"/>
            <a:ext cx="11880" cy="489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CADFCE46-AAB2-3327-2D41-93D0EADC4E0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4648283" y="270578531"/>
              <a:ext cx="29520" cy="6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2761560</xdr:colOff>
      <xdr:row>0</xdr:row>
      <xdr:rowOff>3600</xdr:rowOff>
    </xdr:from>
    <xdr:to>
      <xdr:col>14</xdr:col>
      <xdr:colOff>7950</xdr:colOff>
      <xdr:row>0</xdr:row>
      <xdr:rowOff>16560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977C315D-821C-4297-9082-5DBE983FED60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0BBADA68-2190-8348-62B1-6C9F1213C1E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16</xdr:col>
      <xdr:colOff>2761560</xdr:colOff>
      <xdr:row>0</xdr:row>
      <xdr:rowOff>3600</xdr:rowOff>
    </xdr:from>
    <xdr:ext cx="8640" cy="129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749160A6-B782-436B-99F0-309012A10F1D}"/>
                </a:ext>
              </a:extLst>
            </xdr14:cNvPr>
            <xdr14:cNvContentPartPr/>
          </xdr14:nvContentPartPr>
          <xdr14:nvPr macro=""/>
          <xdr14:xfrm>
            <a:off x="23641363" y="59203982"/>
            <a:ext cx="8640" cy="129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BDF6B692-1DDA-4CB7-8A9A-802CAF0568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3632363" y="59194982"/>
              <a:ext cx="26280" cy="3060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2</xdr:col>
      <xdr:colOff>1743904</xdr:colOff>
      <xdr:row>0</xdr:row>
      <xdr:rowOff>281766</xdr:rowOff>
    </xdr:from>
    <xdr:to>
      <xdr:col>2</xdr:col>
      <xdr:colOff>1761544</xdr:colOff>
      <xdr:row>1</xdr:row>
      <xdr:rowOff>30806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373D373C-4981-4A42-A26F-577E48B7AF81}"/>
                </a:ext>
              </a:extLst>
            </xdr14:cNvPr>
            <xdr14:cNvContentPartPr/>
          </xdr14:nvContentPartPr>
          <xdr14:nvPr macro=""/>
          <xdr14:xfrm>
            <a:off x="5117760" y="462240"/>
            <a:ext cx="17640" cy="284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CEA83CF0-B9D1-AA5B-1FBD-CE669084256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108760" y="453240"/>
              <a:ext cx="35280" cy="460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573881</xdr:colOff>
      <xdr:row>5</xdr:row>
      <xdr:rowOff>178593</xdr:rowOff>
    </xdr:from>
    <xdr:to>
      <xdr:col>15</xdr:col>
      <xdr:colOff>611981</xdr:colOff>
      <xdr:row>21</xdr:row>
      <xdr:rowOff>26193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A87BE-C06A-07E7-9E30-558D3BA45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297655</xdr:colOff>
      <xdr:row>5</xdr:row>
      <xdr:rowOff>16668</xdr:rowOff>
    </xdr:from>
    <xdr:to>
      <xdr:col>13</xdr:col>
      <xdr:colOff>335755</xdr:colOff>
      <xdr:row>20</xdr:row>
      <xdr:rowOff>45243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27965-3F09-B939-DC36-F824A5ECE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259555</xdr:colOff>
      <xdr:row>2</xdr:row>
      <xdr:rowOff>2381</xdr:rowOff>
    </xdr:from>
    <xdr:to>
      <xdr:col>18</xdr:col>
      <xdr:colOff>21430</xdr:colOff>
      <xdr:row>17</xdr:row>
      <xdr:rowOff>30956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34639-D9D5-F314-0BB3-4C023B1B1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21C216-AFB4-4072-9B34-AD40511D231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77D84D-761A-4B12-AA19-4FFAF348577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17.22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18 7040,'-98'-18'2624,"74"39"-2048,0-1-992,24-8-544,8-2-384,4-2 0,7-2-672,9 1-288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19.8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124 84 4992,'-64'-52'1920,"37"41"-1504,6 4-32,18 7-64,-1 0-576,-1 0-352,14-3 160,3-1-352,4 1-32,3 0-768,5 3-320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20.5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128 5 3968,'-77'-4'1568,"58"8"-1216,-1 9-224,17-8-160,-2-3-736,1-2-288,4 5-384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21.69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120 36 4224,'-55'-28'1568,"31"20"-1216,4 11-96,15-3-64,2 5-736,-1-2-192,0-3 96,-1 4 32,5-1-480,5 4-224,-1 4 512,0-1 288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22.6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5 4224,'-59'0'1568,"38"7"-1216,5-4-160,9 0-192,3-3 320,-4 0 160,4 0-384,-1 0-160,3 0 64,-3-3 128,1 0-64,1-1-32,-2 1 64,1-1-288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3T19:40:23.2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154 42 4224,'-87'-17'3706,"80"16"-3135,4 1-452,1-1 0,-1 0 0,1 1-1,-1-1 1,0 0 0,-3-2 0,-8-2 96,12 4-528,-1 0 0,0 0 0,1 0 0,-1 0 1,1 0-1,-1-1 0,-3-2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19:49.5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 18 3840,'-13'-18'1824,"18"25"-3168,3 4 896,0-1-608,-1 5-160,2 2 448,3 1 288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31:49.4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33 67 6784,'-12'-35'2528,"-1"18"-1952,6 2-384,11 25-1568,-1 12 128,-3 3-160,0 10-608,-3 8-256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49:19.02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49:19.8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53:01.9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4T16:53:01.9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18 7040,'-98'-18'2624,"74"39"-2048,0-1-992,24-8-544,8-2-384,4-2 0,7-2-672,9 1-288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124 84 4992,'-64'-52'1920,"37"41"-1504,6 4-32,18 7-64,-1 0-576,-1 0-352,14-3 160,3-1-352,4 1-32,3 0-768,5 3-320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128 5 3968,'-77'-4'1568,"58"8"-1216,-1 9-224,17-8-160,-2-3-736,1-2-288,4 5-384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120 36 4224,'-55'-28'1568,"31"20"-1216,4 11-96,15-3-64,2 5-736,-1-2-192,0-3 96,-1 4 32,5-1-480,5 4-224,-1 4 512,0-1 288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5 4224,'-59'0'1568,"38"7"-1216,5-4-160,9 0-192,3-3 320,-4 0 160,4 0-384,-1 0-160,3 0 64,-3-3 128,1 0-64,1-1-32,-2 1 64,1-1-288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154 42 4224,'-87'-17'3706,"80"16"-3135,4 1-452,1-1 0,-1 0 0,1 1-1,-1-1 1,0 0 0,-3-2 0,-8-2 96,12 4-528,-1 0 0,0 0 0,1 0 0,-1 0 1,1 0-1,-1-1 0,-3-2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 18 3840,'-13'-18'1824,"18"25"-3168,3 4 896,0-1-608,-1 5-160,2 2 448,3 1 288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33 67 6784,'-12'-35'2528,"-1"18"-1952,6 2-384,11 25-1568,-1 12 128,-3 3-160,0 10-608,-3 8-256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4:21.64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1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84 1 1280,'-24'7'512,"11"-4"-384,1 4 288,9-2 224,-1-2-64,0 0-32,-1-3-288,2 0-96,-1 0-672,-1 0-224,3 0-320,-3 0-160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18 7040,'-98'-18'2624,"74"39"-2048,0-1-992,24-8-544,8-2-384,4-2 0,7-2-672,9 1-288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124 84 4992,'-64'-52'1920,"37"41"-1504,6 4-32,18 7-64,-1 0-576,-1 0-352,14-3 160,3-1-352,4 1-32,3 0-768,5 3-320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128 5 3968,'-77'-4'1568,"58"8"-1216,-1 9-224,17-8-160,-2-3-736,1-2-288,4 5-384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120 36 4224,'-55'-28'1568,"31"20"-1216,4 11-96,15-3-64,2 5-736,-1-2-192,0-3 96,-1 4 32,5-1-480,5 4-224,-1 4 512,0-1 288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147 5 4224,'-59'0'1568,"38"7"-1216,5-4-160,9 0-192,3-3 320,-4 0 160,4 0-384,-1 0-160,3 0 64,-3-3 128,1 0-64,1-1-32,-2 1 64,1-1-288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154 42 4224,'-87'-17'3706,"80"16"-3135,4 1-452,1-1 0,-1 0 0,1 1-1,-1-1 1,0 0 0,-3-2 0,-8-2 96,12 4-528,-1 0 0,0 0 0,1 0 0,-1 0 1,1 0-1,-1-1 0,-3-2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33 67 6784,'-12'-35'2528,"-1"18"-1952,6 2-384,11 25-1568,-1 12 128,-3 3-160,0 10-608,-3 8-256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35 128,'0'-10'160,"5"3"-128,2-1 0,-3 5 64,1 0-224,-2-1 32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16T22:42:21.7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 18 3840,'-13'-18'1824,"18"25"-3168,3 4 896,0-1-608,-1 5-160,2 2 448,3 1 288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Kelly" refreshedDate="44726.457001504627" createdVersion="8" refreshedVersion="8" minRefreshableVersion="3" recordCount="4114" xr:uid="{D4EB63B1-95EA-4BD4-BD48-24E0000A33E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Kelly" refreshedDate="44726.481653819443" createdVersion="8" refreshedVersion="8" minRefreshableVersion="3" recordCount="4114" xr:uid="{9BA11974-7F05-47DD-B2AB-19BF482795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Kelly" refreshedDate="44732.46811736111" createdVersion="7" refreshedVersion="7" minRefreshableVersion="3" recordCount="4114" xr:uid="{6FAE87D4-4391-4EF5-B970-60673320315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56523-7E40-474C-A9AB-8D4A9F94B31A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13312-1B57-457A-938D-3D377378610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69E023-DBEE-4D8E-BACF-FE7DADDAA9E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B6607-3B94-4732-A42F-C946FFCEB4A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B5944-3C35-4612-951A-C0EC244E22FD}">
  <dimension ref="A1:E18"/>
  <sheetViews>
    <sheetView workbookViewId="0">
      <selection activeCell="I2" sqref="I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5.26953125" bestFit="1" customWidth="1"/>
    <col min="8" max="8" width="12.90625" bestFit="1" customWidth="1"/>
    <col min="9" max="16" width="11.6328125" bestFit="1" customWidth="1"/>
    <col min="17" max="17" width="10.1796875" bestFit="1" customWidth="1"/>
    <col min="18" max="20" width="7.08984375" bestFit="1" customWidth="1"/>
    <col min="21" max="21" width="8.36328125" bestFit="1" customWidth="1"/>
    <col min="22" max="29" width="11.6328125" bestFit="1" customWidth="1"/>
    <col min="30" max="30" width="14" bestFit="1" customWidth="1"/>
    <col min="31" max="31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8393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521" topLeftCell="A2795" activePane="bottomLeft" state="frozen"/>
      <selection pane="bottomLeft" activeCell="F523" sqref="F52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08984375" customWidth="1"/>
    <col min="15" max="15" width="16.6328125" bestFit="1" customWidth="1"/>
    <col min="16" max="16" width="20.1796875" bestFit="1" customWidth="1"/>
    <col min="17" max="17" width="41.08984375" customWidth="1"/>
    <col min="18" max="18" width="14.90625" bestFit="1" customWidth="1"/>
    <col min="19" max="19" width="21.36328125" style="16" bestFit="1" customWidth="1"/>
    <col min="20" max="20" width="19.9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8393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YEAR(S:S)</f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YEAR(S:S)</f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YEAR(S:S)</f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YEAR(S:S)</f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YEAR(S:S)</f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YEAR(S:S)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YEAR(S:S)</f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YEAR(S:S)</f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YEAR(S:S)</f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YEAR(S:S)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  <c r="U3754">
        <f>YEAR(S:S)</f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YEAR(S:S)</f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YEAR(S:S)</f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YEAR(S:S)</f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YEAR(S:S)</f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YEAR(S:S)</f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YEAR(S:S)</f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YEAR(S:S)</f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YEAR(S:S)</f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YEAR(S:S)</f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YEAR(S:S)</f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YEAR(S:S)</f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0A115-64EB-4787-ADFF-FAF93DB6BC9F}">
  <dimension ref="B1:I13"/>
  <sheetViews>
    <sheetView tabSelected="1" topLeftCell="B1" workbookViewId="0">
      <selection activeCell="J8" sqref="J8"/>
    </sheetView>
  </sheetViews>
  <sheetFormatPr defaultRowHeight="14.5" x14ac:dyDescent="0.35"/>
  <cols>
    <col min="2" max="2" width="14.6328125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9.08984375" bestFit="1" customWidth="1"/>
    <col min="8" max="8" width="15.453125" style="25" bestFit="1" customWidth="1"/>
    <col min="9" max="9" width="18.1796875" style="25" bestFit="1" customWidth="1"/>
  </cols>
  <sheetData>
    <row r="1" spans="2:9" x14ac:dyDescent="0.35">
      <c r="B1" t="s">
        <v>8381</v>
      </c>
      <c r="C1" t="s">
        <v>8412</v>
      </c>
      <c r="D1" t="s">
        <v>8394</v>
      </c>
      <c r="E1" t="s">
        <v>8395</v>
      </c>
      <c r="F1" t="s">
        <v>8396</v>
      </c>
      <c r="G1" t="s">
        <v>8397</v>
      </c>
      <c r="H1" s="25" t="s">
        <v>8398</v>
      </c>
      <c r="I1" s="25" t="s">
        <v>8399</v>
      </c>
    </row>
    <row r="2" spans="2:9" x14ac:dyDescent="0.35">
      <c r="B2" t="s">
        <v>8400</v>
      </c>
      <c r="C2">
        <f>COUNTIFS(Kickstarter!$D:$D,"&lt;1000",Kickstarter!$F:$F,"successful",Kickstarter!$R:$R,"plays")</f>
        <v>141</v>
      </c>
      <c r="D2">
        <f>COUNTIFS(Kickstarter!$D:$D,"&lt;1000",Kickstarter!$F:$F,"failed",Kickstarter!$R:$R,"plays")</f>
        <v>45</v>
      </c>
      <c r="E2">
        <f>COUNTIFS(Kickstarter!$D:$D,"&lt;1000",Kickstarter!$F:$F,"canceled",Kickstarter!$R:$R,"plays")</f>
        <v>0</v>
      </c>
      <c r="F2">
        <f>SUM(C2:E2)</f>
        <v>186</v>
      </c>
      <c r="G2" s="24">
        <f>C2/F2</f>
        <v>0.75806451612903225</v>
      </c>
      <c r="H2" s="25">
        <f>D2/F2</f>
        <v>0.24193548387096775</v>
      </c>
      <c r="I2" s="25">
        <f>E2/F2</f>
        <v>0</v>
      </c>
    </row>
    <row r="3" spans="2:9" x14ac:dyDescent="0.35">
      <c r="B3" t="s">
        <v>8401</v>
      </c>
      <c r="C3">
        <f>COUNTIFS(Kickstarter!$D:$D,"&gt;=1000",Kickstarter!$D:$D,"&lt;=4999",Kickstarter!$F:$F,"successful",Kickstarter!$R:$R,"plays")</f>
        <v>388</v>
      </c>
      <c r="D3">
        <f>COUNTIFS(Kickstarter!$D:$D,"&gt;=1000",Kickstarter!$D:$D,"&lt;=4999",Kickstarter!$F:$F,"failed",Kickstarter!$R:$R,"plays")</f>
        <v>146</v>
      </c>
      <c r="E3">
        <f>COUNTIFS(Kickstarter!$D:$D,"&gt;=1000",Kickstarter!$D:$D,"&lt;=4999",Kickstarter!$F:$F,"canceled",Kickstarter!$R:$R,"plays")</f>
        <v>0</v>
      </c>
      <c r="F3">
        <f t="shared" ref="F3:F13" si="0">SUM(C3:E3)</f>
        <v>534</v>
      </c>
      <c r="G3" s="24">
        <f t="shared" ref="G3:G13" si="1">C3/F3</f>
        <v>0.72659176029962547</v>
      </c>
      <c r="H3" s="25">
        <f t="shared" ref="H3:H13" si="2">D3/F3</f>
        <v>0.27340823970037453</v>
      </c>
      <c r="I3" s="25">
        <f t="shared" ref="I3:I13" si="3">E3/F3</f>
        <v>0</v>
      </c>
    </row>
    <row r="4" spans="2:9" x14ac:dyDescent="0.35">
      <c r="B4" t="s">
        <v>8402</v>
      </c>
      <c r="C4">
        <f>COUNTIFS(Kickstarter!$D:$D,"&gt;=5000",Kickstarter!$D:$D,"&lt;=9999",Kickstarter!$F:$F,"successful",Kickstarter!$R:$R,"plays")</f>
        <v>93</v>
      </c>
      <c r="D4">
        <f>COUNTIFS(Kickstarter!$D:$D,"&gt;=5000",Kickstarter!$D:$D,"&lt;=9999",Kickstarter!$F:$F,"failed",Kickstarter!$R:$R,"plays")</f>
        <v>76</v>
      </c>
      <c r="E4">
        <f>COUNTIFS(Kickstarter!$D:$D,"&gt;=5000",Kickstarter!$D:$D,"&lt;=9999",Kickstarter!$F:$F,"canceled",Kickstarter!$R:$R,"plays")</f>
        <v>0</v>
      </c>
      <c r="F4">
        <f t="shared" si="0"/>
        <v>169</v>
      </c>
      <c r="G4" s="24">
        <f t="shared" si="1"/>
        <v>0.55029585798816572</v>
      </c>
      <c r="H4" s="25">
        <f t="shared" si="2"/>
        <v>0.44970414201183434</v>
      </c>
      <c r="I4" s="25">
        <f t="shared" si="3"/>
        <v>0</v>
      </c>
    </row>
    <row r="5" spans="2:9" x14ac:dyDescent="0.35">
      <c r="B5" t="s">
        <v>8403</v>
      </c>
      <c r="C5">
        <f>COUNTIFS(Kickstarter!$D:$D,"&gt;=10000",Kickstarter!$D:$D,"&lt;=14999",Kickstarter!$F:$F,"successful",Kickstarter!$R:$R,"plays")</f>
        <v>39</v>
      </c>
      <c r="D5">
        <f>COUNTIFS(Kickstarter!$D:$D,"&gt;=10000",Kickstarter!$D:$D,"&lt;=14999",Kickstarter!$F:$F,"failed",Kickstarter!$R:$R,"plays")</f>
        <v>33</v>
      </c>
      <c r="E5">
        <f>COUNTIFS(Kickstarter!$D:$D,"&gt;=10000",Kickstarter!$D:$D,"&lt;=14999",Kickstarter!$F:$F,"canceled",Kickstarter!$R:$R,"plays")</f>
        <v>0</v>
      </c>
      <c r="F5">
        <f t="shared" si="0"/>
        <v>72</v>
      </c>
      <c r="G5" s="24">
        <f t="shared" si="1"/>
        <v>0.54166666666666663</v>
      </c>
      <c r="H5" s="25">
        <f t="shared" si="2"/>
        <v>0.45833333333333331</v>
      </c>
      <c r="I5" s="25">
        <f t="shared" si="3"/>
        <v>0</v>
      </c>
    </row>
    <row r="6" spans="2:9" x14ac:dyDescent="0.35">
      <c r="B6" t="s">
        <v>8404</v>
      </c>
      <c r="C6">
        <f>COUNTIFS(Kickstarter!$D:$D,"&gt;=15000",Kickstarter!$D:$D,"&lt;=19999",Kickstarter!$F:$F,"successful",Kickstarter!$R:$R,"plays")</f>
        <v>12</v>
      </c>
      <c r="D6">
        <f>COUNTIFS(Kickstarter!$D:$D,"&gt;=15000",Kickstarter!$D:$D,"&lt;=19999",Kickstarter!$F:$F,"failed",Kickstarter!$R:$R,"plays")</f>
        <v>12</v>
      </c>
      <c r="E6">
        <f>COUNTIFS(Kickstarter!$D:$D,"&gt;=15000",Kickstarter!$D:$D,"&lt;=19999",Kickstarter!$F:$F,"canceled",Kickstarter!$R:$R,"plays")</f>
        <v>0</v>
      </c>
      <c r="F6">
        <f t="shared" si="0"/>
        <v>24</v>
      </c>
      <c r="G6" s="24">
        <f t="shared" si="1"/>
        <v>0.5</v>
      </c>
      <c r="H6" s="25">
        <f t="shared" si="2"/>
        <v>0.5</v>
      </c>
      <c r="I6" s="25">
        <f t="shared" si="3"/>
        <v>0</v>
      </c>
    </row>
    <row r="7" spans="2:9" x14ac:dyDescent="0.35">
      <c r="B7" t="s">
        <v>8405</v>
      </c>
      <c r="C7">
        <f>COUNTIFS(Kickstarter!$D:$D,"&gt;=20000",Kickstarter!$D:$D,"&lt;=24999",Kickstarter!$F:$F,"successful",Kickstarter!$R:$R,"plays")</f>
        <v>9</v>
      </c>
      <c r="D7">
        <f>COUNTIFS(Kickstarter!$D:$D,"&gt;=20000",Kickstarter!$D:$D,"&lt;=24999",Kickstarter!$F:$F,"failed",Kickstarter!$R:$R,"plays")</f>
        <v>11</v>
      </c>
      <c r="E7">
        <f>COUNTIFS(Kickstarter!$D:$D,"&gt;=20000",Kickstarter!$D:$D,"&lt;=24999",Kickstarter!$F:$F,"canceled",Kickstarter!$R:$R,"plays")</f>
        <v>0</v>
      </c>
      <c r="F7">
        <f t="shared" si="0"/>
        <v>20</v>
      </c>
      <c r="G7" s="24">
        <f t="shared" si="1"/>
        <v>0.45</v>
      </c>
      <c r="H7" s="25">
        <f t="shared" si="2"/>
        <v>0.55000000000000004</v>
      </c>
      <c r="I7" s="25">
        <f t="shared" si="3"/>
        <v>0</v>
      </c>
    </row>
    <row r="8" spans="2:9" x14ac:dyDescent="0.35">
      <c r="B8" t="s">
        <v>8406</v>
      </c>
      <c r="C8">
        <f>COUNTIFS(Kickstarter!$D:$D,"&gt;=25000",Kickstarter!$D:$D,"&lt;=29999",Kickstarter!$F:$F,"successful",Kickstarter!$R:$R,"plays")</f>
        <v>1</v>
      </c>
      <c r="D8">
        <f>COUNTIFS(Kickstarter!$D:$D,"&gt;=25000",Kickstarter!$D:$D,"&lt;=29999",Kickstarter!$F:$F,"failed",Kickstarter!$R:$R,"plays")</f>
        <v>4</v>
      </c>
      <c r="E8">
        <f>COUNTIFS(Kickstarter!$D:$D,"&gt;=25000",Kickstarter!$D:$D,"&lt;=29999",Kickstarter!$F:$F,"canceled",Kickstarter!$R:$R,"plays")</f>
        <v>0</v>
      </c>
      <c r="F8">
        <f t="shared" si="0"/>
        <v>5</v>
      </c>
      <c r="G8" s="24">
        <f t="shared" si="1"/>
        <v>0.2</v>
      </c>
      <c r="H8" s="25">
        <f t="shared" si="2"/>
        <v>0.8</v>
      </c>
      <c r="I8" s="25">
        <f t="shared" si="3"/>
        <v>0</v>
      </c>
    </row>
    <row r="9" spans="2:9" x14ac:dyDescent="0.35">
      <c r="B9" t="s">
        <v>8407</v>
      </c>
      <c r="C9">
        <f>COUNTIFS(Kickstarter!$D:$D,"&gt;=30000",Kickstarter!$D:$D,"&lt;=34999",Kickstarter!$F:$F,"successful",Kickstarter!$R:$R,"plays")</f>
        <v>3</v>
      </c>
      <c r="D9">
        <f>COUNTIFS(Kickstarter!$D:$D,"&gt;=30000",Kickstarter!$D:$D,"&lt;=34999",Kickstarter!$F:$F,"failed",Kickstarter!$R:$R,"plays")</f>
        <v>8</v>
      </c>
      <c r="E9">
        <f>COUNTIFS(Kickstarter!$D:$D,"&gt;=30000",Kickstarter!$D:$D,"&lt;=34999",Kickstarter!$F:$F,"canceled",Kickstarter!$R:$R,"plays")</f>
        <v>0</v>
      </c>
      <c r="F9">
        <f t="shared" si="0"/>
        <v>11</v>
      </c>
      <c r="G9" s="24">
        <f t="shared" si="1"/>
        <v>0.27272727272727271</v>
      </c>
      <c r="H9" s="25">
        <f t="shared" si="2"/>
        <v>0.72727272727272729</v>
      </c>
      <c r="I9" s="25">
        <f t="shared" si="3"/>
        <v>0</v>
      </c>
    </row>
    <row r="10" spans="2:9" x14ac:dyDescent="0.35">
      <c r="B10" t="s">
        <v>8408</v>
      </c>
      <c r="C10">
        <f>COUNTIFS(Kickstarter!$D:$D,"&gt;=35000",Kickstarter!$D:$D,"&lt;=39999",Kickstarter!$F:$F,"successful",Kickstarter!$R:$R,"plays")</f>
        <v>4</v>
      </c>
      <c r="D10">
        <f>COUNTIFS(Kickstarter!$D:$D,"&gt;=35000",Kickstarter!$D:$D,"&lt;=39999",Kickstarter!$F:$F,"failed",Kickstarter!$R:$R,"plays")</f>
        <v>2</v>
      </c>
      <c r="E10">
        <f>COUNTIFS(Kickstarter!$D:$D,"&gt;=35000",Kickstarter!$D:$D,"&lt;=39999",Kickstarter!$F:$F,"canceled",Kickstarter!$R:$R,"plays")</f>
        <v>0</v>
      </c>
      <c r="F10">
        <f t="shared" si="0"/>
        <v>6</v>
      </c>
      <c r="G10" s="24">
        <f t="shared" si="1"/>
        <v>0.66666666666666663</v>
      </c>
      <c r="H10" s="25">
        <f t="shared" si="2"/>
        <v>0.33333333333333331</v>
      </c>
      <c r="I10" s="25">
        <f t="shared" si="3"/>
        <v>0</v>
      </c>
    </row>
    <row r="11" spans="2:9" x14ac:dyDescent="0.35">
      <c r="B11" t="s">
        <v>8409</v>
      </c>
      <c r="C11">
        <f>COUNTIFS(Kickstarter!$D:$D,"&gt;=40000",Kickstarter!$D:$D,"&lt;=44999",Kickstarter!$F:$F,"successful",Kickstarter!$R:$R,"plays")</f>
        <v>2</v>
      </c>
      <c r="D11">
        <f>COUNTIFS(Kickstarter!$D:$D,"&gt;=40000",Kickstarter!$D:$D,"&lt;=44999",Kickstarter!$F:$F,"failed",Kickstarter!$R:$R,"plays")</f>
        <v>1</v>
      </c>
      <c r="E11">
        <f>COUNTIFS(Kickstarter!$D:$D,"&gt;=40000",Kickstarter!$D:$D,"&lt;=44999",Kickstarter!$F:$F,"canceled",Kickstarter!$R:$R,"plays")</f>
        <v>0</v>
      </c>
      <c r="F11">
        <f t="shared" si="0"/>
        <v>3</v>
      </c>
      <c r="G11" s="24">
        <f t="shared" si="1"/>
        <v>0.66666666666666663</v>
      </c>
      <c r="H11" s="25">
        <f t="shared" si="2"/>
        <v>0.33333333333333331</v>
      </c>
      <c r="I11" s="25">
        <f t="shared" si="3"/>
        <v>0</v>
      </c>
    </row>
    <row r="12" spans="2:9" x14ac:dyDescent="0.35">
      <c r="B12" t="s">
        <v>8410</v>
      </c>
      <c r="C12">
        <f>COUNTIFS(Kickstarter!$D:$D,"&gt;=45000",Kickstarter!$D:$D,"&lt;=49999",Kickstarter!$F:$F,"successful",Kickstarter!$R:$R,"plays")</f>
        <v>0</v>
      </c>
      <c r="D12">
        <f>COUNTIFS(Kickstarter!$D:$D,"&gt;=45000",Kickstarter!$D:$D,"&lt;=49999",Kickstarter!$F:$F,"failed",Kickstarter!$R:$R,"plays")</f>
        <v>1</v>
      </c>
      <c r="E12">
        <f>COUNTIFS(Kickstarter!$D:$D,"&gt;=45000",Kickstarter!$D:$D,"&lt;=49999",Kickstarter!$F:$F,"canceled",Kickstarter!$R:$R,"plays")</f>
        <v>0</v>
      </c>
      <c r="F12">
        <f t="shared" si="0"/>
        <v>1</v>
      </c>
      <c r="G12" s="24">
        <f t="shared" si="1"/>
        <v>0</v>
      </c>
      <c r="H12" s="25">
        <f t="shared" si="2"/>
        <v>1</v>
      </c>
      <c r="I12" s="25">
        <f t="shared" si="3"/>
        <v>0</v>
      </c>
    </row>
    <row r="13" spans="2:9" x14ac:dyDescent="0.35">
      <c r="B13" t="s">
        <v>8411</v>
      </c>
      <c r="C13">
        <f>COUNTIFS(Kickstarter!$D:$D,"&gt;50000",Kickstarter!$F:$F,"successful",Kickstarter!$R:$R,"plays")</f>
        <v>2</v>
      </c>
      <c r="D13">
        <f>COUNTIFS(Kickstarter!$D:$D,"&gt;50000",Kickstarter!$F:$F,"failed",Kickstarter!$R:$R,"plays")</f>
        <v>10</v>
      </c>
      <c r="E13">
        <f>COUNTIFS(Kickstarter!$D:$D,"&gt;50000",Kickstarter!$F:$F,"canceled",Kickstarter!$R:$R,"plays")</f>
        <v>0</v>
      </c>
      <c r="F13">
        <f t="shared" si="0"/>
        <v>12</v>
      </c>
      <c r="G13" s="24">
        <f t="shared" si="1"/>
        <v>0.16666666666666666</v>
      </c>
      <c r="H13" s="25">
        <f t="shared" si="2"/>
        <v>0.83333333333333337</v>
      </c>
      <c r="I13" s="25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AE094-DF4A-4B2D-9F39-05168C7FCADD}">
  <dimension ref="A1:T251"/>
  <sheetViews>
    <sheetView workbookViewId="0">
      <selection activeCell="C4" sqref="C4"/>
    </sheetView>
  </sheetViews>
  <sheetFormatPr defaultRowHeight="14.5" x14ac:dyDescent="0.35"/>
  <cols>
    <col min="1" max="1" width="4.81640625" bestFit="1" customWidth="1"/>
    <col min="2" max="2" width="44.81640625" bestFit="1" customWidth="1"/>
    <col min="3" max="3" width="49.3632812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9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43.5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43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43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3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3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3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3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3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9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29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43.5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9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3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3.5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9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3.5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3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9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9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43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9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9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3.5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9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29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3.5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3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3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9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3.5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3.5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3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5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9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9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3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9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5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3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9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3.5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3.5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9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3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9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3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3.5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9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3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3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9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3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9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9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9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29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5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3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9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9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3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43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29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3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3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29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3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29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9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9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9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3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9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9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3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29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9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733EC-DDF0-4C97-A3DA-F26274ED6E69}">
  <dimension ref="A1:C14"/>
  <sheetViews>
    <sheetView workbookViewId="0">
      <selection activeCell="C15" sqref="C15"/>
    </sheetView>
  </sheetViews>
  <sheetFormatPr defaultRowHeight="14.5" x14ac:dyDescent="0.35"/>
  <cols>
    <col min="1" max="1" width="23.453125" bestFit="1" customWidth="1"/>
    <col min="2" max="2" width="11.90625" bestFit="1" customWidth="1"/>
    <col min="3" max="3" width="12.08984375" bestFit="1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22">
        <f>AVERAGE('Successful US Kickstarters '!D:D)</f>
        <v>5048.8786407766993</v>
      </c>
      <c r="C2" s="22">
        <f>AVERAGE('Failed US Kickstartes'!D:D)</f>
        <v>10554.212</v>
      </c>
    </row>
    <row r="3" spans="1:3" x14ac:dyDescent="0.35">
      <c r="A3" t="s">
        <v>8386</v>
      </c>
      <c r="B3" s="22">
        <f>MEDIAN('Successful US Kickstarters '!D:D)</f>
        <v>3000</v>
      </c>
      <c r="C3" s="22">
        <f>MEDIAN('Failed US Kickstartes'!D:D)</f>
        <v>5000</v>
      </c>
    </row>
    <row r="4" spans="1:3" x14ac:dyDescent="0.35">
      <c r="A4" t="s">
        <v>8389</v>
      </c>
      <c r="B4" s="22">
        <f>_xlfn.STDEV.P('Successful US Kickstarters '!D:D)</f>
        <v>7748.7537726373303</v>
      </c>
      <c r="C4" s="22">
        <f>_xlfn.STDEV.P('Failed US Kickstartes'!D:D)</f>
        <v>21967.731061515115</v>
      </c>
    </row>
    <row r="5" spans="1:3" x14ac:dyDescent="0.35">
      <c r="A5" t="s">
        <v>8390</v>
      </c>
      <c r="B5" s="22">
        <f>_xlfn.QUARTILE.EXC('Successful US Kickstarters '!D:D,3)</f>
        <v>5000</v>
      </c>
      <c r="C5" s="22">
        <f>_xlfn.QUARTILE.EXC('Failed US Kickstartes'!D:D,3)</f>
        <v>10000</v>
      </c>
    </row>
    <row r="6" spans="1:3" x14ac:dyDescent="0.35">
      <c r="A6" t="s">
        <v>8392</v>
      </c>
      <c r="B6" s="22">
        <f>_xlfn.QUARTILE.EXC('Successful US Kickstarters '!D:D,1)</f>
        <v>1500</v>
      </c>
      <c r="C6" s="22">
        <f>_xlfn.QUARTILE.EXC('Failed US Kickstartes'!D:D,1)</f>
        <v>2000</v>
      </c>
    </row>
    <row r="7" spans="1:3" x14ac:dyDescent="0.35">
      <c r="A7" t="s">
        <v>8391</v>
      </c>
      <c r="B7" s="22">
        <f>B5-B6</f>
        <v>3500</v>
      </c>
      <c r="C7" s="22">
        <f>C5-C6</f>
        <v>8000</v>
      </c>
    </row>
    <row r="8" spans="1:3" x14ac:dyDescent="0.35">
      <c r="B8" s="22"/>
      <c r="C8" s="22"/>
    </row>
    <row r="9" spans="1:3" x14ac:dyDescent="0.35">
      <c r="A9" t="s">
        <v>8387</v>
      </c>
      <c r="B9" s="22">
        <f>AVERAGE('Successful US Kickstarters '!E:E)</f>
        <v>5601.5458009708727</v>
      </c>
      <c r="C9" s="22">
        <f>AVERAGE('Failed US Kickstartes'!E:E)</f>
        <v>558.65484000000004</v>
      </c>
    </row>
    <row r="10" spans="1:3" x14ac:dyDescent="0.35">
      <c r="A10" t="s">
        <v>8388</v>
      </c>
      <c r="B10" s="22">
        <f>MEDIAN('Successful US Kickstarters '!E:E)</f>
        <v>3167.5</v>
      </c>
      <c r="C10" s="22">
        <f>MEDIAN('Failed US Kickstartes'!E:E)</f>
        <v>103</v>
      </c>
    </row>
    <row r="11" spans="1:3" x14ac:dyDescent="0.35">
      <c r="A11" t="s">
        <v>8389</v>
      </c>
      <c r="B11" s="23">
        <f>_xlfn.STDEV.P('Successful US Kickstarters '!E:E)</f>
        <v>8334.5731699164608</v>
      </c>
      <c r="C11" s="23">
        <f>_xlfn.STDEV.P('Failed US Kickstartes'!E:E)</f>
        <v>1330.5230280400915</v>
      </c>
    </row>
    <row r="12" spans="1:3" x14ac:dyDescent="0.35">
      <c r="A12" t="s">
        <v>8390</v>
      </c>
      <c r="B12" s="23">
        <f>_xlfn.QUARTILE.EXC('Successful US Kickstarters '!E:E,3)</f>
        <v>5699</v>
      </c>
      <c r="C12" s="23">
        <f>_xlfn.QUARTILE.EXC('Failed US Kickstartes'!E:E,3)</f>
        <v>501</v>
      </c>
    </row>
    <row r="13" spans="1:3" x14ac:dyDescent="0.35">
      <c r="A13" t="s">
        <v>8392</v>
      </c>
      <c r="B13" s="23">
        <f>_xlfn.QUARTILE.EXC('Successful US Kickstarters '!E:E,1)</f>
        <v>1716.5074999999999</v>
      </c>
      <c r="C13" s="23">
        <f>_xlfn.QUARTILE.EXC('Failed US Kickstartes'!E:E,1)</f>
        <v>9.25</v>
      </c>
    </row>
    <row r="14" spans="1:3" x14ac:dyDescent="0.35">
      <c r="A14" t="s">
        <v>8391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6DA9-26D6-4F86-AAD2-1CDB188E684D}">
  <dimension ref="A1:T413"/>
  <sheetViews>
    <sheetView workbookViewId="0">
      <selection activeCell="E1" sqref="E1:E1048576"/>
    </sheetView>
  </sheetViews>
  <sheetFormatPr defaultColWidth="34" defaultRowHeight="14.5" x14ac:dyDescent="0.35"/>
  <cols>
    <col min="1" max="1" width="4.81640625" bestFit="1" customWidth="1"/>
    <col min="3" max="3" width="53.90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29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3.5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3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9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3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9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9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29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9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9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9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5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9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5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29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9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3.5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9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3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3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29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3.5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9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3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3.5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9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9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3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5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3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3.5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9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3.5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29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9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9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9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3.5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3.5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9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9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3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3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3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29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3.5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9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29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3.5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9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9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5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29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9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3.5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9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9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9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9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9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3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29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9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3.5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29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9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9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9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9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9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3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3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9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3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3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9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9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9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3.5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9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9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9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9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3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9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9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3.5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9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9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9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9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9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9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3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9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9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9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9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9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3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3.5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3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3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9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3.5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5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9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9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3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9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9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9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3.5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9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29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9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9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9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29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3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3.5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9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9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9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9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3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9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9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3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5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9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29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3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9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3.5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3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3.5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3.5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9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3.5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9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3.5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9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5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3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3.5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9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9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9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29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3.5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9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9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9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9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9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9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9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9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5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9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9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3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9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9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58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9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3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9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29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9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3.5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9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9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5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3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3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9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5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9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9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29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3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3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9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9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3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9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5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3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9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29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9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3.5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9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152E4-BD50-4F43-8F3E-585D228074F3}">
  <dimension ref="A1:F6"/>
  <sheetViews>
    <sheetView topLeftCell="A2" workbookViewId="0">
      <selection activeCell="M27" sqref="M27"/>
    </sheetView>
  </sheetViews>
  <sheetFormatPr defaultRowHeight="14.5" x14ac:dyDescent="0.35"/>
  <cols>
    <col min="1" max="1" width="16.36328125" bestFit="1" customWidth="1"/>
    <col min="2" max="2" width="14.7265625" bestFit="1" customWidth="1"/>
    <col min="3" max="3" width="5.26953125" bestFit="1" customWidth="1"/>
    <col min="4" max="4" width="3.6328125" bestFit="1" customWidth="1"/>
    <col min="5" max="5" width="8.90625" bestFit="1" customWidth="1"/>
    <col min="6" max="6" width="10.179687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611EB-838F-42EF-95A0-C7B4E0052175}">
  <dimension ref="A1:E7"/>
  <sheetViews>
    <sheetView workbookViewId="0">
      <selection activeCell="E28" sqref="E28"/>
    </sheetView>
  </sheetViews>
  <sheetFormatPr defaultRowHeight="14.5" x14ac:dyDescent="0.35"/>
  <cols>
    <col min="1" max="1" width="16.36328125" bestFit="1" customWidth="1"/>
    <col min="2" max="2" width="14.7265625" bestFit="1" customWidth="1"/>
    <col min="3" max="3" width="3.6328125" bestFit="1" customWidth="1"/>
    <col min="4" max="4" width="8.90625" bestFit="1" customWidth="1"/>
    <col min="5" max="6" width="10.179687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6B499-1051-4EB9-8CB3-106430739768}">
  <dimension ref="A1:F17"/>
  <sheetViews>
    <sheetView zoomScaleNormal="100" workbookViewId="0">
      <selection activeCell="E14" sqref="E14"/>
    </sheetView>
  </sheetViews>
  <sheetFormatPr defaultRowHeight="14.5" x14ac:dyDescent="0.35"/>
  <cols>
    <col min="1" max="1" width="16.36328125" bestFit="1" customWidth="1"/>
    <col min="2" max="2" width="14.7265625" bestFit="1" customWidth="1"/>
    <col min="3" max="3" width="5.26953125" bestFit="1" customWidth="1"/>
    <col min="4" max="4" width="3.6328125" bestFit="1" customWidth="1"/>
    <col min="5" max="5" width="8.90625" bestFit="1" customWidth="1"/>
    <col min="6" max="6" width="10.1796875" bestFit="1" customWidth="1"/>
    <col min="7" max="7" width="4" bestFit="1" customWidth="1"/>
    <col min="8" max="8" width="4.1796875" bestFit="1" customWidth="1"/>
    <col min="9" max="9" width="4.7265625" bestFit="1" customWidth="1"/>
    <col min="10" max="10" width="4.36328125" bestFit="1" customWidth="1"/>
    <col min="11" max="11" width="4.08984375" bestFit="1" customWidth="1"/>
    <col min="12" max="12" width="3.6328125" bestFit="1" customWidth="1"/>
    <col min="13" max="13" width="4.08984375" bestFit="1" customWidth="1"/>
    <col min="14" max="14" width="4.7265625" bestFit="1" customWidth="1"/>
    <col min="15" max="15" width="10.1796875" bestFit="1" customWidth="1"/>
  </cols>
  <sheetData>
    <row r="1" spans="1:6" x14ac:dyDescent="0.35">
      <c r="A1" s="11" t="s">
        <v>8358</v>
      </c>
      <c r="B1" t="s">
        <v>8315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7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5">
      <c r="A6" s="17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5">
      <c r="A7" s="17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5">
      <c r="A8" s="17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5">
      <c r="A9" s="17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5">
      <c r="A10" s="17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5">
      <c r="A11" s="17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5">
      <c r="A12" s="17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5">
      <c r="A13" s="17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5">
      <c r="A14" s="17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5">
      <c r="A15" s="17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5">
      <c r="A16" s="17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5">
      <c r="A17" s="17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5D395-E64C-4EE7-B57C-E35A607DDC27}">
  <dimension ref="A1:D6"/>
  <sheetViews>
    <sheetView workbookViewId="0">
      <selection activeCell="B1" sqref="B1"/>
    </sheetView>
  </sheetViews>
  <sheetFormatPr defaultRowHeight="14.5" x14ac:dyDescent="0.35"/>
  <cols>
    <col min="1" max="1" width="29.453125" bestFit="1" customWidth="1"/>
    <col min="2" max="2" width="45.54296875" style="3" customWidth="1"/>
    <col min="3" max="4" width="10.08984375" style="21" bestFit="1" customWidth="1"/>
  </cols>
  <sheetData>
    <row r="1" spans="1:4" s="18" customFormat="1" x14ac:dyDescent="0.35">
      <c r="A1" s="18" t="s">
        <v>8379</v>
      </c>
      <c r="B1" s="19" t="s">
        <v>8380</v>
      </c>
      <c r="C1" s="20" t="s">
        <v>8381</v>
      </c>
      <c r="D1" s="20" t="s">
        <v>8382</v>
      </c>
    </row>
    <row r="2" spans="1:4" ht="43.5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1">
        <f>VLOOKUP(A2,Kickstarter!B:E,4,FALSE)</f>
        <v>2020</v>
      </c>
    </row>
    <row r="3" spans="1:4" ht="43.5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21">
        <f>VLOOKUP(A3,Kickstarter!B:E,3,FALSE)</f>
        <v>2000</v>
      </c>
      <c r="D3" s="21">
        <f>VLOOKUP(A3,Kickstarter!B:E,4,FALSE)</f>
        <v>2020</v>
      </c>
    </row>
    <row r="4" spans="1:4" ht="43.5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21">
        <f>VLOOKUP(A4,Kickstarter!B:E,3,FALSE)</f>
        <v>1500</v>
      </c>
      <c r="D4" s="21">
        <f>VLOOKUP(A4,Kickstarter!B:E,4,FALSE)</f>
        <v>2576</v>
      </c>
    </row>
    <row r="5" spans="1:4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21">
        <f>VLOOKUP(A5,Kickstarter!B:E,3,FALSE)</f>
        <v>1000</v>
      </c>
      <c r="D5" s="21">
        <f>VLOOKUP(A5,Kickstarter!B:E,4,FALSE)</f>
        <v>1168</v>
      </c>
    </row>
    <row r="6" spans="1:4" ht="43.5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21">
        <f>VLOOKUP(A6,Kickstarter!B:E,3,FALSE)</f>
        <v>4000</v>
      </c>
      <c r="D6" s="21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Kickstarter</vt:lpstr>
      <vt:lpstr>Outcomes Based on Goals</vt:lpstr>
      <vt:lpstr>Failed US Kickstartes</vt:lpstr>
      <vt:lpstr>Descriptive Statistics</vt:lpstr>
      <vt:lpstr>Successful US Kickstarters </vt:lpstr>
      <vt:lpstr>Category Statistics</vt:lpstr>
      <vt:lpstr>Subcategory Statistics</vt:lpstr>
      <vt:lpstr>Outcomes Based on Launch Date</vt:lpstr>
      <vt:lpstr>Edingburg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Kelly</cp:lastModifiedBy>
  <dcterms:created xsi:type="dcterms:W3CDTF">2017-04-20T15:17:24Z</dcterms:created>
  <dcterms:modified xsi:type="dcterms:W3CDTF">2022-06-20T18:27:16Z</dcterms:modified>
</cp:coreProperties>
</file>