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kai/Desktop/RPH/"/>
    </mc:Choice>
  </mc:AlternateContent>
  <xr:revisionPtr revIDLastSave="0" documentId="13_ncr:1_{F14CBD58-D21E-2449-85C1-AE196196A73D}" xr6:coauthVersionLast="47" xr6:coauthVersionMax="47" xr10:uidLastSave="{00000000-0000-0000-0000-000000000000}"/>
  <bookViews>
    <workbookView xWindow="860" yWindow="760" windowWidth="25960" windowHeight="17140" activeTab="5" xr2:uid="{57296EC9-0ED3-6D41-A8B1-58FF77736881}"/>
  </bookViews>
  <sheets>
    <sheet name="Device Cost" sheetId="4" r:id="rId1"/>
    <sheet name="Management Cost_Digital Device" sheetId="6" r:id="rId2"/>
    <sheet name="Management Cost_Standard Care" sheetId="9" r:id="rId3"/>
    <sheet name="Decision tree_all sample_0608" sheetId="30" r:id="rId4"/>
    <sheet name="Demo" sheetId="21" r:id="rId5"/>
    <sheet name="Regression" sheetId="26" r:id="rId6"/>
  </sheets>
  <externalReferences>
    <externalReference r:id="rId7"/>
  </externalReferences>
  <definedNames>
    <definedName name="AgeGroup">'[1]Age Group'!$A$1:$B$5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30" l="1"/>
  <c r="B39" i="21"/>
  <c r="L40" i="26"/>
  <c r="M40" i="26" s="1"/>
  <c r="L10" i="26"/>
  <c r="M10" i="26" s="1"/>
  <c r="C40" i="21" l="1"/>
  <c r="B40" i="21"/>
  <c r="O29" i="30" l="1"/>
  <c r="N30" i="30"/>
  <c r="P5" i="30"/>
  <c r="G7" i="30" s="1"/>
  <c r="L36" i="30" l="1"/>
  <c r="L34" i="30"/>
  <c r="J34" i="30"/>
  <c r="M36" i="30" s="1"/>
  <c r="L32" i="30"/>
  <c r="L26" i="30"/>
  <c r="L24" i="30"/>
  <c r="J24" i="30"/>
  <c r="L22" i="30"/>
  <c r="J19" i="30"/>
  <c r="G9" i="30"/>
  <c r="E9" i="30"/>
  <c r="J30" i="30" s="1"/>
  <c r="P8" i="30"/>
  <c r="P7" i="30"/>
  <c r="G12" i="30" s="1"/>
  <c r="P6" i="30"/>
  <c r="G11" i="30" s="1"/>
  <c r="K26" i="30"/>
  <c r="G6" i="30"/>
  <c r="K24" i="30" s="1"/>
  <c r="P3" i="30"/>
  <c r="G5" i="30" s="1"/>
  <c r="G3" i="30"/>
  <c r="E3" i="30"/>
  <c r="J20" i="30" l="1"/>
  <c r="M20" i="30" s="1"/>
  <c r="G13" i="30"/>
  <c r="K36" i="30" s="1"/>
  <c r="N36" i="30" s="1"/>
  <c r="M30" i="30"/>
  <c r="M34" i="30"/>
  <c r="M32" i="30"/>
  <c r="N20" i="30"/>
  <c r="M24" i="30"/>
  <c r="N24" i="30" s="1"/>
  <c r="M22" i="30"/>
  <c r="M26" i="30"/>
  <c r="N26" i="30" s="1"/>
  <c r="K22" i="30"/>
  <c r="K34" i="30"/>
  <c r="K32" i="30"/>
  <c r="J29" i="30"/>
  <c r="N34" i="30" l="1"/>
  <c r="J33" i="30"/>
  <c r="I31" i="30" s="1"/>
  <c r="N32" i="30"/>
  <c r="J23" i="30"/>
  <c r="I22" i="30" s="1"/>
  <c r="N22" i="30"/>
  <c r="O19" i="30" s="1"/>
  <c r="J40" i="30" l="1"/>
  <c r="C12" i="6" l="1"/>
  <c r="C4" i="9"/>
  <c r="D4" i="9" s="1"/>
  <c r="F7" i="9"/>
  <c r="D7" i="9"/>
  <c r="D6" i="9"/>
  <c r="D5" i="9"/>
  <c r="F4" i="9"/>
  <c r="D12" i="6"/>
  <c r="D13" i="6"/>
  <c r="D14" i="6"/>
  <c r="D15" i="6"/>
  <c r="D2" i="6"/>
  <c r="D3" i="6"/>
  <c r="G4" i="9" l="1"/>
  <c r="C13" i="9" s="1"/>
  <c r="D13" i="9" s="1"/>
  <c r="E13" i="9" s="1"/>
  <c r="G7" i="9"/>
  <c r="C16" i="9" s="1"/>
  <c r="D16" i="9" s="1"/>
  <c r="E16" i="9" s="1"/>
  <c r="G6" i="9"/>
  <c r="C15" i="9" s="1"/>
  <c r="D15" i="9" s="1"/>
  <c r="E15" i="9" s="1"/>
  <c r="G5" i="9"/>
  <c r="C14" i="9" s="1"/>
  <c r="D14" i="9" s="1"/>
  <c r="E14" i="9" s="1"/>
  <c r="F15" i="6" l="1"/>
  <c r="F12" i="6"/>
  <c r="G12" i="6" s="1"/>
  <c r="D21" i="6" s="1"/>
  <c r="G15" i="6"/>
  <c r="D24" i="6" s="1"/>
  <c r="D4" i="6"/>
  <c r="D5" i="6"/>
  <c r="F2" i="6"/>
  <c r="G2" i="6" s="1"/>
  <c r="C21" i="6" s="1"/>
  <c r="E21" i="6" l="1"/>
  <c r="F21" i="6"/>
  <c r="G14" i="6"/>
  <c r="D23" i="6" s="1"/>
  <c r="G13" i="6"/>
  <c r="D22" i="6" s="1"/>
  <c r="G5" i="6"/>
  <c r="C24" i="6" s="1"/>
  <c r="G4" i="6"/>
  <c r="C23" i="6" s="1"/>
  <c r="G3" i="6"/>
  <c r="C22" i="6" s="1"/>
  <c r="F4" i="4"/>
  <c r="D6" i="4"/>
  <c r="F6" i="4" s="1"/>
  <c r="D5" i="4"/>
  <c r="F5" i="4" s="1"/>
  <c r="F3" i="4"/>
  <c r="E22" i="6" l="1"/>
  <c r="F22" i="6"/>
  <c r="E23" i="6"/>
  <c r="F23" i="6"/>
  <c r="E24" i="6"/>
  <c r="F24" i="6"/>
</calcChain>
</file>

<file path=xl/sharedStrings.xml><?xml version="1.0" encoding="utf-8"?>
<sst xmlns="http://schemas.openxmlformats.org/spreadsheetml/2006/main" count="322" uniqueCount="202">
  <si>
    <t>Identification</t>
  </si>
  <si>
    <t>Measurement</t>
  </si>
  <si>
    <t>Valuation</t>
  </si>
  <si>
    <t>Devices</t>
  </si>
  <si>
    <t>Unit Cost</t>
  </si>
  <si>
    <t>Shipping Cost</t>
  </si>
  <si>
    <t>Calculation</t>
  </si>
  <si>
    <t>Total cost of supplies per patient per year ($)</t>
  </si>
  <si>
    <t>Device Cost</t>
  </si>
  <si>
    <t>Inhalers</t>
  </si>
  <si>
    <t>One time payment: $225 per kit (5 sensors)</t>
  </si>
  <si>
    <t>iGlucose</t>
  </si>
  <si>
    <t>Initial cost: Device + 4m membership: $100; 
Monthly cost starting 5th month: $15;
Per pt per yr: $100 + (12-4)*$15</t>
  </si>
  <si>
    <t>BP cuffs</t>
  </si>
  <si>
    <t>One time payment: device + shipping = $82.16 + $12.20</t>
  </si>
  <si>
    <t>Weight scale</t>
  </si>
  <si>
    <t>One time payment: device + shipping = $82.16 + $19</t>
  </si>
  <si>
    <t>Shipping cost for inhalers and iGlucose was already included.</t>
  </si>
  <si>
    <t>Device</t>
  </si>
  <si>
    <t>Daily Time Spend Range
(minute)</t>
  </si>
  <si>
    <t>Average Daily Time Spend
(hour)</t>
  </si>
  <si>
    <t>RPH / Nurse pay range (per hour)</t>
  </si>
  <si>
    <t>Average RPH / Nurse pay (per hour)</t>
  </si>
  <si>
    <t>Total management team cost per patient per day</t>
  </si>
  <si>
    <t>Management Cost</t>
  </si>
  <si>
    <t>$70.70-85.43 (RPh)</t>
  </si>
  <si>
    <t>$42.08-58.60 (Nurses)</t>
  </si>
  <si>
    <t xml:space="preserve">Inhalers: 120 mins per week (5 days/week). </t>
  </si>
  <si>
    <t>All clinics operated 5 days a week from 8am to 5pm</t>
  </si>
  <si>
    <t>Management team cost 
(per pt per day)</t>
  </si>
  <si>
    <t>Total management cost per patient per week 
(5 days)</t>
  </si>
  <si>
    <t>Total Management Cost 
(per pt per year - 52 weeks)</t>
  </si>
  <si>
    <t>Total management cost per patient per week  = preperation cost + management cost per day * 5 days</t>
  </si>
  <si>
    <t>Total management cost per patient per year = preperation cost + management cost per week * 52 weeks</t>
  </si>
  <si>
    <t>Prep Time
(minute)</t>
  </si>
  <si>
    <t>Prep Time
(hour)</t>
  </si>
  <si>
    <t>Tech/support staff pay range (per hour)</t>
  </si>
  <si>
    <t>Tech/support staff pay average (per hour)</t>
  </si>
  <si>
    <t>Total preperation cost per patient</t>
  </si>
  <si>
    <t>Preperation Cost</t>
  </si>
  <si>
    <t>$22.71-28.79</t>
  </si>
  <si>
    <t>Inhalers: the training and shipping was taking care by the vendor</t>
  </si>
  <si>
    <t>iGlucose: prep time included creating a Rimidi profile and placing orders through portal</t>
  </si>
  <si>
    <t>BP cuffs and weight scale: prep time included creating a Rimidi profile, calibration, and packing the device</t>
  </si>
  <si>
    <t xml:space="preserve">Inhalers: 90 mins per week (5 days/week). </t>
  </si>
  <si>
    <t>Preperation cost per pt</t>
  </si>
  <si>
    <t>Total management cost per patient per week  = (preperation cost + management cost per day) * 5 days</t>
  </si>
  <si>
    <t>Total management cost per patient per year = (preperation cost + management cost per week) * 52 weeks</t>
  </si>
  <si>
    <t>Acute</t>
  </si>
  <si>
    <t>SNF</t>
  </si>
  <si>
    <t>ER</t>
  </si>
  <si>
    <t>Std care</t>
  </si>
  <si>
    <t xml:space="preserve">Sensor </t>
  </si>
  <si>
    <t>Type of Utilization</t>
  </si>
  <si>
    <t xml:space="preserve">calculation </t>
  </si>
  <si>
    <t>Digital device</t>
  </si>
  <si>
    <t>Cost of utilization per day</t>
  </si>
  <si>
    <t xml:space="preserve">No exacerbation </t>
  </si>
  <si>
    <t>Pulmonary-related Exacerbation</t>
  </si>
  <si>
    <t>Probability</t>
  </si>
  <si>
    <t>n/a</t>
  </si>
  <si>
    <t>Cost of utilization of exac. for each endpoint = cost of utilization in the facility per day * avg num of exac. * avg LOS of each exac.</t>
  </si>
  <si>
    <t xml:space="preserve">Std care </t>
  </si>
  <si>
    <t>Exacer</t>
  </si>
  <si>
    <t>NoExacer</t>
  </si>
  <si>
    <t>Type of utiization</t>
  </si>
  <si>
    <t>Std care (no sensor)</t>
  </si>
  <si>
    <t>Age</t>
  </si>
  <si>
    <t>Condition Count</t>
  </si>
  <si>
    <t>Male</t>
  </si>
  <si>
    <t>Race/Ethnicity</t>
  </si>
  <si>
    <t>White</t>
  </si>
  <si>
    <t>Asian</t>
  </si>
  <si>
    <t>Demo</t>
  </si>
  <si>
    <t>Acute/OBS</t>
  </si>
  <si>
    <t>Average los of utilization</t>
  </si>
  <si>
    <t>Total cost of utilization</t>
  </si>
  <si>
    <t>Gender</t>
  </si>
  <si>
    <t>Female</t>
  </si>
  <si>
    <t>Hispanic</t>
  </si>
  <si>
    <t>Unkown/Unreported</t>
  </si>
  <si>
    <t>Other</t>
  </si>
  <si>
    <t>African American</t>
  </si>
  <si>
    <t>std care</t>
  </si>
  <si>
    <t xml:space="preserve">starting sample </t>
  </si>
  <si>
    <t>pts with inactive devices</t>
  </si>
  <si>
    <t>device duration &lt; 31days</t>
  </si>
  <si>
    <t>device_type</t>
  </si>
  <si>
    <t>&lt;fctr&gt;</t>
  </si>
  <si>
    <t>variable</t>
  </si>
  <si>
    <t>n</t>
  </si>
  <si>
    <t>&lt;dbl&gt;</t>
  </si>
  <si>
    <t>mean</t>
  </si>
  <si>
    <t>sd</t>
  </si>
  <si>
    <t>glucometer</t>
  </si>
  <si>
    <t>During_Acute_Obs</t>
  </si>
  <si>
    <t>During_SKILLED NURSING</t>
  </si>
  <si>
    <t>During_ER VISIT</t>
  </si>
  <si>
    <t>Average LOS</t>
  </si>
  <si>
    <t>Averaged number</t>
  </si>
  <si>
    <t>Average num of utilization per year</t>
  </si>
  <si>
    <t>Exac_YN</t>
  </si>
  <si>
    <t>Acute/Obs</t>
  </si>
  <si>
    <t>cost</t>
  </si>
  <si>
    <t>Std care 
(n=4545)</t>
  </si>
  <si>
    <t>iGlucose 
(n=1861)</t>
  </si>
  <si>
    <t>Multinominal model (probability after adjusting for age, gender, condition count, and time duration) 
Model: exac ~ age + gender + `condition count` + time_duration_during</t>
  </si>
  <si>
    <t xml:space="preserve"> </t>
  </si>
  <si>
    <t>Cost</t>
  </si>
  <si>
    <t>No change</t>
  </si>
  <si>
    <t>Increased utilization</t>
  </si>
  <si>
    <t>Decreased utilization</t>
  </si>
  <si>
    <t>No changed - Zero</t>
  </si>
  <si>
    <t>Difference in num of utilization before and during clinic</t>
  </si>
  <si>
    <t>effectiveness (probability of no exacer)</t>
  </si>
  <si>
    <t>Last a1c</t>
  </si>
  <si>
    <t>Rph only (n=1981)</t>
  </si>
  <si>
    <t>age &lt;18 (on 2019-01-01)</t>
  </si>
  <si>
    <t>pts who were not enrolled in mmdm or clinic duration &lt;31 days</t>
  </si>
  <si>
    <t>1661 (83.8%)</t>
  </si>
  <si>
    <t>22 (1.1%)</t>
  </si>
  <si>
    <t>164 (8.3%)</t>
  </si>
  <si>
    <t>134 (6.8%)</t>
  </si>
  <si>
    <t>last a1c</t>
  </si>
  <si>
    <t>p-value</t>
  </si>
  <si>
    <t>&lt;.001</t>
  </si>
  <si>
    <t>852 (43.0%)</t>
  </si>
  <si>
    <t>1129 (57.0%)</t>
  </si>
  <si>
    <t>821 (41.4%)</t>
  </si>
  <si>
    <t>34 (1.7%)</t>
  </si>
  <si>
    <t>35 (1.8%)</t>
  </si>
  <si>
    <t>298 (15.0%)</t>
  </si>
  <si>
    <t>32 (1.6%)</t>
  </si>
  <si>
    <t>761 (38.4%)</t>
  </si>
  <si>
    <t xml:space="preserve"> Min.   :0.01104  </t>
  </si>
  <si>
    <t xml:space="preserve"> 1st Qu.:0.02962  </t>
  </si>
  <si>
    <t xml:space="preserve"> Median :0.04866  </t>
  </si>
  <si>
    <t xml:space="preserve"> Mean   :0.06332  </t>
  </si>
  <si>
    <t xml:space="preserve"> 3rd Qu.:0.07965  </t>
  </si>
  <si>
    <t xml:space="preserve"> Max.   :0.41951</t>
  </si>
  <si>
    <t xml:space="preserve"> Min.   :0.5365  </t>
  </si>
  <si>
    <t xml:space="preserve"> 1st Qu.:0.8575  </t>
  </si>
  <si>
    <t xml:space="preserve"> Median :0.9487  </t>
  </si>
  <si>
    <t xml:space="preserve"> Mean   :0.9048  </t>
  </si>
  <si>
    <t xml:space="preserve"> 3rd Qu.:0.9747  </t>
  </si>
  <si>
    <t xml:space="preserve"> Max.   :0.9945</t>
  </si>
  <si>
    <t xml:space="preserve"> Min.   :0.009168  </t>
  </si>
  <si>
    <t xml:space="preserve"> 1st Qu.:0.041178  </t>
  </si>
  <si>
    <t xml:space="preserve"> Median :0.062606  </t>
  </si>
  <si>
    <t xml:space="preserve"> Mean   :0.081777  </t>
  </si>
  <si>
    <t xml:space="preserve"> 3rd Qu.:0.102294  </t>
  </si>
  <si>
    <t xml:space="preserve"> Max.   :0.547220</t>
  </si>
  <si>
    <t xml:space="preserve">Min.   :0.05170   Min.   :0.01020   Min.   :0.7481  </t>
  </si>
  <si>
    <t xml:space="preserve"> 1st Qu.:0.07834   1st Qu.:0.02746   1st Qu.:0.8290  </t>
  </si>
  <si>
    <t xml:space="preserve"> Median :0.10142   Median :0.04147   Median :0.8473  </t>
  </si>
  <si>
    <t xml:space="preserve"> Mean   :0.10498   Mean   :0.04943   Mean   :0.8456  </t>
  </si>
  <si>
    <t xml:space="preserve"> 3rd Qu.:0.12311   3rd Qu.:0.06312   3rd Qu.:0.8650  </t>
  </si>
  <si>
    <t xml:space="preserve"> Max.   :0.23879   Max.   :0.13188   Max.   :0.8985  </t>
  </si>
  <si>
    <t>Time Duration</t>
  </si>
  <si>
    <t>Coefficients:</t>
  </si>
  <si>
    <t xml:space="preserve"> Estimate </t>
  </si>
  <si>
    <t xml:space="preserve">Pr(&gt;|z|)  </t>
  </si>
  <si>
    <t xml:space="preserve">(Intercept) </t>
  </si>
  <si>
    <t>timepoint (during clinic)</t>
  </si>
  <si>
    <t>&lt; 2e-16</t>
  </si>
  <si>
    <t>***</t>
  </si>
  <si>
    <t>group (glucometer)</t>
  </si>
  <si>
    <t>age</t>
  </si>
  <si>
    <t xml:space="preserve">gender (Male) </t>
  </si>
  <si>
    <t>`condition count`</t>
  </si>
  <si>
    <t>last.a1c</t>
  </si>
  <si>
    <t xml:space="preserve">Signif. codes:  0 '***' 0.001 '**' 0.01 '*' 0.05 '.' 0.1 ' ' 1 </t>
  </si>
  <si>
    <t>Incidence Rate Ratio: Exponentiating the coefficient</t>
  </si>
  <si>
    <t>**</t>
  </si>
  <si>
    <r>
      <rPr>
        <b/>
        <sz val="14"/>
        <color rgb="FFFF0000"/>
        <rFont val="Aptos Narrow (Body)"/>
      </rPr>
      <t>DURING CLINIC</t>
    </r>
    <r>
      <rPr>
        <sz val="14"/>
        <color theme="1"/>
        <rFont val="Aptos Narrow"/>
        <scheme val="minor"/>
      </rPr>
      <t xml:space="preserve">
Negative binomial regression model:  exac ~  group + age +  gender + `last a1c` + `condition count` + offset(ln_offset)</t>
    </r>
  </si>
  <si>
    <r>
      <rPr>
        <b/>
        <sz val="14"/>
        <color rgb="FFFF0000"/>
        <rFont val="Aptos Narrow (Body)"/>
      </rPr>
      <t>ALL SAMPLES - BEFORE vs. DURING CLINIC</t>
    </r>
    <r>
      <rPr>
        <sz val="14"/>
        <color theme="1"/>
        <rFont val="Aptos Narrow"/>
        <scheme val="minor"/>
      </rPr>
      <t xml:space="preserve">
Negative binomial regression model:  exac ~  group + age +  gender + `last a1c` + `condition count` + offset(ln_offset)</t>
    </r>
  </si>
  <si>
    <t>Standard Care
(Rph only)
(n=1981)</t>
  </si>
  <si>
    <t>Clinic started date after 2021-10-06</t>
  </si>
  <si>
    <t>Frist clinic start date</t>
  </si>
  <si>
    <t>First device start date</t>
  </si>
  <si>
    <t>756 (86.0%)</t>
  </si>
  <si>
    <t>60 (6.8%)</t>
  </si>
  <si>
    <t>13 (1.5%)</t>
  </si>
  <si>
    <t>P =0.037</t>
  </si>
  <si>
    <t>384 (43.7%)</t>
  </si>
  <si>
    <t>495 (56.3%)</t>
  </si>
  <si>
    <t>iGlucose 
(Device + Rph)
 (n=879)</t>
  </si>
  <si>
    <t>339 (38.6%)</t>
  </si>
  <si>
    <t>24 (2.7%)</t>
  </si>
  <si>
    <t>17 (1.9%)</t>
  </si>
  <si>
    <t>107 (12.2%)</t>
  </si>
  <si>
    <t>15 (1.7%)</t>
  </si>
  <si>
    <t>377 (42.9%)</t>
  </si>
  <si>
    <t>51.1% - 26.5% = 24.9%</t>
  </si>
  <si>
    <t>1.0% more like to have NO utilization</t>
  </si>
  <si>
    <r>
      <t xml:space="preserve">Adding </t>
    </r>
    <r>
      <rPr>
        <b/>
        <sz val="12"/>
        <color rgb="FFFF0000"/>
        <rFont val="Aptos Narrow (Body)"/>
      </rPr>
      <t>iGlucose</t>
    </r>
    <r>
      <rPr>
        <sz val="12"/>
        <color theme="1"/>
        <rFont val="Aptos Narrow"/>
        <scheme val="minor"/>
      </rPr>
      <t xml:space="preserve"> further reduced utilization by </t>
    </r>
    <r>
      <rPr>
        <b/>
        <sz val="12"/>
        <color rgb="FFFF0000"/>
        <rFont val="Aptos Narrow (Body)"/>
      </rPr>
      <t>24.9%</t>
    </r>
    <r>
      <rPr>
        <sz val="12"/>
        <color theme="1"/>
        <rFont val="Aptos Narrow"/>
        <scheme val="minor"/>
      </rPr>
      <t xml:space="preserve"> (IRR:0.489, p&lt;.001)</t>
    </r>
  </si>
  <si>
    <r>
      <t xml:space="preserve">Enrolling in a </t>
    </r>
    <r>
      <rPr>
        <b/>
        <sz val="12"/>
        <color rgb="FFFF0000"/>
        <rFont val="Aptos Narrow (Body)"/>
      </rPr>
      <t>pharmacist</t>
    </r>
    <r>
      <rPr>
        <sz val="12"/>
        <color theme="1"/>
        <rFont val="Aptos Narrow"/>
        <scheme val="minor"/>
      </rPr>
      <t xml:space="preserve">-run clinic significantly reduced utilization by </t>
    </r>
    <r>
      <rPr>
        <b/>
        <sz val="12"/>
        <color rgb="FFFF0000"/>
        <rFont val="Aptos Narrow"/>
        <scheme val="minor"/>
      </rPr>
      <t>26.5</t>
    </r>
    <r>
      <rPr>
        <b/>
        <sz val="12"/>
        <color rgb="FFFF0000"/>
        <rFont val="Aptos Narrow (Body)"/>
      </rPr>
      <t>%</t>
    </r>
    <r>
      <rPr>
        <sz val="12"/>
        <color theme="1"/>
        <rFont val="Aptos Narrow"/>
        <scheme val="minor"/>
      </rPr>
      <t xml:space="preserve"> (Incidence Rate Ratio (IRR): 0.735, p&lt;.01). </t>
    </r>
  </si>
  <si>
    <t>50 (5.7%)</t>
  </si>
  <si>
    <t>Device + Rph (n=879)</t>
  </si>
  <si>
    <t>2015-2023</t>
  </si>
  <si>
    <t>CGM, declining tech, areas that are difficult to receive cellular data</t>
  </si>
  <si>
    <r>
      <t>pts who were not consistently in mmdm clinic (</t>
    </r>
    <r>
      <rPr>
        <sz val="12"/>
        <color rgb="FFFF0000"/>
        <rFont val="Aptos Narrow (Body)"/>
      </rPr>
      <t>235</t>
    </r>
    <r>
      <rPr>
        <sz val="12"/>
        <color theme="1"/>
        <rFont val="Aptos Narrow"/>
        <family val="2"/>
        <scheme val="minor"/>
      </rPr>
      <t xml:space="preserve"> pts had device but NEVER enrolled in mmdm (</t>
    </r>
    <r>
      <rPr>
        <u/>
        <sz val="12"/>
        <color theme="1"/>
        <rFont val="Aptos Narrow (Body)"/>
      </rPr>
      <t>Endocrinologist can order it</t>
    </r>
    <r>
      <rPr>
        <sz val="12"/>
        <color theme="1"/>
        <rFont val="Aptos Narrow"/>
        <family val="2"/>
        <scheme val="minor"/>
      </rPr>
      <t xml:space="preserve">); </t>
    </r>
    <r>
      <rPr>
        <sz val="12"/>
        <color rgb="FFFF0000"/>
        <rFont val="Aptos Narrow (Body)"/>
      </rPr>
      <t>116</t>
    </r>
    <r>
      <rPr>
        <sz val="12"/>
        <color theme="1"/>
        <rFont val="Aptos Narrow"/>
        <family val="2"/>
        <scheme val="minor"/>
      </rPr>
      <t xml:space="preserve"> pts who were enrolled in mmdm before device start date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</si>
</sst>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&quot;$&quot;* #,##0_);_(&quot;$&quot;* \(#,##0\);_(&quot;$&quot;* &quot;-&quot;??_);_(@_)"/>
    <numFmt numFmtId="166" formatCode="0.000"/>
    <numFmt numFmtId="167" formatCode="0.0%"/>
    <numFmt numFmtId="168" formatCode="&quot;$&quot;#,##0.00"/>
    <numFmt numFmtId="169" formatCode="&quot;$&quot;#,##0.0"/>
    <numFmt numFmtId="170" formatCode="_([$$-409]* #,##0.00_);_([$$-409]* \(#,##0.00\);_([$$-409]* &quot;-&quot;???_);_(@_)"/>
    <numFmt numFmtId="171" formatCode="0.0"/>
  </numFmts>
  <fonts count="2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586E75"/>
      <name val="Monaco"/>
      <family val="3"/>
    </font>
    <font>
      <b/>
      <sz val="12"/>
      <color rgb="FF586E75"/>
      <name val="Lucida Sans"/>
      <family val="2"/>
    </font>
    <font>
      <sz val="11"/>
      <color rgb="FF586E75"/>
      <name val="Lucida Sans"/>
      <family val="2"/>
    </font>
    <font>
      <sz val="12"/>
      <color rgb="FF586E75"/>
      <name val="Lucida Sans"/>
      <family val="2"/>
    </font>
    <font>
      <sz val="12"/>
      <name val="Aptos Narrow"/>
      <family val="2"/>
      <scheme val="minor"/>
    </font>
    <font>
      <sz val="12"/>
      <color rgb="FFFF0000"/>
      <name val="Aptos Narrow (Body)"/>
    </font>
    <font>
      <sz val="14"/>
      <color theme="1"/>
      <name val="Aptos Narrow"/>
      <scheme val="minor"/>
    </font>
    <font>
      <sz val="11"/>
      <color rgb="FF586E75"/>
      <name val="Monaco"/>
      <family val="3"/>
    </font>
    <font>
      <sz val="16"/>
      <color theme="1"/>
      <name val="Aptos Narrow"/>
      <family val="2"/>
      <scheme val="minor"/>
    </font>
    <font>
      <b/>
      <sz val="14"/>
      <color rgb="FFFF0000"/>
      <name val="Aptos Narrow (Body)"/>
    </font>
    <font>
      <b/>
      <sz val="12"/>
      <color rgb="FFFF0000"/>
      <name val="Aptos Narrow (Body)"/>
    </font>
    <font>
      <b/>
      <sz val="12"/>
      <color rgb="FFFF0000"/>
      <name val="Aptos Narrow"/>
      <scheme val="minor"/>
    </font>
    <font>
      <u/>
      <sz val="12"/>
      <color theme="1"/>
      <name val="Aptos Narrow (Bod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181">
    <xf numFmtId="0" fontId="0" fillId="0" borderId="0" xfId="0"/>
    <xf numFmtId="0" fontId="4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quotePrefix="1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4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vertical="center" wrapText="1"/>
    </xf>
    <xf numFmtId="0" fontId="11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/>
    <xf numFmtId="164" fontId="0" fillId="2" borderId="0" xfId="0" applyNumberFormat="1" applyFill="1"/>
    <xf numFmtId="44" fontId="0" fillId="4" borderId="0" xfId="0" applyNumberFormat="1" applyFill="1"/>
    <xf numFmtId="0" fontId="10" fillId="6" borderId="0" xfId="0" applyFont="1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0" borderId="0" xfId="0" applyAlignment="1">
      <alignment vertical="center"/>
    </xf>
    <xf numFmtId="167" fontId="0" fillId="0" borderId="0" xfId="0" applyNumberFormat="1"/>
    <xf numFmtId="9" fontId="4" fillId="0" borderId="0" xfId="2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4" fontId="2" fillId="0" borderId="1" xfId="0" applyNumberFormat="1" applyFont="1" applyBorder="1" applyAlignment="1">
      <alignment horizontal="center" vertical="center"/>
    </xf>
    <xf numFmtId="0" fontId="0" fillId="4" borderId="0" xfId="0" applyFill="1"/>
    <xf numFmtId="16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167" fontId="0" fillId="0" borderId="0" xfId="2" applyNumberFormat="1" applyFont="1" applyFill="1"/>
    <xf numFmtId="44" fontId="0" fillId="0" borderId="0" xfId="0" applyNumberFormat="1"/>
    <xf numFmtId="44" fontId="2" fillId="0" borderId="1" xfId="0" applyNumberFormat="1" applyFont="1" applyBorder="1" applyAlignment="1">
      <alignment vertical="center"/>
    </xf>
    <xf numFmtId="168" fontId="0" fillId="5" borderId="0" xfId="0" applyNumberFormat="1" applyFill="1"/>
    <xf numFmtId="0" fontId="10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vertical="center"/>
    </xf>
    <xf numFmtId="44" fontId="10" fillId="0" borderId="0" xfId="0" applyNumberFormat="1" applyFont="1" applyAlignment="1">
      <alignment wrapText="1"/>
    </xf>
    <xf numFmtId="167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/>
    </xf>
    <xf numFmtId="168" fontId="0" fillId="0" borderId="0" xfId="0" applyNumberFormat="1"/>
    <xf numFmtId="0" fontId="1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170" fontId="0" fillId="6" borderId="0" xfId="0" applyNumberFormat="1" applyFill="1"/>
    <xf numFmtId="2" fontId="0" fillId="0" borderId="0" xfId="0" applyNumberFormat="1"/>
    <xf numFmtId="0" fontId="2" fillId="0" borderId="1" xfId="0" applyFont="1" applyBorder="1" applyAlignment="1">
      <alignment vertical="center"/>
    </xf>
    <xf numFmtId="169" fontId="1" fillId="0" borderId="0" xfId="2" applyNumberFormat="1" applyFont="1" applyFill="1"/>
    <xf numFmtId="166" fontId="1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/>
    <xf numFmtId="168" fontId="1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167" fontId="13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4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44" fontId="12" fillId="0" borderId="1" xfId="0" applyNumberFormat="1" applyFont="1" applyBorder="1" applyAlignment="1">
      <alignment vertical="center"/>
    </xf>
    <xf numFmtId="167" fontId="12" fillId="0" borderId="1" xfId="0" applyNumberFormat="1" applyFont="1" applyBorder="1" applyAlignment="1">
      <alignment vertical="center" wrapText="1"/>
    </xf>
    <xf numFmtId="167" fontId="12" fillId="0" borderId="1" xfId="2" applyNumberFormat="1" applyFont="1" applyFill="1" applyBorder="1" applyAlignment="1">
      <alignment vertical="center" wrapText="1"/>
    </xf>
    <xf numFmtId="0" fontId="12" fillId="0" borderId="0" xfId="0" applyFont="1"/>
    <xf numFmtId="0" fontId="2" fillId="0" borderId="1" xfId="2" applyNumberFormat="1" applyFont="1" applyBorder="1" applyAlignment="1">
      <alignment horizontal="center" vertical="center"/>
    </xf>
    <xf numFmtId="0" fontId="2" fillId="0" borderId="8" xfId="2" applyNumberFormat="1" applyFont="1" applyBorder="1" applyAlignment="1">
      <alignment horizontal="center" vertical="center" wrapText="1"/>
    </xf>
    <xf numFmtId="0" fontId="2" fillId="0" borderId="13" xfId="2" applyNumberFormat="1" applyFont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165" fontId="12" fillId="0" borderId="3" xfId="1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/>
    </xf>
    <xf numFmtId="44" fontId="12" fillId="0" borderId="14" xfId="0" applyNumberFormat="1" applyFont="1" applyBorder="1" applyAlignment="1">
      <alignment horizontal="center"/>
    </xf>
    <xf numFmtId="165" fontId="12" fillId="0" borderId="1" xfId="1" applyNumberFormat="1" applyFont="1" applyBorder="1" applyAlignment="1">
      <alignment horizontal="center" vertical="center"/>
    </xf>
    <xf numFmtId="166" fontId="12" fillId="0" borderId="14" xfId="0" applyNumberFormat="1" applyFont="1" applyBorder="1" applyAlignment="1">
      <alignment horizontal="center"/>
    </xf>
    <xf numFmtId="0" fontId="12" fillId="0" borderId="3" xfId="2" applyNumberFormat="1" applyFont="1" applyBorder="1" applyAlignment="1">
      <alignment vertical="center"/>
    </xf>
    <xf numFmtId="0" fontId="12" fillId="0" borderId="12" xfId="0" applyFont="1" applyBorder="1" applyAlignment="1">
      <alignment horizontal="center"/>
    </xf>
    <xf numFmtId="44" fontId="12" fillId="0" borderId="1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2" borderId="0" xfId="0" applyFont="1" applyFill="1"/>
    <xf numFmtId="0" fontId="0" fillId="0" borderId="0" xfId="2" applyNumberFormat="1" applyFont="1" applyAlignment="1">
      <alignment horizontal="left"/>
    </xf>
    <xf numFmtId="0" fontId="12" fillId="0" borderId="2" xfId="2" applyNumberFormat="1" applyFont="1" applyBorder="1" applyAlignment="1">
      <alignment horizontal="center" vertical="center" wrapText="1"/>
    </xf>
    <xf numFmtId="0" fontId="12" fillId="0" borderId="4" xfId="2" applyNumberFormat="1" applyFont="1" applyBorder="1" applyAlignment="1">
      <alignment horizontal="center" vertical="center" wrapText="1"/>
    </xf>
    <xf numFmtId="0" fontId="12" fillId="0" borderId="3" xfId="2" applyNumberFormat="1" applyFont="1" applyBorder="1" applyAlignment="1">
      <alignment horizontal="center" vertical="center" wrapText="1"/>
    </xf>
    <xf numFmtId="0" fontId="12" fillId="0" borderId="2" xfId="2" applyNumberFormat="1" applyFont="1" applyBorder="1" applyAlignment="1">
      <alignment horizontal="center" vertical="center"/>
    </xf>
    <xf numFmtId="0" fontId="12" fillId="0" borderId="4" xfId="2" applyNumberFormat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11" fontId="14" fillId="0" borderId="0" xfId="0" applyNumberFormat="1" applyFont="1"/>
    <xf numFmtId="0" fontId="13" fillId="0" borderId="0" xfId="0" applyFont="1" applyAlignment="1">
      <alignment horizontal="left"/>
    </xf>
    <xf numFmtId="168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vertical="center"/>
    </xf>
    <xf numFmtId="166" fontId="12" fillId="0" borderId="9" xfId="0" applyNumberFormat="1" applyFont="1" applyBorder="1" applyAlignment="1">
      <alignment horizontal="center"/>
    </xf>
    <xf numFmtId="167" fontId="10" fillId="0" borderId="0" xfId="0" applyNumberFormat="1" applyFont="1" applyAlignment="1">
      <alignment wrapText="1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7" fontId="12" fillId="0" borderId="2" xfId="2" applyNumberFormat="1" applyFont="1" applyFill="1" applyBorder="1" applyAlignment="1">
      <alignment horizontal="center" vertical="center" wrapText="1"/>
    </xf>
    <xf numFmtId="167" fontId="12" fillId="0" borderId="4" xfId="2" applyNumberFormat="1" applyFont="1" applyFill="1" applyBorder="1" applyAlignment="1">
      <alignment horizontal="center" vertical="center" wrapText="1"/>
    </xf>
    <xf numFmtId="167" fontId="12" fillId="0" borderId="3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44" fontId="2" fillId="0" borderId="16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 wrapText="1"/>
    </xf>
    <xf numFmtId="167" fontId="12" fillId="0" borderId="3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8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Fill="1"/>
    <xf numFmtId="0" fontId="20" fillId="0" borderId="0" xfId="0" applyFont="1" applyAlignment="1">
      <alignment horizontal="left" wrapText="1"/>
    </xf>
    <xf numFmtId="0" fontId="21" fillId="0" borderId="0" xfId="0" applyFont="1"/>
    <xf numFmtId="0" fontId="7" fillId="0" borderId="0" xfId="0" applyFont="1"/>
    <xf numFmtId="11" fontId="14" fillId="2" borderId="0" xfId="0" applyNumberFormat="1" applyFont="1" applyFill="1"/>
    <xf numFmtId="0" fontId="2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13" fillId="2" borderId="0" xfId="0" applyFont="1" applyFill="1"/>
    <xf numFmtId="167" fontId="13" fillId="0" borderId="0" xfId="2" applyNumberFormat="1" applyFont="1"/>
    <xf numFmtId="14" fontId="0" fillId="0" borderId="0" xfId="0" applyNumberFormat="1"/>
    <xf numFmtId="0" fontId="12" fillId="0" borderId="0" xfId="0" applyFont="1" applyAlignment="1"/>
    <xf numFmtId="0" fontId="0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52C3C1E2-E0EB-D84D-BFD9-2F9E8F2A1DA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293998</xdr:colOff>
      <xdr:row>14</xdr:row>
      <xdr:rowOff>91440</xdr:rowOff>
    </xdr:from>
    <xdr:to>
      <xdr:col>7</xdr:col>
      <xdr:colOff>365759</xdr:colOff>
      <xdr:row>40</xdr:row>
      <xdr:rowOff>437338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71AEC-DEDA-23B8-4AF0-CDA5F54CD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78" y="3271520"/>
          <a:ext cx="7488561" cy="5629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1009011</xdr:colOff>
      <xdr:row>23</xdr:row>
      <xdr:rowOff>57786</xdr:rowOff>
    </xdr:from>
    <xdr:to>
      <xdr:col>7</xdr:col>
      <xdr:colOff>585469</xdr:colOff>
      <xdr:row>32</xdr:row>
      <xdr:rowOff>91374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C8ACBB-C04B-ADCF-E7FB-A90CE4289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1" y="5422266"/>
          <a:ext cx="3355978" cy="1862388"/>
        </a:xfrm>
        <a:prstGeom prst="rect">
          <a:avLst/>
        </a:prstGeom>
      </xdr:spPr>
    </xdr:pic>
    <xdr:clientData/>
  </xdr:twoCellAnchor>
  <xdr:twoCellAnchor editAs="oneCell">
    <xdr:from>
      <xdr:col>0</xdr:col>
      <xdr:colOff>658813</xdr:colOff>
      <xdr:row>44</xdr:row>
      <xdr:rowOff>152205</xdr:rowOff>
    </xdr:from>
    <xdr:to>
      <xdr:col>4</xdr:col>
      <xdr:colOff>603885</xdr:colOff>
      <xdr:row>51</xdr:row>
      <xdr:rowOff>20638</xdr:rowOff>
    </xdr:to>
    <xdr:pic>
      <xdr:nvPicPr>
        <xdr:cNvPr id="3" name="Picture 4" descr="A diagram of a medical procedure&#10;&#10;Description automatically generated">
          <a:extLst>
            <a:ext uri="{FF2B5EF4-FFF2-40B4-BE49-F238E27FC236}">
              <a16:creationId xmlns:a16="http://schemas.microsoft.com/office/drawing/2014/main" id="{16FF3444-D2CA-5621-91E5-90E4FD441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813" y="10137580"/>
          <a:ext cx="6646862" cy="131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31</xdr:row>
      <xdr:rowOff>192667</xdr:rowOff>
    </xdr:from>
    <xdr:ext cx="5511989" cy="3544882"/>
    <xdr:pic>
      <xdr:nvPicPr>
        <xdr:cNvPr id="4" name="Picture 3">
          <a:extLst>
            <a:ext uri="{FF2B5EF4-FFF2-40B4-BE49-F238E27FC236}">
              <a16:creationId xmlns:a16="http://schemas.microsoft.com/office/drawing/2014/main" id="{A411B3F8-CDCA-2D4E-8D6C-09EF93085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6822067"/>
          <a:ext cx="5511989" cy="3544882"/>
        </a:xfrm>
        <a:prstGeom prst="rect">
          <a:avLst/>
        </a:prstGeom>
      </xdr:spPr>
    </xdr:pic>
    <xdr:clientData/>
  </xdr:oneCellAnchor>
  <xdr:twoCellAnchor>
    <xdr:from>
      <xdr:col>2</xdr:col>
      <xdr:colOff>457200</xdr:colOff>
      <xdr:row>37</xdr:row>
      <xdr:rowOff>25400</xdr:rowOff>
    </xdr:from>
    <xdr:to>
      <xdr:col>3</xdr:col>
      <xdr:colOff>723900</xdr:colOff>
      <xdr:row>49</xdr:row>
      <xdr:rowOff>177800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DD3E334-44BD-C60B-37BB-E89F9F6DA09F}"/>
            </a:ext>
          </a:extLst>
        </xdr:cNvPr>
        <xdr:cNvSpPr/>
      </xdr:nvSpPr>
      <xdr:spPr>
        <a:xfrm>
          <a:off x="4406900" y="7874000"/>
          <a:ext cx="1663700" cy="2743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457200</xdr:colOff>
      <xdr:row>2</xdr:row>
      <xdr:rowOff>34208</xdr:rowOff>
    </xdr:from>
    <xdr:to>
      <xdr:col>4</xdr:col>
      <xdr:colOff>482600</xdr:colOff>
      <xdr:row>19</xdr:row>
      <xdr:rowOff>166332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7AFCAC4-73AC-0D36-78F4-69F017AD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40608"/>
          <a:ext cx="6197600" cy="38331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esternu-my.sharepoint.com/Users/ester_chung/Documents/Western%20U%20-%20lecture%20materials/2024/AE_Pharmacy%20research/9.%20RPM%20project/DOHC_propeller%20data%20de-identified%20(04.14.2024).xlsx" TargetMode="External"/><Relationship Id="rId1" Type="http://schemas.openxmlformats.org/officeDocument/2006/relationships/externalLinkPath" Target="https://westernu-my.sharepoint.com/Users/ester_chung/Documents/Western%20U%20-%20lecture%20materials/2024/AE_Pharmacy%20research/9.%20RPM%20project/DOHC_propeller%20data%20de-identified%20(04.14.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Copy"/>
      <sheetName val="Sheet8"/>
      <sheetName val="Age Group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1698-6B36-9241-A592-626532243018}">
  <dimension ref="A1:I7"/>
  <sheetViews>
    <sheetView topLeftCell="B1" zoomScale="162" workbookViewId="0">
      <selection activeCell="F4" sqref="F4"/>
    </sheetView>
  </sheetViews>
  <sheetFormatPr baseColWidth="10" defaultColWidth="11" defaultRowHeight="16"/>
  <cols>
    <col min="1" max="1" width="9" bestFit="1" customWidth="1"/>
    <col min="2" max="2" width="12.6640625" bestFit="1" customWidth="1"/>
    <col min="3" max="3" width="15.33203125" customWidth="1"/>
    <col min="4" max="4" width="13.5" customWidth="1"/>
    <col min="5" max="5" width="47" customWidth="1"/>
    <col min="6" max="6" width="23.33203125" customWidth="1"/>
    <col min="7" max="7" width="11.5" bestFit="1" customWidth="1"/>
    <col min="8" max="8" width="14.5" customWidth="1"/>
  </cols>
  <sheetData>
    <row r="1" spans="1:9" ht="17" customHeight="1">
      <c r="B1" s="4" t="s">
        <v>0</v>
      </c>
      <c r="C1" s="122" t="s">
        <v>1</v>
      </c>
      <c r="D1" s="123"/>
      <c r="E1" s="123"/>
      <c r="F1" s="5" t="s">
        <v>2</v>
      </c>
      <c r="H1" s="19"/>
      <c r="I1" s="19"/>
    </row>
    <row r="2" spans="1:9" ht="43" customHeight="1">
      <c r="A2" s="4"/>
      <c r="B2" s="4" t="s">
        <v>3</v>
      </c>
      <c r="C2" s="4" t="s">
        <v>4</v>
      </c>
      <c r="D2" s="4" t="s">
        <v>5</v>
      </c>
      <c r="E2" s="5" t="s">
        <v>6</v>
      </c>
      <c r="F2" s="14" t="s">
        <v>7</v>
      </c>
      <c r="H2" s="19"/>
      <c r="I2" s="19"/>
    </row>
    <row r="3" spans="1:9" ht="17">
      <c r="A3" s="121" t="s">
        <v>8</v>
      </c>
      <c r="B3" s="3" t="s">
        <v>9</v>
      </c>
      <c r="C3" s="2">
        <v>225</v>
      </c>
      <c r="D3" s="2">
        <v>0</v>
      </c>
      <c r="E3" s="7" t="s">
        <v>10</v>
      </c>
      <c r="F3" s="2">
        <f>C3</f>
        <v>225</v>
      </c>
      <c r="G3" s="18"/>
      <c r="H3" s="17"/>
      <c r="I3" s="18"/>
    </row>
    <row r="4" spans="1:9" ht="51">
      <c r="A4" s="121"/>
      <c r="B4" s="3" t="s">
        <v>11</v>
      </c>
      <c r="C4" s="2">
        <v>100</v>
      </c>
      <c r="D4" s="2">
        <v>0</v>
      </c>
      <c r="E4" s="8" t="s">
        <v>12</v>
      </c>
      <c r="F4" s="2">
        <f>C4+(12-4)*15</f>
        <v>220</v>
      </c>
    </row>
    <row r="5" spans="1:9" ht="33" customHeight="1">
      <c r="A5" s="121"/>
      <c r="B5" s="3" t="s">
        <v>13</v>
      </c>
      <c r="C5" s="2">
        <v>82.16</v>
      </c>
      <c r="D5" s="2">
        <f>3+9.2</f>
        <v>12.2</v>
      </c>
      <c r="E5" s="7" t="s">
        <v>14</v>
      </c>
      <c r="F5" s="6">
        <f>C5+D5</f>
        <v>94.36</v>
      </c>
    </row>
    <row r="6" spans="1:9" ht="17">
      <c r="A6" s="121"/>
      <c r="B6" s="3" t="s">
        <v>15</v>
      </c>
      <c r="C6" s="2">
        <v>82.16</v>
      </c>
      <c r="D6" s="2">
        <f>3+16</f>
        <v>19</v>
      </c>
      <c r="E6" s="7" t="s">
        <v>16</v>
      </c>
      <c r="F6" s="6">
        <f>C6+D6</f>
        <v>101.16</v>
      </c>
    </row>
    <row r="7" spans="1:9">
      <c r="A7" t="s">
        <v>17</v>
      </c>
    </row>
  </sheetData>
  <mergeCells count="2">
    <mergeCell ref="A3:A6"/>
    <mergeCell ref="C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F38E-E960-0941-BA12-EBFEB273A870}">
  <dimension ref="A1:G26"/>
  <sheetViews>
    <sheetView topLeftCell="A2" zoomScale="116" workbookViewId="0">
      <selection activeCell="F22" sqref="F22"/>
    </sheetView>
  </sheetViews>
  <sheetFormatPr baseColWidth="10" defaultColWidth="11" defaultRowHeight="16"/>
  <cols>
    <col min="1" max="1" width="11.6640625" bestFit="1" customWidth="1"/>
    <col min="2" max="3" width="14.6640625" customWidth="1"/>
    <col min="4" max="4" width="19" customWidth="1"/>
    <col min="5" max="5" width="20.83203125" bestFit="1" customWidth="1"/>
    <col min="6" max="6" width="25.33203125" customWidth="1"/>
    <col min="7" max="7" width="16" bestFit="1" customWidth="1"/>
    <col min="8" max="8" width="16.6640625" customWidth="1"/>
    <col min="9" max="9" width="18.83203125" customWidth="1"/>
    <col min="10" max="10" width="47" customWidth="1"/>
    <col min="11" max="11" width="23.33203125" customWidth="1"/>
  </cols>
  <sheetData>
    <row r="1" spans="1:7" ht="51">
      <c r="A1" s="4"/>
      <c r="B1" s="4" t="s">
        <v>18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</row>
    <row r="2" spans="1:7" ht="17">
      <c r="A2" s="121" t="s">
        <v>39</v>
      </c>
      <c r="B2" s="3" t="s">
        <v>9</v>
      </c>
      <c r="C2" s="10">
        <v>0</v>
      </c>
      <c r="D2" s="9">
        <f>C2/60</f>
        <v>0</v>
      </c>
      <c r="E2" s="124" t="s">
        <v>40</v>
      </c>
      <c r="F2" s="124">
        <f>(22.71+28.79)/2</f>
        <v>25.75</v>
      </c>
      <c r="G2" s="2">
        <f>D2*F2</f>
        <v>0</v>
      </c>
    </row>
    <row r="3" spans="1:7" ht="17">
      <c r="A3" s="121"/>
      <c r="B3" s="3" t="s">
        <v>11</v>
      </c>
      <c r="C3" s="10">
        <v>5</v>
      </c>
      <c r="D3" s="9">
        <f>C3/60</f>
        <v>8.3333333333333329E-2</v>
      </c>
      <c r="E3" s="125"/>
      <c r="F3" s="125"/>
      <c r="G3" s="2">
        <f>D3*F2</f>
        <v>2.145833333333333</v>
      </c>
    </row>
    <row r="4" spans="1:7" ht="17">
      <c r="A4" s="121"/>
      <c r="B4" s="3" t="s">
        <v>13</v>
      </c>
      <c r="C4" s="10">
        <v>15</v>
      </c>
      <c r="D4" s="9">
        <f t="shared" ref="D4:D5" si="0">C4/60</f>
        <v>0.25</v>
      </c>
      <c r="E4" s="125"/>
      <c r="F4" s="125"/>
      <c r="G4" s="2">
        <f>D4*F2</f>
        <v>6.4375</v>
      </c>
    </row>
    <row r="5" spans="1:7" ht="17">
      <c r="A5" s="121"/>
      <c r="B5" s="3" t="s">
        <v>15</v>
      </c>
      <c r="C5" s="10">
        <v>45</v>
      </c>
      <c r="D5" s="9">
        <f t="shared" si="0"/>
        <v>0.75</v>
      </c>
      <c r="E5" s="126"/>
      <c r="F5" s="126"/>
      <c r="G5" s="2">
        <f>D5*F2</f>
        <v>19.3125</v>
      </c>
    </row>
    <row r="6" spans="1:7">
      <c r="A6" t="s">
        <v>41</v>
      </c>
    </row>
    <row r="7" spans="1:7">
      <c r="A7" t="s">
        <v>42</v>
      </c>
    </row>
    <row r="8" spans="1:7">
      <c r="A8" t="s">
        <v>43</v>
      </c>
    </row>
    <row r="11" spans="1:7" ht="68">
      <c r="A11" s="4"/>
      <c r="B11" s="4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5" t="s">
        <v>23</v>
      </c>
    </row>
    <row r="12" spans="1:7" ht="17">
      <c r="A12" s="121" t="s">
        <v>24</v>
      </c>
      <c r="B12" s="3" t="s">
        <v>9</v>
      </c>
      <c r="C12" s="10">
        <f>90/5</f>
        <v>18</v>
      </c>
      <c r="D12" s="9">
        <f>C12/60</f>
        <v>0.3</v>
      </c>
      <c r="E12" s="124" t="s">
        <v>25</v>
      </c>
      <c r="F12" s="124">
        <f>(70.7+85.43)/2</f>
        <v>78.064999999999998</v>
      </c>
      <c r="G12" s="13">
        <f>D12*F12</f>
        <v>23.419499999999999</v>
      </c>
    </row>
    <row r="13" spans="1:7" ht="17">
      <c r="A13" s="121"/>
      <c r="B13" s="3" t="s">
        <v>11</v>
      </c>
      <c r="C13" s="10">
        <v>90</v>
      </c>
      <c r="D13" s="9">
        <f t="shared" ref="D13:D15" si="1">C13/60</f>
        <v>1.5</v>
      </c>
      <c r="E13" s="125"/>
      <c r="F13" s="125"/>
      <c r="G13" s="13">
        <f>D13*F12</f>
        <v>117.0975</v>
      </c>
    </row>
    <row r="14" spans="1:7" ht="17">
      <c r="A14" s="121"/>
      <c r="B14" s="3" t="s">
        <v>13</v>
      </c>
      <c r="C14" s="10">
        <v>20</v>
      </c>
      <c r="D14" s="9">
        <f t="shared" si="1"/>
        <v>0.33333333333333331</v>
      </c>
      <c r="E14" s="126"/>
      <c r="F14" s="126"/>
      <c r="G14" s="13">
        <f>D14*F12</f>
        <v>26.021666666666665</v>
      </c>
    </row>
    <row r="15" spans="1:7" ht="24" customHeight="1">
      <c r="A15" s="121"/>
      <c r="B15" s="3" t="s">
        <v>15</v>
      </c>
      <c r="C15" s="10">
        <v>45</v>
      </c>
      <c r="D15" s="9">
        <f t="shared" si="1"/>
        <v>0.75</v>
      </c>
      <c r="E15" s="12" t="s">
        <v>26</v>
      </c>
      <c r="F15" s="11">
        <f>(42.08+58.6)/2</f>
        <v>50.34</v>
      </c>
      <c r="G15" s="13">
        <f>D15*F15</f>
        <v>37.755000000000003</v>
      </c>
    </row>
    <row r="16" spans="1:7">
      <c r="A16" t="s">
        <v>44</v>
      </c>
    </row>
    <row r="17" spans="1:6">
      <c r="A17" t="s">
        <v>28</v>
      </c>
    </row>
    <row r="20" spans="1:6" ht="68">
      <c r="A20" s="4"/>
      <c r="B20" s="4" t="s">
        <v>18</v>
      </c>
      <c r="C20" s="5" t="s">
        <v>45</v>
      </c>
      <c r="D20" s="5" t="s">
        <v>29</v>
      </c>
      <c r="E20" s="5" t="s">
        <v>30</v>
      </c>
      <c r="F20" s="14" t="s">
        <v>31</v>
      </c>
    </row>
    <row r="21" spans="1:6" ht="17">
      <c r="A21" s="121" t="s">
        <v>24</v>
      </c>
      <c r="B21" s="3" t="s">
        <v>9</v>
      </c>
      <c r="C21" s="2">
        <f>G2</f>
        <v>0</v>
      </c>
      <c r="D21" s="13">
        <f>G12</f>
        <v>23.419499999999999</v>
      </c>
      <c r="E21" s="13">
        <f>(C21+D21)*5</f>
        <v>117.0975</v>
      </c>
      <c r="F21" s="13">
        <f>(C21+E21)*52</f>
        <v>6089.07</v>
      </c>
    </row>
    <row r="22" spans="1:6" ht="17">
      <c r="A22" s="121"/>
      <c r="B22" s="3" t="s">
        <v>11</v>
      </c>
      <c r="C22" s="2">
        <f>G3</f>
        <v>2.145833333333333</v>
      </c>
      <c r="D22" s="13">
        <f>G13</f>
        <v>117.0975</v>
      </c>
      <c r="E22" s="13">
        <f>(C22+D22)*5</f>
        <v>596.21666666666658</v>
      </c>
      <c r="F22" s="13">
        <f>(C22+E22)*52</f>
        <v>31114.85</v>
      </c>
    </row>
    <row r="23" spans="1:6" ht="17">
      <c r="A23" s="121"/>
      <c r="B23" s="3" t="s">
        <v>13</v>
      </c>
      <c r="C23" s="2">
        <f>G4</f>
        <v>6.4375</v>
      </c>
      <c r="D23" s="13">
        <f>G14</f>
        <v>26.021666666666665</v>
      </c>
      <c r="E23" s="13">
        <f>(C23+D23)*5</f>
        <v>162.29583333333329</v>
      </c>
      <c r="F23" s="13">
        <f>(C23+E23)*52</f>
        <v>8774.1333333333314</v>
      </c>
    </row>
    <row r="24" spans="1:6" ht="23" customHeight="1">
      <c r="A24" s="121"/>
      <c r="B24" s="3" t="s">
        <v>15</v>
      </c>
      <c r="C24" s="2">
        <f>G5</f>
        <v>19.3125</v>
      </c>
      <c r="D24" s="13">
        <f>G15</f>
        <v>37.755000000000003</v>
      </c>
      <c r="E24" s="13">
        <f>(C24+D24)*5</f>
        <v>285.33750000000003</v>
      </c>
      <c r="F24" s="13">
        <f>(C24+E24)*52</f>
        <v>15841.800000000001</v>
      </c>
    </row>
    <row r="25" spans="1:6">
      <c r="A25" t="s">
        <v>46</v>
      </c>
    </row>
    <row r="26" spans="1:6">
      <c r="A26" t="s">
        <v>47</v>
      </c>
    </row>
  </sheetData>
  <mergeCells count="7">
    <mergeCell ref="A21:A24"/>
    <mergeCell ref="F2:F5"/>
    <mergeCell ref="A12:A15"/>
    <mergeCell ref="E12:E14"/>
    <mergeCell ref="F12:F14"/>
    <mergeCell ref="A2:A5"/>
    <mergeCell ref="E2:E5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A650-54E1-4743-8D5B-6D7E379F3E1E}">
  <dimension ref="A3:G18"/>
  <sheetViews>
    <sheetView zoomScale="136" workbookViewId="0">
      <selection activeCell="E14" sqref="E14"/>
    </sheetView>
  </sheetViews>
  <sheetFormatPr baseColWidth="10" defaultColWidth="11" defaultRowHeight="16"/>
  <cols>
    <col min="1" max="1" width="11.6640625" bestFit="1" customWidth="1"/>
    <col min="2" max="3" width="14.6640625" customWidth="1"/>
    <col min="4" max="4" width="19" customWidth="1"/>
    <col min="5" max="5" width="20.83203125" bestFit="1" customWidth="1"/>
    <col min="6" max="6" width="25.33203125" customWidth="1"/>
    <col min="7" max="7" width="16" bestFit="1" customWidth="1"/>
    <col min="8" max="8" width="16.6640625" customWidth="1"/>
    <col min="9" max="9" width="18.83203125" customWidth="1"/>
    <col min="10" max="10" width="47" customWidth="1"/>
    <col min="11" max="11" width="23.33203125" customWidth="1"/>
  </cols>
  <sheetData>
    <row r="3" spans="1:7" ht="68">
      <c r="A3" s="4"/>
      <c r="B3" s="4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</row>
    <row r="4" spans="1:7" ht="17">
      <c r="A4" s="121" t="s">
        <v>24</v>
      </c>
      <c r="B4" s="3" t="s">
        <v>9</v>
      </c>
      <c r="C4" s="10">
        <f>120/5</f>
        <v>24</v>
      </c>
      <c r="D4" s="9">
        <f>C4/60</f>
        <v>0.4</v>
      </c>
      <c r="E4" s="124" t="s">
        <v>25</v>
      </c>
      <c r="F4" s="124">
        <f>(70.7+85.43)/2</f>
        <v>78.064999999999998</v>
      </c>
      <c r="G4" s="13">
        <f>D4*F4</f>
        <v>31.225999999999999</v>
      </c>
    </row>
    <row r="5" spans="1:7" ht="17">
      <c r="A5" s="121"/>
      <c r="B5" s="3" t="s">
        <v>11</v>
      </c>
      <c r="C5" s="10">
        <v>180</v>
      </c>
      <c r="D5" s="9">
        <f t="shared" ref="D5:D7" si="0">C5/60</f>
        <v>3</v>
      </c>
      <c r="E5" s="125"/>
      <c r="F5" s="125"/>
      <c r="G5" s="13">
        <f>D5*F4</f>
        <v>234.19499999999999</v>
      </c>
    </row>
    <row r="6" spans="1:7" ht="17">
      <c r="A6" s="121"/>
      <c r="B6" s="3" t="s">
        <v>13</v>
      </c>
      <c r="C6" s="10">
        <v>40</v>
      </c>
      <c r="D6" s="9">
        <f t="shared" si="0"/>
        <v>0.66666666666666663</v>
      </c>
      <c r="E6" s="126"/>
      <c r="F6" s="126"/>
      <c r="G6" s="13">
        <f>D6*F4</f>
        <v>52.043333333333329</v>
      </c>
    </row>
    <row r="7" spans="1:7" ht="24" customHeight="1">
      <c r="A7" s="121"/>
      <c r="B7" s="3" t="s">
        <v>15</v>
      </c>
      <c r="C7" s="10">
        <v>90</v>
      </c>
      <c r="D7" s="9">
        <f t="shared" si="0"/>
        <v>1.5</v>
      </c>
      <c r="E7" s="12" t="s">
        <v>26</v>
      </c>
      <c r="F7" s="11">
        <f>(42.08+58.6)/2</f>
        <v>50.34</v>
      </c>
      <c r="G7" s="13">
        <f>D7*F7</f>
        <v>75.510000000000005</v>
      </c>
    </row>
    <row r="8" spans="1:7">
      <c r="A8" t="s">
        <v>27</v>
      </c>
    </row>
    <row r="9" spans="1:7">
      <c r="A9" t="s">
        <v>28</v>
      </c>
    </row>
    <row r="12" spans="1:7" ht="68">
      <c r="A12" s="4"/>
      <c r="B12" s="4" t="s">
        <v>18</v>
      </c>
      <c r="C12" s="5" t="s">
        <v>29</v>
      </c>
      <c r="D12" s="5" t="s">
        <v>30</v>
      </c>
      <c r="E12" s="14" t="s">
        <v>31</v>
      </c>
    </row>
    <row r="13" spans="1:7" ht="17">
      <c r="A13" s="127" t="s">
        <v>24</v>
      </c>
      <c r="B13" s="3" t="s">
        <v>9</v>
      </c>
      <c r="C13" s="13">
        <f>G4</f>
        <v>31.225999999999999</v>
      </c>
      <c r="D13" s="13">
        <f>C13*5</f>
        <v>156.13</v>
      </c>
      <c r="E13" s="13">
        <f>D13*52</f>
        <v>8118.76</v>
      </c>
    </row>
    <row r="14" spans="1:7" ht="17">
      <c r="A14" s="128"/>
      <c r="B14" s="3" t="s">
        <v>11</v>
      </c>
      <c r="C14" s="13">
        <f>G5</f>
        <v>234.19499999999999</v>
      </c>
      <c r="D14" s="13">
        <f t="shared" ref="D14:D15" si="1">C14*5</f>
        <v>1170.9749999999999</v>
      </c>
      <c r="E14" s="13">
        <f t="shared" ref="E14:E16" si="2">D14*52</f>
        <v>60890.7</v>
      </c>
    </row>
    <row r="15" spans="1:7" ht="17">
      <c r="A15" s="128"/>
      <c r="B15" s="3" t="s">
        <v>13</v>
      </c>
      <c r="C15" s="13">
        <f>G6</f>
        <v>52.043333333333329</v>
      </c>
      <c r="D15" s="13">
        <f t="shared" si="1"/>
        <v>260.21666666666664</v>
      </c>
      <c r="E15" s="13">
        <f t="shared" si="2"/>
        <v>13531.266666666665</v>
      </c>
    </row>
    <row r="16" spans="1:7" ht="23" customHeight="1">
      <c r="A16" s="129"/>
      <c r="B16" s="3" t="s">
        <v>15</v>
      </c>
      <c r="C16" s="13">
        <f>G7</f>
        <v>75.510000000000005</v>
      </c>
      <c r="D16" s="13">
        <f>C16*5</f>
        <v>377.55</v>
      </c>
      <c r="E16" s="13">
        <f t="shared" si="2"/>
        <v>19632.600000000002</v>
      </c>
    </row>
    <row r="17" spans="1:1">
      <c r="A17" t="s">
        <v>32</v>
      </c>
    </row>
    <row r="18" spans="1:1">
      <c r="A18" t="s">
        <v>33</v>
      </c>
    </row>
  </sheetData>
  <mergeCells count="4">
    <mergeCell ref="A13:A16"/>
    <mergeCell ref="A4:A7"/>
    <mergeCell ref="E4:E6"/>
    <mergeCell ref="F4:F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92B2-68F5-E24E-BBF2-44812AC2C2F8}">
  <dimension ref="B1:AC109"/>
  <sheetViews>
    <sheetView zoomScale="75" zoomScaleNormal="100" workbookViewId="0">
      <selection activeCell="I36" sqref="I36"/>
    </sheetView>
  </sheetViews>
  <sheetFormatPr baseColWidth="10" defaultColWidth="11" defaultRowHeight="16"/>
  <cols>
    <col min="2" max="2" width="12.33203125" bestFit="1" customWidth="1"/>
    <col min="3" max="3" width="11.1640625" bestFit="1" customWidth="1"/>
    <col min="4" max="4" width="19.5" bestFit="1" customWidth="1"/>
    <col min="5" max="5" width="12" customWidth="1"/>
    <col min="6" max="6" width="25.5" customWidth="1"/>
    <col min="7" max="7" width="16.83203125" customWidth="1"/>
    <col min="8" max="8" width="15.33203125" customWidth="1"/>
    <col min="9" max="9" width="19.33203125" customWidth="1"/>
    <col min="10" max="10" width="17.5" customWidth="1"/>
    <col min="11" max="11" width="14" style="15" customWidth="1"/>
    <col min="12" max="12" width="12.83203125" style="16" customWidth="1"/>
    <col min="13" max="13" width="17" style="16" customWidth="1"/>
    <col min="14" max="14" width="18.33203125" style="16" customWidth="1"/>
    <col min="15" max="18" width="15.33203125" style="15" customWidth="1"/>
    <col min="19" max="20" width="15.33203125" customWidth="1"/>
    <col min="21" max="21" width="19.1640625" customWidth="1"/>
    <col min="22" max="22" width="29.6640625" customWidth="1"/>
  </cols>
  <sheetData>
    <row r="1" spans="2:25">
      <c r="K1"/>
      <c r="L1" s="34"/>
      <c r="O1" s="16"/>
      <c r="S1" s="32"/>
      <c r="U1" t="s">
        <v>99</v>
      </c>
    </row>
    <row r="2" spans="2:25" ht="34">
      <c r="B2" s="45"/>
      <c r="C2" s="46"/>
      <c r="D2" s="47"/>
      <c r="E2" s="22" t="s">
        <v>59</v>
      </c>
      <c r="F2" s="35"/>
      <c r="G2" s="38" t="s">
        <v>108</v>
      </c>
      <c r="H2" s="66"/>
      <c r="I2" s="31"/>
      <c r="J2" s="83"/>
      <c r="K2" s="84" t="s">
        <v>52</v>
      </c>
      <c r="L2" s="85" t="s">
        <v>53</v>
      </c>
      <c r="M2" s="86" t="s">
        <v>56</v>
      </c>
      <c r="N2" s="87" t="s">
        <v>100</v>
      </c>
      <c r="O2" s="88" t="s">
        <v>75</v>
      </c>
      <c r="P2" s="89" t="s">
        <v>76</v>
      </c>
      <c r="Q2" s="139" t="s">
        <v>54</v>
      </c>
      <c r="R2" s="139"/>
      <c r="U2" s="100" t="s">
        <v>87</v>
      </c>
      <c r="V2" s="100" t="s">
        <v>89</v>
      </c>
      <c r="W2" s="100" t="s">
        <v>90</v>
      </c>
      <c r="X2" s="100" t="s">
        <v>92</v>
      </c>
      <c r="Y2" s="100" t="s">
        <v>93</v>
      </c>
    </row>
    <row r="3" spans="2:25" ht="17">
      <c r="B3" s="144" t="s">
        <v>55</v>
      </c>
      <c r="C3" s="145" t="s">
        <v>57</v>
      </c>
      <c r="D3" s="135"/>
      <c r="E3" s="75">
        <f>1-E5</f>
        <v>0.92800000000000005</v>
      </c>
      <c r="F3" s="76"/>
      <c r="G3" s="77">
        <f>'Device Cost'!F4+'Management Cost_Digital Device'!F22</f>
        <v>31334.85</v>
      </c>
      <c r="H3" s="78"/>
      <c r="I3" s="31"/>
      <c r="J3" s="83"/>
      <c r="K3" s="105" t="s">
        <v>11</v>
      </c>
      <c r="L3" s="90" t="s">
        <v>74</v>
      </c>
      <c r="M3" s="91">
        <v>5000</v>
      </c>
      <c r="N3" s="92">
        <v>1.546</v>
      </c>
      <c r="O3" s="93">
        <v>2.8</v>
      </c>
      <c r="P3" s="94">
        <f>N3*O3*M3</f>
        <v>21644</v>
      </c>
      <c r="Q3" s="146" t="s">
        <v>61</v>
      </c>
      <c r="R3" s="147"/>
      <c r="U3" s="101" t="s">
        <v>88</v>
      </c>
      <c r="V3" s="101" t="s">
        <v>88</v>
      </c>
      <c r="W3" s="101" t="s">
        <v>91</v>
      </c>
      <c r="X3" s="101" t="s">
        <v>91</v>
      </c>
      <c r="Y3" s="101" t="s">
        <v>91</v>
      </c>
    </row>
    <row r="4" spans="2:25" ht="17">
      <c r="B4" s="144"/>
      <c r="C4" s="136"/>
      <c r="D4" s="137"/>
      <c r="E4" s="138"/>
      <c r="F4" s="38" t="s">
        <v>65</v>
      </c>
      <c r="G4" s="42"/>
      <c r="H4" s="42" t="s">
        <v>59</v>
      </c>
      <c r="I4" s="31"/>
      <c r="J4" s="83"/>
      <c r="K4" s="106"/>
      <c r="L4" s="90" t="s">
        <v>49</v>
      </c>
      <c r="M4" s="95">
        <v>1000</v>
      </c>
      <c r="N4" s="92">
        <v>0</v>
      </c>
      <c r="O4" s="93">
        <v>0</v>
      </c>
      <c r="P4" s="94">
        <v>0</v>
      </c>
      <c r="Q4" s="148"/>
      <c r="R4" s="149"/>
      <c r="U4" s="102" t="s">
        <v>94</v>
      </c>
      <c r="V4" s="102" t="s">
        <v>95</v>
      </c>
      <c r="W4" s="102">
        <v>6</v>
      </c>
      <c r="X4" s="102">
        <v>1.546</v>
      </c>
      <c r="Y4" s="102">
        <v>1.0900000000000001</v>
      </c>
    </row>
    <row r="5" spans="2:25" ht="17">
      <c r="B5" s="144"/>
      <c r="C5" s="152" t="s">
        <v>58</v>
      </c>
      <c r="D5" s="153"/>
      <c r="E5" s="158">
        <v>7.1999999999999995E-2</v>
      </c>
      <c r="F5" s="79" t="s">
        <v>74</v>
      </c>
      <c r="G5" s="80">
        <f>G3+P3</f>
        <v>52978.85</v>
      </c>
      <c r="H5" s="81">
        <v>9.5000000000000001E-2</v>
      </c>
      <c r="I5" s="31"/>
      <c r="J5" s="83"/>
      <c r="K5" s="107"/>
      <c r="L5" s="90" t="s">
        <v>50</v>
      </c>
      <c r="M5" s="95">
        <v>1800</v>
      </c>
      <c r="N5" s="96">
        <v>1.1160000000000001</v>
      </c>
      <c r="O5" s="90" t="s">
        <v>60</v>
      </c>
      <c r="P5" s="94">
        <f>M5*N5</f>
        <v>2008.8000000000002</v>
      </c>
      <c r="Q5" s="148"/>
      <c r="R5" s="149"/>
      <c r="S5" s="23"/>
      <c r="U5" s="102" t="s">
        <v>94</v>
      </c>
      <c r="V5" s="102" t="s">
        <v>97</v>
      </c>
      <c r="W5" s="102">
        <v>59</v>
      </c>
      <c r="X5" s="102">
        <v>1.1160000000000001</v>
      </c>
      <c r="Y5" s="102">
        <v>1.1200000000000001</v>
      </c>
    </row>
    <row r="6" spans="2:25" ht="17">
      <c r="B6" s="144"/>
      <c r="C6" s="154"/>
      <c r="D6" s="155"/>
      <c r="E6" s="159"/>
      <c r="F6" s="79" t="s">
        <v>49</v>
      </c>
      <c r="G6" s="80">
        <f>G3+P4</f>
        <v>31334.85</v>
      </c>
      <c r="H6" s="81">
        <v>0</v>
      </c>
      <c r="I6" s="31"/>
      <c r="J6" s="83"/>
      <c r="K6" s="108" t="s">
        <v>51</v>
      </c>
      <c r="L6" s="90" t="s">
        <v>74</v>
      </c>
      <c r="M6" s="95">
        <v>5000</v>
      </c>
      <c r="N6" s="92">
        <v>2.5019999999999998</v>
      </c>
      <c r="O6" s="93">
        <v>3.4550000000000001</v>
      </c>
      <c r="P6" s="94">
        <f>N6*O6*M6</f>
        <v>43222.049999999996</v>
      </c>
      <c r="Q6" s="148"/>
      <c r="R6" s="149"/>
      <c r="U6" s="102" t="s">
        <v>83</v>
      </c>
      <c r="V6" s="102" t="s">
        <v>95</v>
      </c>
      <c r="W6" s="102">
        <v>22</v>
      </c>
      <c r="X6" s="102">
        <v>2.5019999999999998</v>
      </c>
      <c r="Y6" s="102">
        <v>2.3090000000000002</v>
      </c>
    </row>
    <row r="7" spans="2:25" ht="17">
      <c r="B7" s="144"/>
      <c r="C7" s="156"/>
      <c r="D7" s="157"/>
      <c r="E7" s="160"/>
      <c r="F7" s="79" t="s">
        <v>50</v>
      </c>
      <c r="G7" s="80">
        <f>G3+P5</f>
        <v>33343.65</v>
      </c>
      <c r="H7" s="81">
        <v>0.90500000000000003</v>
      </c>
      <c r="J7" s="83"/>
      <c r="K7" s="109"/>
      <c r="L7" s="90" t="s">
        <v>49</v>
      </c>
      <c r="M7" s="95">
        <v>1000</v>
      </c>
      <c r="N7" s="92">
        <v>1.8680000000000001</v>
      </c>
      <c r="O7" s="93">
        <v>16.375</v>
      </c>
      <c r="P7" s="94">
        <f>N7*O7*M7</f>
        <v>30588.500000000004</v>
      </c>
      <c r="Q7" s="148"/>
      <c r="R7" s="149"/>
      <c r="U7" s="102" t="s">
        <v>83</v>
      </c>
      <c r="V7" s="102" t="s">
        <v>96</v>
      </c>
      <c r="W7" s="102">
        <v>8</v>
      </c>
      <c r="X7" s="102">
        <v>1.8680000000000001</v>
      </c>
      <c r="Y7" s="102">
        <v>1.254</v>
      </c>
    </row>
    <row r="8" spans="2:25" ht="17">
      <c r="B8" s="161"/>
      <c r="C8" s="162"/>
      <c r="D8" s="163"/>
      <c r="E8" s="22" t="s">
        <v>59</v>
      </c>
      <c r="F8" s="35"/>
      <c r="G8" s="38" t="s">
        <v>108</v>
      </c>
      <c r="H8" s="63"/>
      <c r="J8" s="83"/>
      <c r="K8" s="97"/>
      <c r="L8" s="90" t="s">
        <v>50</v>
      </c>
      <c r="M8" s="95">
        <v>1800</v>
      </c>
      <c r="N8" s="118">
        <v>2.7240000000000002</v>
      </c>
      <c r="O8" s="98" t="s">
        <v>60</v>
      </c>
      <c r="P8" s="99">
        <f>M8*N8</f>
        <v>4903.2000000000007</v>
      </c>
      <c r="Q8" s="150"/>
      <c r="R8" s="151"/>
      <c r="U8" s="102" t="s">
        <v>83</v>
      </c>
      <c r="V8" s="102" t="s">
        <v>97</v>
      </c>
      <c r="W8" s="102">
        <v>148</v>
      </c>
      <c r="X8" s="102">
        <v>2.7240000000000002</v>
      </c>
      <c r="Y8" s="102">
        <v>3.0590000000000002</v>
      </c>
    </row>
    <row r="9" spans="2:25">
      <c r="B9" s="132" t="s">
        <v>62</v>
      </c>
      <c r="C9" s="135" t="s">
        <v>57</v>
      </c>
      <c r="D9" s="135"/>
      <c r="E9" s="75">
        <f>1-E11</f>
        <v>0.91800000000000004</v>
      </c>
      <c r="F9" s="76"/>
      <c r="G9" s="77">
        <f>'Management Cost_Standard Care'!E14</f>
        <v>60890.7</v>
      </c>
      <c r="H9" s="78"/>
      <c r="U9" s="102"/>
      <c r="V9" s="102"/>
      <c r="W9" s="102"/>
      <c r="X9" s="102"/>
      <c r="Y9" s="102"/>
    </row>
    <row r="10" spans="2:25" ht="17">
      <c r="B10" s="133"/>
      <c r="C10" s="136"/>
      <c r="D10" s="137"/>
      <c r="E10" s="138"/>
      <c r="F10" s="38" t="s">
        <v>65</v>
      </c>
      <c r="G10" s="42"/>
      <c r="H10" s="42" t="s">
        <v>59</v>
      </c>
      <c r="U10" s="102"/>
      <c r="V10" s="102"/>
      <c r="W10" s="102"/>
      <c r="X10" s="102"/>
      <c r="Y10" s="102"/>
    </row>
    <row r="11" spans="2:25" ht="17">
      <c r="B11" s="133"/>
      <c r="C11" s="139" t="s">
        <v>58</v>
      </c>
      <c r="D11" s="139"/>
      <c r="E11" s="140">
        <v>8.2000000000000003E-2</v>
      </c>
      <c r="F11" s="79" t="s">
        <v>74</v>
      </c>
      <c r="G11" s="80">
        <f>G9+P6</f>
        <v>104112.75</v>
      </c>
      <c r="H11" s="82">
        <v>0.105</v>
      </c>
      <c r="U11" s="102"/>
      <c r="V11" s="102"/>
      <c r="W11" s="102"/>
      <c r="X11" s="102"/>
      <c r="Y11" s="102"/>
    </row>
    <row r="12" spans="2:25" ht="17">
      <c r="B12" s="133"/>
      <c r="C12" s="139"/>
      <c r="D12" s="139"/>
      <c r="E12" s="141"/>
      <c r="F12" s="79" t="s">
        <v>49</v>
      </c>
      <c r="G12" s="80">
        <f>G9+P7</f>
        <v>91479.2</v>
      </c>
      <c r="H12" s="82">
        <v>4.9000000000000002E-2</v>
      </c>
      <c r="U12" s="102"/>
      <c r="V12" s="102"/>
      <c r="W12" s="102"/>
      <c r="X12" s="102"/>
      <c r="Y12" s="102"/>
    </row>
    <row r="13" spans="2:25" ht="17">
      <c r="B13" s="134"/>
      <c r="C13" s="139"/>
      <c r="D13" s="139"/>
      <c r="E13" s="142"/>
      <c r="F13" s="79" t="s">
        <v>50</v>
      </c>
      <c r="G13" s="80">
        <f>G9+P8</f>
        <v>65793.899999999994</v>
      </c>
      <c r="H13" s="82">
        <v>0.84599999999999997</v>
      </c>
      <c r="U13" s="23" t="s">
        <v>98</v>
      </c>
      <c r="V13" s="23"/>
      <c r="W13" s="23"/>
      <c r="X13" s="23"/>
      <c r="Y13" s="23"/>
    </row>
    <row r="14" spans="2:25">
      <c r="B14" s="30"/>
      <c r="C14" s="49"/>
      <c r="D14" s="50"/>
      <c r="E14" s="18"/>
      <c r="I14" s="31"/>
      <c r="U14" s="100" t="s">
        <v>87</v>
      </c>
      <c r="V14" s="100" t="s">
        <v>89</v>
      </c>
      <c r="W14" s="100" t="s">
        <v>90</v>
      </c>
      <c r="X14" s="100" t="s">
        <v>92</v>
      </c>
      <c r="Y14" s="100" t="s">
        <v>93</v>
      </c>
    </row>
    <row r="15" spans="2:25">
      <c r="B15" s="30"/>
      <c r="C15" s="49"/>
      <c r="D15" s="51"/>
      <c r="F15" s="18"/>
      <c r="H15" s="31"/>
      <c r="I15" s="31"/>
      <c r="K15"/>
      <c r="U15" s="102" t="s">
        <v>88</v>
      </c>
      <c r="V15" s="102" t="s">
        <v>88</v>
      </c>
      <c r="W15" s="102" t="s">
        <v>91</v>
      </c>
      <c r="X15" s="102" t="s">
        <v>91</v>
      </c>
      <c r="Y15" s="102" t="s">
        <v>91</v>
      </c>
    </row>
    <row r="16" spans="2:25">
      <c r="B16" s="30"/>
      <c r="C16" s="49"/>
      <c r="D16" s="33"/>
      <c r="K16"/>
      <c r="U16" s="102" t="s">
        <v>94</v>
      </c>
      <c r="V16" s="102" t="s">
        <v>95</v>
      </c>
      <c r="W16" s="102">
        <v>5</v>
      </c>
      <c r="X16" s="102">
        <v>2.8</v>
      </c>
      <c r="Y16" s="102">
        <v>1.9239999999999999</v>
      </c>
    </row>
    <row r="17" spans="2:29">
      <c r="B17" s="30"/>
      <c r="C17" s="49"/>
      <c r="D17" s="52"/>
      <c r="K17" s="16"/>
      <c r="U17" s="102" t="s">
        <v>83</v>
      </c>
      <c r="V17" s="102" t="s">
        <v>95</v>
      </c>
      <c r="W17" s="102">
        <v>22</v>
      </c>
      <c r="X17" s="102">
        <v>3.4550000000000001</v>
      </c>
      <c r="Y17" s="102">
        <v>3.3479999999999999</v>
      </c>
    </row>
    <row r="18" spans="2:29">
      <c r="B18" s="30"/>
      <c r="C18" s="49"/>
      <c r="D18" s="50"/>
      <c r="J18" s="27" t="s">
        <v>64</v>
      </c>
      <c r="K18"/>
      <c r="L18"/>
      <c r="N18"/>
      <c r="U18" s="102" t="s">
        <v>83</v>
      </c>
      <c r="V18" s="102" t="s">
        <v>96</v>
      </c>
      <c r="W18" s="102">
        <v>8</v>
      </c>
      <c r="X18" s="102">
        <v>16.375</v>
      </c>
      <c r="Y18" s="102">
        <v>15.445</v>
      </c>
    </row>
    <row r="19" spans="2:29">
      <c r="B19" s="30"/>
      <c r="C19" s="49"/>
      <c r="D19" s="51"/>
      <c r="J19" s="43">
        <f>G3</f>
        <v>31334.85</v>
      </c>
      <c r="K19" s="56"/>
      <c r="L19"/>
      <c r="O19" s="56">
        <f>SUM(N20:N26)</f>
        <v>31613.788368000001</v>
      </c>
      <c r="P19"/>
      <c r="Q19"/>
      <c r="R19"/>
      <c r="U19" s="102"/>
      <c r="V19" s="102"/>
      <c r="W19" s="102"/>
      <c r="X19" s="102"/>
      <c r="Y19" s="102"/>
    </row>
    <row r="20" spans="2:29">
      <c r="B20" s="30"/>
      <c r="C20" s="49"/>
      <c r="D20" s="53"/>
      <c r="J20" s="31">
        <f>E3</f>
        <v>0.92800000000000005</v>
      </c>
      <c r="K20"/>
      <c r="L20" s="31"/>
      <c r="M20" s="114">
        <f>J20</f>
        <v>0.92800000000000005</v>
      </c>
      <c r="N20" s="113">
        <f>J20*J19</f>
        <v>29078.7408</v>
      </c>
      <c r="O20"/>
      <c r="P20"/>
      <c r="Q20"/>
      <c r="R20"/>
      <c r="U20" s="102"/>
      <c r="V20" s="102"/>
      <c r="W20" s="102"/>
      <c r="X20" s="102"/>
      <c r="Y20" s="102"/>
    </row>
    <row r="21" spans="2:29">
      <c r="B21" s="30"/>
      <c r="C21" s="49"/>
      <c r="D21" s="50"/>
      <c r="E21" s="116"/>
      <c r="F21" s="111"/>
      <c r="I21" s="44" t="s">
        <v>11</v>
      </c>
      <c r="K21" s="24" t="s">
        <v>48</v>
      </c>
      <c r="L21" s="31"/>
      <c r="O21"/>
      <c r="P21"/>
      <c r="Q21"/>
      <c r="R21"/>
      <c r="U21" s="102"/>
      <c r="V21" s="102"/>
      <c r="W21" s="102"/>
      <c r="X21" s="102"/>
      <c r="Y21" s="102"/>
    </row>
    <row r="22" spans="2:29">
      <c r="B22" s="30"/>
      <c r="C22" s="49"/>
      <c r="D22" s="51"/>
      <c r="I22" s="48">
        <f>J19*J20+J23*J24</f>
        <v>31613.788367999998</v>
      </c>
      <c r="J22" s="27" t="s">
        <v>63</v>
      </c>
      <c r="K22" s="25">
        <f>G5</f>
        <v>52978.85</v>
      </c>
      <c r="L22" s="31">
        <f>H5</f>
        <v>9.5000000000000001E-2</v>
      </c>
      <c r="M22" s="115">
        <f>L22*J24</f>
        <v>6.8399999999999997E-3</v>
      </c>
      <c r="N22" s="18">
        <f>M22*K22</f>
        <v>362.37533399999995</v>
      </c>
      <c r="O22"/>
      <c r="P22"/>
      <c r="Q22"/>
      <c r="R22"/>
      <c r="U22" s="102"/>
      <c r="V22" s="102"/>
      <c r="W22" s="102"/>
      <c r="X22" s="102"/>
      <c r="Y22" s="102"/>
    </row>
    <row r="23" spans="2:29">
      <c r="B23" s="30"/>
      <c r="C23" s="49"/>
      <c r="D23" s="70"/>
      <c r="J23" s="61">
        <f>K22*L22+K24*L24+K26*L26</f>
        <v>35208.993999999999</v>
      </c>
      <c r="K23" s="36" t="s">
        <v>49</v>
      </c>
      <c r="L23" s="31"/>
      <c r="M23" s="115"/>
      <c r="N23" s="18"/>
      <c r="O23"/>
      <c r="P23"/>
      <c r="Q23"/>
      <c r="R23"/>
      <c r="U23" s="102"/>
      <c r="V23" s="102"/>
      <c r="W23" s="102"/>
      <c r="X23" s="102"/>
      <c r="Y23" s="102"/>
    </row>
    <row r="24" spans="2:29">
      <c r="B24" s="30"/>
      <c r="C24" s="49"/>
      <c r="D24" s="119"/>
      <c r="J24" s="31">
        <f>E5</f>
        <v>7.1999999999999995E-2</v>
      </c>
      <c r="K24" s="26">
        <f>G6</f>
        <v>31334.85</v>
      </c>
      <c r="L24" s="31">
        <f>H6</f>
        <v>0</v>
      </c>
      <c r="M24" s="115">
        <f>L24*J24</f>
        <v>0</v>
      </c>
      <c r="N24" s="18">
        <f>M24*K24</f>
        <v>0</v>
      </c>
      <c r="O24"/>
      <c r="P24"/>
      <c r="Q24"/>
      <c r="R24"/>
    </row>
    <row r="25" spans="2:29">
      <c r="B25" s="54"/>
      <c r="C25" s="49"/>
      <c r="D25" s="33"/>
      <c r="K25" s="28" t="s">
        <v>50</v>
      </c>
      <c r="L25" s="31"/>
      <c r="M25" s="115"/>
      <c r="N25" s="18"/>
      <c r="O25"/>
      <c r="P25"/>
      <c r="Q25"/>
      <c r="R25"/>
    </row>
    <row r="26" spans="2:29">
      <c r="B26" s="30"/>
      <c r="C26" s="49"/>
      <c r="D26" s="50"/>
      <c r="E26" s="18"/>
      <c r="J26" s="39"/>
      <c r="K26" s="29">
        <f>G7</f>
        <v>33343.65</v>
      </c>
      <c r="L26" s="31">
        <f>H7</f>
        <v>0.90500000000000003</v>
      </c>
      <c r="M26" s="115">
        <f>L26*J24</f>
        <v>6.5159999999999996E-2</v>
      </c>
      <c r="N26" s="18">
        <f>M26*K26</f>
        <v>2172.6722340000001</v>
      </c>
      <c r="O26"/>
      <c r="P26"/>
      <c r="Q26"/>
      <c r="R26"/>
    </row>
    <row r="27" spans="2:29">
      <c r="B27" s="30"/>
      <c r="C27" s="49"/>
      <c r="D27" s="51"/>
      <c r="E27" s="18"/>
      <c r="K27"/>
      <c r="L27"/>
      <c r="N27" s="18"/>
      <c r="P27"/>
      <c r="Q27"/>
      <c r="R27"/>
    </row>
    <row r="28" spans="2:29">
      <c r="B28" s="30"/>
      <c r="C28" s="55"/>
      <c r="D28" s="33"/>
      <c r="E28" s="41"/>
      <c r="J28" s="27" t="s">
        <v>64</v>
      </c>
      <c r="K28"/>
      <c r="L28"/>
      <c r="N28" s="18"/>
      <c r="P28"/>
      <c r="Q28"/>
      <c r="R28"/>
    </row>
    <row r="29" spans="2:29">
      <c r="B29" s="30"/>
      <c r="C29" s="30"/>
      <c r="D29" s="52"/>
      <c r="J29" s="43">
        <f>G9</f>
        <v>60890.7</v>
      </c>
      <c r="K29" s="56"/>
      <c r="L29"/>
      <c r="N29" s="18"/>
      <c r="O29" s="120">
        <f>SUM(N30:N36)</f>
        <v>61725.891233899994</v>
      </c>
      <c r="P29"/>
      <c r="Q29"/>
      <c r="R29"/>
    </row>
    <row r="30" spans="2:29">
      <c r="B30" s="30"/>
      <c r="C30" s="30"/>
      <c r="D30" s="50"/>
      <c r="E30" s="30"/>
      <c r="I30" s="44" t="s">
        <v>66</v>
      </c>
      <c r="J30" s="31">
        <f>E9</f>
        <v>0.91800000000000004</v>
      </c>
      <c r="K30"/>
      <c r="L30" s="31"/>
      <c r="M30" s="114">
        <f>J30</f>
        <v>0.91800000000000004</v>
      </c>
      <c r="N30" s="18">
        <f>J29*J30</f>
        <v>55897.662599999996</v>
      </c>
      <c r="P30"/>
      <c r="Q30"/>
      <c r="R30"/>
    </row>
    <row r="31" spans="2:29" ht="16" customHeight="1">
      <c r="B31" s="30"/>
      <c r="C31" s="30"/>
      <c r="D31" s="51"/>
      <c r="E31" s="30"/>
      <c r="I31" s="48">
        <f>J30*J29+J33*J34</f>
        <v>61725.891233899994</v>
      </c>
      <c r="K31" s="24" t="s">
        <v>48</v>
      </c>
      <c r="L31" s="31"/>
      <c r="N31" s="18"/>
      <c r="P31"/>
      <c r="Q31"/>
      <c r="R31"/>
      <c r="U31" s="143" t="s">
        <v>106</v>
      </c>
      <c r="V31" s="143"/>
      <c r="W31" s="143"/>
      <c r="X31" s="143"/>
      <c r="Y31" s="143"/>
      <c r="Z31" s="143"/>
      <c r="AA31" s="143"/>
      <c r="AB31" s="143"/>
      <c r="AC31" s="143"/>
    </row>
    <row r="32" spans="2:29" ht="16" customHeight="1">
      <c r="B32" s="30"/>
      <c r="C32" s="30"/>
      <c r="D32" s="53"/>
      <c r="E32" s="30"/>
      <c r="J32" s="27" t="s">
        <v>63</v>
      </c>
      <c r="K32" s="25">
        <f>G11</f>
        <v>104112.75</v>
      </c>
      <c r="L32" s="31">
        <f>H11</f>
        <v>0.105</v>
      </c>
      <c r="M32" s="115">
        <f>L32*J34</f>
        <v>8.6099999999999996E-3</v>
      </c>
      <c r="N32" s="18">
        <f>M32*K32</f>
        <v>896.41077749999999</v>
      </c>
      <c r="P32"/>
      <c r="Q32"/>
      <c r="R32"/>
      <c r="U32" s="143"/>
      <c r="V32" s="143"/>
      <c r="W32" s="143"/>
      <c r="X32" s="143"/>
      <c r="Y32" s="143"/>
      <c r="Z32" s="143"/>
      <c r="AA32" s="143"/>
      <c r="AB32" s="143"/>
      <c r="AC32" s="143"/>
    </row>
    <row r="33" spans="2:29">
      <c r="B33" s="30"/>
      <c r="C33" s="30"/>
      <c r="D33" s="50"/>
      <c r="E33" s="117"/>
      <c r="J33" s="61">
        <f>K32*L32+K34*L34+K36*L36</f>
        <v>71075.95895</v>
      </c>
      <c r="K33" s="36" t="s">
        <v>49</v>
      </c>
      <c r="L33" s="31"/>
      <c r="M33" s="115"/>
      <c r="N33" s="18"/>
      <c r="P33"/>
      <c r="Q33"/>
      <c r="R33"/>
      <c r="U33" s="130" t="s">
        <v>105</v>
      </c>
      <c r="V33" t="s">
        <v>101</v>
      </c>
      <c r="X33" t="s">
        <v>102</v>
      </c>
    </row>
    <row r="34" spans="2:29">
      <c r="B34" s="30"/>
      <c r="C34" s="30"/>
      <c r="D34" s="51"/>
      <c r="E34" s="30"/>
      <c r="J34" s="31">
        <f>E11</f>
        <v>8.2000000000000003E-2</v>
      </c>
      <c r="K34" s="26">
        <f>G12</f>
        <v>91479.2</v>
      </c>
      <c r="L34" s="31">
        <f>H12</f>
        <v>4.9000000000000002E-2</v>
      </c>
      <c r="M34" s="115">
        <f>L34*J34</f>
        <v>4.0180000000000007E-3</v>
      </c>
      <c r="N34" s="18">
        <f t="shared" ref="N34:N36" si="0">M34*K34</f>
        <v>367.56342560000007</v>
      </c>
      <c r="P34"/>
      <c r="Q34"/>
      <c r="R34"/>
      <c r="U34" s="131"/>
      <c r="V34" s="70" t="s">
        <v>134</v>
      </c>
      <c r="X34" s="70" t="s">
        <v>140</v>
      </c>
    </row>
    <row r="35" spans="2:29">
      <c r="B35" s="30"/>
      <c r="C35" s="30"/>
      <c r="D35" s="51"/>
      <c r="I35" s="40"/>
      <c r="K35" s="28" t="s">
        <v>50</v>
      </c>
      <c r="L35" s="31"/>
      <c r="M35" s="115"/>
      <c r="N35" s="18"/>
      <c r="P35"/>
      <c r="Q35"/>
      <c r="R35"/>
      <c r="U35" s="131"/>
      <c r="V35" s="70" t="s">
        <v>135</v>
      </c>
      <c r="X35" s="70" t="s">
        <v>141</v>
      </c>
    </row>
    <row r="36" spans="2:29">
      <c r="J36" s="39"/>
      <c r="K36" s="29">
        <f>G13</f>
        <v>65793.899999999994</v>
      </c>
      <c r="L36" s="31">
        <f>H13</f>
        <v>0.84599999999999997</v>
      </c>
      <c r="M36" s="115">
        <f>L36*J34</f>
        <v>6.9372000000000003E-2</v>
      </c>
      <c r="N36" s="18">
        <f t="shared" si="0"/>
        <v>4564.2544307999997</v>
      </c>
      <c r="P36"/>
      <c r="Q36"/>
      <c r="R36"/>
      <c r="U36" s="131"/>
      <c r="V36" s="70" t="s">
        <v>136</v>
      </c>
      <c r="X36" s="70" t="s">
        <v>142</v>
      </c>
    </row>
    <row r="37" spans="2:29">
      <c r="J37" s="37"/>
      <c r="K37" s="41"/>
      <c r="L37" s="31"/>
      <c r="N37"/>
      <c r="P37"/>
      <c r="Q37"/>
      <c r="R37"/>
      <c r="U37" s="131"/>
      <c r="V37" s="103" t="s">
        <v>137</v>
      </c>
      <c r="W37" s="24"/>
      <c r="X37" s="103" t="s">
        <v>143</v>
      </c>
      <c r="Y37" s="24"/>
      <c r="Z37" s="169"/>
      <c r="AA37" s="169"/>
      <c r="AB37" s="169"/>
      <c r="AC37" s="169"/>
    </row>
    <row r="38" spans="2:29">
      <c r="F38" s="57"/>
      <c r="G38" s="64"/>
      <c r="H38" s="1"/>
      <c r="J38" s="15"/>
      <c r="K38" s="16"/>
      <c r="P38"/>
      <c r="Q38"/>
      <c r="R38"/>
      <c r="U38" s="131"/>
      <c r="V38" s="70" t="s">
        <v>138</v>
      </c>
      <c r="X38" s="70" t="s">
        <v>144</v>
      </c>
    </row>
    <row r="39" spans="2:29">
      <c r="F39" s="57"/>
      <c r="G39" s="65"/>
      <c r="H39" s="1"/>
      <c r="J39" s="15"/>
      <c r="K39" s="16"/>
      <c r="P39"/>
      <c r="Q39"/>
      <c r="R39"/>
      <c r="U39" s="131"/>
      <c r="V39" s="70" t="s">
        <v>139</v>
      </c>
      <c r="X39" s="70" t="s">
        <v>145</v>
      </c>
    </row>
    <row r="40" spans="2:29">
      <c r="G40" s="56"/>
      <c r="H40" s="1"/>
      <c r="I40" s="57" t="s">
        <v>103</v>
      </c>
      <c r="J40" s="71">
        <f>I22-I31</f>
        <v>-30112.102865899997</v>
      </c>
      <c r="K40" s="16" t="s">
        <v>107</v>
      </c>
      <c r="P40"/>
      <c r="Q40"/>
      <c r="R40"/>
    </row>
    <row r="41" spans="2:29" ht="51">
      <c r="I41" s="72" t="s">
        <v>114</v>
      </c>
      <c r="J41" s="73">
        <f>J20-J30</f>
        <v>1.0000000000000009E-2</v>
      </c>
      <c r="K41" s="104" t="s">
        <v>194</v>
      </c>
      <c r="U41" s="130" t="s">
        <v>104</v>
      </c>
      <c r="V41" t="s">
        <v>101</v>
      </c>
      <c r="X41" t="s">
        <v>102</v>
      </c>
      <c r="Z41" t="s">
        <v>49</v>
      </c>
      <c r="AB41" t="s">
        <v>50</v>
      </c>
    </row>
    <row r="42" spans="2:29">
      <c r="G42" s="18"/>
      <c r="J42" s="15"/>
      <c r="K42" s="16"/>
      <c r="U42" s="131"/>
      <c r="V42" s="70" t="s">
        <v>146</v>
      </c>
      <c r="X42" s="70" t="s">
        <v>152</v>
      </c>
    </row>
    <row r="43" spans="2:29">
      <c r="J43" s="15"/>
      <c r="K43" s="16"/>
      <c r="U43" s="131"/>
      <c r="V43" s="70" t="s">
        <v>147</v>
      </c>
      <c r="X43" s="70" t="s">
        <v>153</v>
      </c>
    </row>
    <row r="44" spans="2:29">
      <c r="J44" s="62"/>
      <c r="U44" s="131"/>
      <c r="V44" s="70" t="s">
        <v>148</v>
      </c>
      <c r="X44" s="70" t="s">
        <v>154</v>
      </c>
    </row>
    <row r="45" spans="2:29">
      <c r="J45" s="31"/>
      <c r="K45" s="21"/>
      <c r="U45" s="131"/>
      <c r="V45" s="103" t="s">
        <v>149</v>
      </c>
      <c r="W45" s="24"/>
      <c r="X45" s="103" t="s">
        <v>155</v>
      </c>
      <c r="Y45" s="24"/>
      <c r="Z45" s="24"/>
      <c r="AA45" s="24"/>
      <c r="AB45" s="24"/>
      <c r="AC45" s="24"/>
    </row>
    <row r="46" spans="2:29">
      <c r="U46" s="131"/>
      <c r="V46" s="70" t="s">
        <v>150</v>
      </c>
      <c r="X46" s="70" t="s">
        <v>156</v>
      </c>
    </row>
    <row r="47" spans="2:29">
      <c r="U47" s="131"/>
      <c r="V47" s="70" t="s">
        <v>151</v>
      </c>
      <c r="X47" s="70" t="s">
        <v>157</v>
      </c>
    </row>
    <row r="55" spans="5:18">
      <c r="E55" s="37"/>
    </row>
    <row r="58" spans="5:18">
      <c r="K58" s="20"/>
      <c r="R58" s="32"/>
    </row>
    <row r="59" spans="5:18">
      <c r="K59" s="16"/>
      <c r="P59" s="16"/>
    </row>
    <row r="60" spans="5:18">
      <c r="K60" s="16"/>
      <c r="N60" s="15"/>
      <c r="R60"/>
    </row>
    <row r="61" spans="5:18">
      <c r="K61" s="16"/>
      <c r="N61" s="15"/>
      <c r="R61"/>
    </row>
    <row r="62" spans="5:18">
      <c r="K62"/>
    </row>
    <row r="75" spans="12:15">
      <c r="L75"/>
      <c r="M75"/>
      <c r="N75"/>
      <c r="O75"/>
    </row>
    <row r="76" spans="12:15">
      <c r="L76"/>
      <c r="M76"/>
      <c r="N76"/>
      <c r="O76"/>
    </row>
    <row r="77" spans="12:15">
      <c r="L77"/>
      <c r="M77"/>
      <c r="N77"/>
      <c r="O77"/>
    </row>
    <row r="78" spans="12:15">
      <c r="N78"/>
      <c r="O78"/>
    </row>
    <row r="79" spans="12:15">
      <c r="N79"/>
      <c r="O79"/>
    </row>
    <row r="80" spans="12:15">
      <c r="N80"/>
      <c r="O80"/>
    </row>
    <row r="81" spans="11:15">
      <c r="N81"/>
      <c r="O81"/>
    </row>
    <row r="82" spans="11:15">
      <c r="N82"/>
      <c r="O82"/>
    </row>
    <row r="83" spans="11:15">
      <c r="N83"/>
      <c r="O83"/>
    </row>
    <row r="84" spans="11:15">
      <c r="N84"/>
      <c r="O84"/>
    </row>
    <row r="85" spans="11:15">
      <c r="K85"/>
      <c r="N85"/>
      <c r="O85"/>
    </row>
    <row r="86" spans="11:15">
      <c r="K86"/>
      <c r="N86"/>
      <c r="O86"/>
    </row>
    <row r="87" spans="11:15">
      <c r="K87"/>
      <c r="L87"/>
      <c r="M87"/>
      <c r="N87"/>
      <c r="O87"/>
    </row>
    <row r="88" spans="11:15">
      <c r="K88"/>
      <c r="L88"/>
      <c r="M88"/>
      <c r="N88"/>
      <c r="O88"/>
    </row>
    <row r="89" spans="11:15">
      <c r="K89" s="16"/>
      <c r="L89"/>
      <c r="M89"/>
      <c r="N89"/>
      <c r="O89"/>
    </row>
    <row r="90" spans="11:15">
      <c r="K90"/>
      <c r="L90"/>
      <c r="M90"/>
      <c r="N90"/>
      <c r="O90"/>
    </row>
    <row r="91" spans="11:15">
      <c r="K91" s="16"/>
      <c r="L91" s="70"/>
      <c r="M91"/>
      <c r="N91"/>
      <c r="O91"/>
    </row>
    <row r="92" spans="11:15">
      <c r="K92" s="16"/>
      <c r="N92"/>
      <c r="O92"/>
    </row>
    <row r="93" spans="11:15">
      <c r="K93" s="16"/>
      <c r="N93"/>
      <c r="O93"/>
    </row>
    <row r="94" spans="11:15">
      <c r="K94" s="16"/>
      <c r="N94"/>
      <c r="O94"/>
    </row>
    <row r="95" spans="11:15">
      <c r="K95" s="16"/>
      <c r="N95"/>
      <c r="O95"/>
    </row>
    <row r="96" spans="11:15">
      <c r="K96"/>
      <c r="N96"/>
      <c r="O96"/>
    </row>
    <row r="97" spans="11:15">
      <c r="K97"/>
      <c r="N97"/>
      <c r="O97"/>
    </row>
    <row r="98" spans="11:15">
      <c r="K98"/>
      <c r="N98"/>
      <c r="O98"/>
    </row>
    <row r="99" spans="11:15">
      <c r="K99"/>
      <c r="N99"/>
      <c r="O99"/>
    </row>
    <row r="100" spans="11:15">
      <c r="K100"/>
    </row>
    <row r="101" spans="11:15">
      <c r="K101"/>
    </row>
    <row r="102" spans="11:15">
      <c r="K102"/>
    </row>
    <row r="103" spans="11:15">
      <c r="K103" s="16"/>
    </row>
    <row r="104" spans="11:15">
      <c r="K104"/>
    </row>
    <row r="105" spans="11:15">
      <c r="K105" s="16"/>
    </row>
    <row r="106" spans="11:15">
      <c r="K106" s="16"/>
    </row>
    <row r="107" spans="11:15">
      <c r="K107" s="16"/>
    </row>
    <row r="108" spans="11:15">
      <c r="K108" s="16"/>
    </row>
    <row r="109" spans="11:15">
      <c r="K109" s="16"/>
    </row>
  </sheetData>
  <mergeCells count="16">
    <mergeCell ref="Q2:R2"/>
    <mergeCell ref="B3:B7"/>
    <mergeCell ref="C3:D3"/>
    <mergeCell ref="Q3:R8"/>
    <mergeCell ref="C4:E4"/>
    <mergeCell ref="C5:D7"/>
    <mergeCell ref="E5:E7"/>
    <mergeCell ref="B8:D8"/>
    <mergeCell ref="U33:U39"/>
    <mergeCell ref="U41:U47"/>
    <mergeCell ref="B9:B13"/>
    <mergeCell ref="C9:D9"/>
    <mergeCell ref="C10:E10"/>
    <mergeCell ref="C11:D13"/>
    <mergeCell ref="E11:E13"/>
    <mergeCell ref="U31:AC32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A56F-AD5E-714B-8A3B-DED0E03979FA}">
  <dimension ref="A2:F61"/>
  <sheetViews>
    <sheetView zoomScale="125" zoomScaleNormal="160" workbookViewId="0">
      <selection activeCell="F43" sqref="F43"/>
    </sheetView>
  </sheetViews>
  <sheetFormatPr baseColWidth="10" defaultRowHeight="16"/>
  <cols>
    <col min="1" max="1" width="32" customWidth="1"/>
    <col min="2" max="2" width="21.83203125" customWidth="1"/>
    <col min="3" max="3" width="16.83203125" customWidth="1"/>
    <col min="4" max="4" width="17.1640625" style="15" customWidth="1"/>
    <col min="9" max="9" width="31.5" customWidth="1"/>
    <col min="10" max="10" width="20.1640625" customWidth="1"/>
    <col min="11" max="11" width="16.83203125" customWidth="1"/>
  </cols>
  <sheetData>
    <row r="2" spans="1:6">
      <c r="A2" s="24" t="s">
        <v>73</v>
      </c>
    </row>
    <row r="3" spans="1:6" ht="51">
      <c r="B3" s="175" t="s">
        <v>186</v>
      </c>
      <c r="C3" s="175" t="s">
        <v>176</v>
      </c>
      <c r="D3" s="15" t="s">
        <v>124</v>
      </c>
      <c r="E3" s="59"/>
    </row>
    <row r="4" spans="1:6">
      <c r="A4" s="58" t="s">
        <v>67</v>
      </c>
      <c r="B4" s="166">
        <v>61.9</v>
      </c>
      <c r="C4" s="166">
        <v>65.599999999999994</v>
      </c>
      <c r="D4" s="165" t="s">
        <v>125</v>
      </c>
      <c r="E4" s="15"/>
      <c r="F4" s="68"/>
    </row>
    <row r="5" spans="1:6">
      <c r="A5" s="58" t="s">
        <v>77</v>
      </c>
      <c r="B5" s="67"/>
      <c r="C5" s="67"/>
      <c r="E5" s="67"/>
      <c r="F5" s="69"/>
    </row>
    <row r="6" spans="1:6">
      <c r="A6" s="60" t="s">
        <v>78</v>
      </c>
      <c r="B6" s="67" t="s">
        <v>184</v>
      </c>
      <c r="C6" s="67" t="s">
        <v>126</v>
      </c>
      <c r="D6" s="15">
        <v>0.73499999999999999</v>
      </c>
      <c r="E6" s="67"/>
      <c r="F6" s="68"/>
    </row>
    <row r="7" spans="1:6">
      <c r="A7" s="60" t="s">
        <v>69</v>
      </c>
      <c r="B7" s="67" t="s">
        <v>185</v>
      </c>
      <c r="C7" s="67" t="s">
        <v>127</v>
      </c>
      <c r="E7" s="67"/>
      <c r="F7" s="68"/>
    </row>
    <row r="8" spans="1:6">
      <c r="A8" s="58" t="s">
        <v>70</v>
      </c>
      <c r="B8" s="67"/>
      <c r="C8" s="67"/>
      <c r="E8" s="67"/>
      <c r="F8" s="68"/>
    </row>
    <row r="9" spans="1:6">
      <c r="A9" s="60" t="s">
        <v>71</v>
      </c>
      <c r="B9" s="67" t="s">
        <v>187</v>
      </c>
      <c r="C9" s="67" t="s">
        <v>128</v>
      </c>
      <c r="D9" s="15">
        <v>5.0200000000000002E-2</v>
      </c>
      <c r="E9" s="67"/>
    </row>
    <row r="10" spans="1:6">
      <c r="A10" s="60" t="s">
        <v>82</v>
      </c>
      <c r="B10" s="67" t="s">
        <v>188</v>
      </c>
      <c r="C10" s="67" t="s">
        <v>129</v>
      </c>
      <c r="E10" s="67"/>
      <c r="F10" s="69"/>
    </row>
    <row r="11" spans="1:6">
      <c r="A11" s="60" t="s">
        <v>72</v>
      </c>
      <c r="B11" s="67" t="s">
        <v>189</v>
      </c>
      <c r="C11" s="67" t="s">
        <v>130</v>
      </c>
      <c r="E11" s="67"/>
      <c r="F11" s="69"/>
    </row>
    <row r="12" spans="1:6">
      <c r="A12" s="60" t="s">
        <v>79</v>
      </c>
      <c r="B12" s="67" t="s">
        <v>190</v>
      </c>
      <c r="C12" s="67" t="s">
        <v>131</v>
      </c>
      <c r="E12" s="67"/>
      <c r="F12" s="69"/>
    </row>
    <row r="13" spans="1:6">
      <c r="A13" s="60" t="s">
        <v>81</v>
      </c>
      <c r="B13" s="67" t="s">
        <v>191</v>
      </c>
      <c r="C13" s="67" t="s">
        <v>132</v>
      </c>
      <c r="E13" s="67"/>
    </row>
    <row r="14" spans="1:6">
      <c r="A14" s="60" t="s">
        <v>80</v>
      </c>
      <c r="B14" s="67" t="s">
        <v>192</v>
      </c>
      <c r="C14" s="67" t="s">
        <v>133</v>
      </c>
      <c r="E14" s="67"/>
      <c r="F14" s="69"/>
    </row>
    <row r="15" spans="1:6">
      <c r="A15" s="58" t="s">
        <v>68</v>
      </c>
      <c r="B15" s="67">
        <v>10.199999999999999</v>
      </c>
      <c r="C15" s="74">
        <v>10.6</v>
      </c>
      <c r="D15" s="15">
        <v>5.7000000000000002E-2</v>
      </c>
      <c r="E15" s="74"/>
      <c r="F15" s="68"/>
    </row>
    <row r="16" spans="1:6">
      <c r="A16" s="58" t="s">
        <v>115</v>
      </c>
      <c r="B16" s="67">
        <v>7.94</v>
      </c>
      <c r="C16" s="67">
        <v>7.88</v>
      </c>
      <c r="D16" s="15">
        <v>0.41099999999999998</v>
      </c>
      <c r="E16" s="67"/>
      <c r="F16" s="68"/>
    </row>
    <row r="17" spans="1:6">
      <c r="A17" s="58" t="s">
        <v>158</v>
      </c>
      <c r="B17" s="166">
        <v>385</v>
      </c>
      <c r="C17" s="166">
        <v>256.60000000000002</v>
      </c>
      <c r="D17" s="165" t="s">
        <v>125</v>
      </c>
      <c r="E17" s="67"/>
      <c r="F17" s="68"/>
    </row>
    <row r="18" spans="1:6" ht="35" customHeight="1">
      <c r="A18" s="110" t="s">
        <v>113</v>
      </c>
      <c r="B18" s="15"/>
      <c r="C18" s="15"/>
      <c r="E18" s="168" t="s">
        <v>123</v>
      </c>
      <c r="F18" s="58"/>
    </row>
    <row r="19" spans="1:6">
      <c r="A19" s="60" t="s">
        <v>112</v>
      </c>
      <c r="B19" s="15" t="s">
        <v>180</v>
      </c>
      <c r="C19" s="15" t="s">
        <v>119</v>
      </c>
      <c r="D19" s="67">
        <v>0.28999999999999998</v>
      </c>
      <c r="E19">
        <v>7.88</v>
      </c>
      <c r="F19" t="s">
        <v>183</v>
      </c>
    </row>
    <row r="20" spans="1:6">
      <c r="A20" s="60" t="s">
        <v>109</v>
      </c>
      <c r="B20" s="15" t="s">
        <v>182</v>
      </c>
      <c r="C20" s="15" t="s">
        <v>120</v>
      </c>
      <c r="E20" s="57">
        <v>8.2799999999999994</v>
      </c>
    </row>
    <row r="21" spans="1:6">
      <c r="A21" s="164" t="s">
        <v>110</v>
      </c>
      <c r="B21" s="165" t="s">
        <v>197</v>
      </c>
      <c r="C21" s="166" t="s">
        <v>122</v>
      </c>
      <c r="E21" s="57">
        <v>8.2100000000000009</v>
      </c>
    </row>
    <row r="22" spans="1:6">
      <c r="A22" s="60" t="s">
        <v>111</v>
      </c>
      <c r="B22" s="15" t="s">
        <v>181</v>
      </c>
      <c r="C22" s="15" t="s">
        <v>121</v>
      </c>
      <c r="E22">
        <v>7.79</v>
      </c>
    </row>
    <row r="23" spans="1:6">
      <c r="D23" s="59"/>
    </row>
    <row r="33" spans="1:4">
      <c r="B33" s="59" t="s">
        <v>11</v>
      </c>
      <c r="C33" s="59" t="s">
        <v>83</v>
      </c>
    </row>
    <row r="34" spans="1:4">
      <c r="A34" t="s">
        <v>84</v>
      </c>
      <c r="B34">
        <v>2379</v>
      </c>
      <c r="C34">
        <v>134073</v>
      </c>
      <c r="D34" s="15" t="s">
        <v>199</v>
      </c>
    </row>
    <row r="35" spans="1:4">
      <c r="A35" t="s">
        <v>117</v>
      </c>
      <c r="B35">
        <v>6</v>
      </c>
      <c r="C35">
        <v>13793</v>
      </c>
    </row>
    <row r="36" spans="1:4">
      <c r="A36" t="s">
        <v>85</v>
      </c>
      <c r="B36">
        <v>14</v>
      </c>
      <c r="C36">
        <v>0</v>
      </c>
    </row>
    <row r="37" spans="1:4" ht="34">
      <c r="A37" s="33" t="s">
        <v>118</v>
      </c>
      <c r="B37">
        <v>32</v>
      </c>
      <c r="C37">
        <v>116764</v>
      </c>
    </row>
    <row r="38" spans="1:4">
      <c r="A38" t="s">
        <v>86</v>
      </c>
      <c r="B38">
        <v>325</v>
      </c>
      <c r="C38">
        <v>0</v>
      </c>
    </row>
    <row r="39" spans="1:4" ht="102">
      <c r="A39" s="33" t="s">
        <v>201</v>
      </c>
      <c r="B39" s="167">
        <f>772+235+116</f>
        <v>1123</v>
      </c>
      <c r="C39">
        <v>1535</v>
      </c>
    </row>
    <row r="40" spans="1:4">
      <c r="B40">
        <f>B34-SUM(B35:B39)</f>
        <v>879</v>
      </c>
      <c r="C40">
        <f>C34-SUM(C35:C39)</f>
        <v>1981</v>
      </c>
    </row>
    <row r="54" spans="1:3">
      <c r="B54" s="58"/>
    </row>
    <row r="57" spans="1:3">
      <c r="B57" s="59" t="s">
        <v>198</v>
      </c>
      <c r="C57" s="59" t="s">
        <v>116</v>
      </c>
    </row>
    <row r="58" spans="1:3">
      <c r="A58" t="s">
        <v>178</v>
      </c>
      <c r="B58" s="178">
        <v>42395</v>
      </c>
      <c r="C58" s="178">
        <v>42096</v>
      </c>
    </row>
    <row r="59" spans="1:3">
      <c r="A59" t="s">
        <v>179</v>
      </c>
      <c r="B59" s="178">
        <v>44475</v>
      </c>
    </row>
    <row r="60" spans="1:3">
      <c r="A60" s="179" t="s">
        <v>177</v>
      </c>
      <c r="B60" s="180">
        <v>476</v>
      </c>
      <c r="C60" s="166">
        <v>488</v>
      </c>
    </row>
    <row r="61" spans="1:3">
      <c r="C61" s="57" t="s">
        <v>200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47A9-92C2-E745-832C-CBDB9F69628B}">
  <dimension ref="A2:O51"/>
  <sheetViews>
    <sheetView tabSelected="1" zoomScale="104" workbookViewId="0">
      <selection activeCell="M51" sqref="M51"/>
    </sheetView>
  </sheetViews>
  <sheetFormatPr baseColWidth="10" defaultRowHeight="16"/>
  <cols>
    <col min="1" max="1" width="31" customWidth="1"/>
    <col min="2" max="2" width="20.83203125" customWidth="1"/>
    <col min="3" max="3" width="18.33203125" customWidth="1"/>
    <col min="9" max="9" width="14.33203125" customWidth="1"/>
    <col min="10" max="10" width="13" customWidth="1"/>
  </cols>
  <sheetData>
    <row r="2" spans="1:15" ht="16" customHeight="1">
      <c r="F2" s="170" t="s">
        <v>175</v>
      </c>
      <c r="G2" s="170"/>
      <c r="H2" s="170"/>
      <c r="I2" s="170"/>
      <c r="J2" s="170"/>
      <c r="K2" s="170"/>
      <c r="L2" s="170"/>
      <c r="M2" s="170"/>
      <c r="N2" s="170"/>
      <c r="O2" s="170"/>
    </row>
    <row r="3" spans="1:15" ht="16" customHeight="1">
      <c r="F3" s="170"/>
      <c r="G3" s="170"/>
      <c r="H3" s="170"/>
      <c r="I3" s="170"/>
      <c r="J3" s="170"/>
      <c r="K3" s="170"/>
      <c r="L3" s="170"/>
      <c r="M3" s="170"/>
      <c r="N3" s="170"/>
      <c r="O3" s="170"/>
    </row>
    <row r="4" spans="1:15" ht="28" customHeight="1">
      <c r="B4" s="59"/>
      <c r="C4" s="59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15">
      <c r="A5" s="58"/>
      <c r="D5" s="21"/>
      <c r="G5" s="171"/>
      <c r="H5" s="172"/>
      <c r="I5" s="172"/>
      <c r="L5" s="171"/>
    </row>
    <row r="6" spans="1:15">
      <c r="A6" s="60"/>
      <c r="B6" s="15"/>
      <c r="C6" s="15"/>
      <c r="G6" s="171"/>
      <c r="H6" s="172"/>
      <c r="I6" s="172"/>
      <c r="L6" s="171"/>
    </row>
    <row r="7" spans="1:15">
      <c r="A7" s="60"/>
      <c r="B7" s="15"/>
      <c r="C7" s="15"/>
      <c r="F7" s="70" t="s">
        <v>159</v>
      </c>
    </row>
    <row r="8" spans="1:15" ht="18" customHeight="1">
      <c r="A8" s="58"/>
      <c r="D8" s="21"/>
      <c r="F8" s="70" t="s">
        <v>107</v>
      </c>
      <c r="I8" s="70" t="s">
        <v>160</v>
      </c>
      <c r="J8" s="70" t="s">
        <v>161</v>
      </c>
      <c r="K8" s="70"/>
    </row>
    <row r="9" spans="1:15">
      <c r="A9" s="60"/>
      <c r="B9" s="15"/>
      <c r="C9" s="15"/>
      <c r="F9" s="70" t="s">
        <v>162</v>
      </c>
      <c r="I9" s="111">
        <v>-8.1727837000000001</v>
      </c>
      <c r="J9" s="70" t="s">
        <v>164</v>
      </c>
      <c r="K9" s="70" t="s">
        <v>165</v>
      </c>
      <c r="L9" s="83" t="s">
        <v>172</v>
      </c>
    </row>
    <row r="10" spans="1:15">
      <c r="A10" s="60"/>
      <c r="B10" s="15"/>
      <c r="C10" s="15"/>
      <c r="F10" s="103" t="s">
        <v>163</v>
      </c>
      <c r="G10" s="24"/>
      <c r="H10" s="24"/>
      <c r="I10" s="173">
        <v>-0.30745169999999999</v>
      </c>
      <c r="J10" s="70">
        <v>2.6099999999999999E-3</v>
      </c>
      <c r="K10" s="70" t="s">
        <v>173</v>
      </c>
      <c r="L10" s="176">
        <f>EXP(I10)</f>
        <v>0.7353183825679841</v>
      </c>
      <c r="M10" s="177">
        <f>1-L10</f>
        <v>0.2646816174320159</v>
      </c>
    </row>
    <row r="11" spans="1:15">
      <c r="A11" s="110"/>
      <c r="B11" s="15"/>
      <c r="C11" s="15"/>
      <c r="D11" s="21"/>
      <c r="F11" s="70" t="s">
        <v>166</v>
      </c>
      <c r="I11" s="111">
        <v>-0.718109</v>
      </c>
      <c r="J11" s="111">
        <v>2.8200000000000001E-12</v>
      </c>
      <c r="K11" s="111" t="s">
        <v>165</v>
      </c>
      <c r="L11" s="169"/>
      <c r="M11" s="40"/>
    </row>
    <row r="12" spans="1:15">
      <c r="A12" s="60"/>
      <c r="B12" s="15"/>
      <c r="C12" s="15"/>
      <c r="D12" s="112"/>
      <c r="F12" s="70" t="s">
        <v>167</v>
      </c>
      <c r="I12" s="111">
        <v>-1.91027E-2</v>
      </c>
      <c r="J12" s="111">
        <v>4.35E-5</v>
      </c>
      <c r="K12" s="111" t="s">
        <v>165</v>
      </c>
    </row>
    <row r="13" spans="1:15">
      <c r="A13" s="60"/>
      <c r="B13" s="15"/>
      <c r="C13" s="15"/>
      <c r="D13" s="112"/>
      <c r="F13" s="70" t="s">
        <v>168</v>
      </c>
      <c r="I13" s="111">
        <v>-6.9780000000000005E-4</v>
      </c>
      <c r="J13" s="70">
        <v>0.99456999999999995</v>
      </c>
      <c r="K13" s="70"/>
    </row>
    <row r="14" spans="1:15">
      <c r="A14" s="60"/>
      <c r="B14" s="15"/>
      <c r="C14" s="15"/>
      <c r="F14" s="70" t="s">
        <v>169</v>
      </c>
      <c r="I14" s="111">
        <v>0.11283600000000001</v>
      </c>
      <c r="J14" s="70" t="s">
        <v>164</v>
      </c>
      <c r="K14" s="70" t="s">
        <v>165</v>
      </c>
    </row>
    <row r="15" spans="1:15">
      <c r="A15" s="60"/>
      <c r="B15" s="15"/>
      <c r="C15" s="15"/>
      <c r="F15" s="70" t="s">
        <v>170</v>
      </c>
      <c r="I15" s="111">
        <v>8.0860399999999999E-2</v>
      </c>
      <c r="J15" s="111">
        <v>7.8499999999999993E-3</v>
      </c>
      <c r="K15" s="70" t="s">
        <v>173</v>
      </c>
    </row>
    <row r="16" spans="1:15">
      <c r="A16" s="58"/>
      <c r="B16" s="67"/>
      <c r="C16" s="67"/>
      <c r="M16" s="33"/>
    </row>
    <row r="17" spans="6:15">
      <c r="F17" s="70" t="s">
        <v>171</v>
      </c>
    </row>
    <row r="19" spans="6:15" ht="22" customHeight="1">
      <c r="F19" s="83" t="s">
        <v>196</v>
      </c>
      <c r="G19" s="83"/>
      <c r="H19" s="83"/>
      <c r="I19" s="83"/>
      <c r="J19" s="83"/>
      <c r="K19" s="83"/>
      <c r="L19" s="83"/>
      <c r="M19" s="83"/>
      <c r="N19" s="83"/>
      <c r="O19" s="83"/>
    </row>
    <row r="20" spans="6:15" ht="22" customHeight="1">
      <c r="F20" s="83"/>
      <c r="G20" s="83"/>
      <c r="H20" s="83"/>
      <c r="I20" s="83"/>
      <c r="J20" s="83"/>
      <c r="K20" s="83"/>
      <c r="L20" s="83"/>
      <c r="M20" s="83"/>
      <c r="N20" s="83"/>
      <c r="O20" s="83"/>
    </row>
    <row r="21" spans="6:15" ht="22">
      <c r="F21" s="174"/>
      <c r="G21" s="174"/>
      <c r="H21" s="174"/>
      <c r="I21" s="174"/>
      <c r="J21" s="174"/>
      <c r="K21" s="174"/>
      <c r="L21" s="174"/>
    </row>
    <row r="22" spans="6:15" ht="22">
      <c r="L22" s="174"/>
    </row>
    <row r="23" spans="6:15">
      <c r="G23" s="175"/>
      <c r="H23" s="175"/>
      <c r="I23" s="175"/>
    </row>
    <row r="24" spans="6:15">
      <c r="F24" s="58"/>
      <c r="G24" s="67"/>
      <c r="H24" s="67"/>
      <c r="I24" s="67"/>
      <c r="J24" s="68"/>
    </row>
    <row r="25" spans="6:15">
      <c r="F25" s="58"/>
      <c r="G25" s="67"/>
      <c r="H25" s="67"/>
      <c r="I25" s="67"/>
      <c r="J25" s="68"/>
    </row>
    <row r="26" spans="6:15">
      <c r="J26" s="68"/>
    </row>
    <row r="32" spans="6:15">
      <c r="F32" s="170" t="s">
        <v>174</v>
      </c>
      <c r="G32" s="170"/>
      <c r="H32" s="170"/>
      <c r="I32" s="170"/>
      <c r="J32" s="170"/>
      <c r="K32" s="170"/>
      <c r="L32" s="170"/>
      <c r="M32" s="170"/>
      <c r="N32" s="170"/>
      <c r="O32" s="170"/>
    </row>
    <row r="33" spans="1:15">
      <c r="F33" s="170"/>
      <c r="G33" s="170"/>
      <c r="H33" s="170"/>
      <c r="I33" s="170"/>
      <c r="J33" s="170"/>
      <c r="K33" s="170"/>
      <c r="L33" s="170"/>
      <c r="M33" s="170"/>
      <c r="N33" s="170"/>
      <c r="O33" s="170"/>
    </row>
    <row r="34" spans="1:15">
      <c r="B34" s="59"/>
      <c r="C34" s="59"/>
      <c r="F34" s="170"/>
      <c r="G34" s="170"/>
      <c r="H34" s="170"/>
      <c r="I34" s="170"/>
      <c r="J34" s="170"/>
      <c r="K34" s="170"/>
      <c r="L34" s="170"/>
      <c r="M34" s="170"/>
      <c r="N34" s="170"/>
      <c r="O34" s="170"/>
    </row>
    <row r="35" spans="1:15">
      <c r="A35" s="58"/>
      <c r="D35" s="21"/>
      <c r="G35" s="171"/>
      <c r="H35" s="172"/>
      <c r="I35" s="172"/>
      <c r="L35" s="171"/>
    </row>
    <row r="36" spans="1:15">
      <c r="A36" s="60"/>
      <c r="B36" s="15"/>
      <c r="C36" s="15"/>
      <c r="G36" s="171"/>
      <c r="H36" s="172"/>
      <c r="I36" s="172"/>
      <c r="L36" s="171"/>
    </row>
    <row r="37" spans="1:15">
      <c r="A37" s="60"/>
      <c r="B37" s="15"/>
      <c r="C37" s="15"/>
      <c r="F37" s="70" t="s">
        <v>159</v>
      </c>
    </row>
    <row r="38" spans="1:15">
      <c r="A38" s="58"/>
      <c r="D38" s="21"/>
      <c r="F38" s="70" t="s">
        <v>107</v>
      </c>
      <c r="I38" s="70" t="s">
        <v>160</v>
      </c>
      <c r="J38" s="70" t="s">
        <v>161</v>
      </c>
      <c r="K38" s="70"/>
    </row>
    <row r="39" spans="1:15">
      <c r="A39" s="60"/>
      <c r="B39" s="15"/>
      <c r="C39" s="15"/>
      <c r="F39" s="70" t="s">
        <v>162</v>
      </c>
      <c r="I39" s="111">
        <v>-8.6721269999999997</v>
      </c>
      <c r="J39" s="70" t="s">
        <v>164</v>
      </c>
      <c r="K39" s="70" t="s">
        <v>165</v>
      </c>
      <c r="L39" s="83" t="s">
        <v>172</v>
      </c>
    </row>
    <row r="40" spans="1:15">
      <c r="A40" s="60"/>
      <c r="B40" s="15"/>
      <c r="C40" s="15"/>
      <c r="F40" s="103" t="s">
        <v>166</v>
      </c>
      <c r="G40" s="24"/>
      <c r="H40" s="24"/>
      <c r="I40" s="173">
        <v>-0.71626000000000001</v>
      </c>
      <c r="J40" s="111">
        <v>1.43E-5</v>
      </c>
      <c r="K40" s="111" t="s">
        <v>165</v>
      </c>
      <c r="L40" s="176">
        <f>EXP(I40)</f>
        <v>0.48857611789312316</v>
      </c>
      <c r="M40" s="177">
        <f>1-L40</f>
        <v>0.51142388210687684</v>
      </c>
    </row>
    <row r="41" spans="1:15">
      <c r="A41" s="110"/>
      <c r="B41" s="15"/>
      <c r="C41" s="15"/>
      <c r="D41" s="21"/>
      <c r="F41" s="70" t="s">
        <v>167</v>
      </c>
      <c r="I41" s="111">
        <v>-2.9547E-2</v>
      </c>
      <c r="J41" s="111">
        <v>1.5400000000000002E-5</v>
      </c>
      <c r="K41" s="111" t="s">
        <v>165</v>
      </c>
      <c r="L41" s="169"/>
      <c r="M41" s="40"/>
    </row>
    <row r="42" spans="1:15">
      <c r="A42" s="60"/>
      <c r="B42" s="15"/>
      <c r="C42" s="15"/>
      <c r="D42" s="112"/>
      <c r="F42" s="70" t="s">
        <v>168</v>
      </c>
      <c r="I42" s="111">
        <v>-0.104542</v>
      </c>
      <c r="J42" s="70">
        <v>0.48005700000000001</v>
      </c>
      <c r="K42" s="70"/>
    </row>
    <row r="43" spans="1:15">
      <c r="A43" s="60"/>
      <c r="B43" s="15"/>
      <c r="C43" s="15"/>
      <c r="D43" s="112"/>
      <c r="F43" s="70" t="s">
        <v>169</v>
      </c>
      <c r="I43" s="111">
        <v>0.14087</v>
      </c>
      <c r="J43" s="70" t="s">
        <v>164</v>
      </c>
      <c r="K43" s="70" t="s">
        <v>165</v>
      </c>
    </row>
    <row r="44" spans="1:15">
      <c r="A44" s="60"/>
      <c r="B44" s="15"/>
      <c r="C44" s="15"/>
      <c r="F44" s="70" t="s">
        <v>170</v>
      </c>
      <c r="I44" s="111">
        <v>0.15099699999999999</v>
      </c>
      <c r="J44" s="111">
        <v>3.5599999999999998E-4</v>
      </c>
      <c r="K44" s="70" t="s">
        <v>173</v>
      </c>
    </row>
    <row r="45" spans="1:15">
      <c r="A45" s="60"/>
      <c r="B45" s="15"/>
      <c r="C45" s="15"/>
    </row>
    <row r="46" spans="1:15">
      <c r="A46" s="58"/>
      <c r="B46" s="67"/>
      <c r="C46" s="67"/>
      <c r="F46" s="70" t="s">
        <v>171</v>
      </c>
      <c r="M46" s="33"/>
    </row>
    <row r="48" spans="1:15" ht="22">
      <c r="F48" s="174"/>
      <c r="G48" s="174"/>
      <c r="H48" s="174"/>
      <c r="I48" s="174"/>
      <c r="J48" s="174"/>
      <c r="K48" s="174"/>
    </row>
    <row r="49" spans="6:12" ht="22">
      <c r="F49" s="83" t="s">
        <v>195</v>
      </c>
      <c r="G49" s="174"/>
      <c r="H49" s="174"/>
      <c r="I49" s="174"/>
      <c r="J49" s="174"/>
      <c r="K49" s="174"/>
    </row>
    <row r="50" spans="6:12" ht="19" customHeight="1">
      <c r="F50" s="83" t="s">
        <v>193</v>
      </c>
      <c r="G50" s="174"/>
      <c r="H50" s="174"/>
      <c r="I50" s="174"/>
      <c r="J50" s="174"/>
      <c r="K50" s="174"/>
      <c r="L50" s="174"/>
    </row>
    <row r="51" spans="6:12" ht="22">
      <c r="L51" s="174"/>
    </row>
  </sheetData>
  <mergeCells count="2">
    <mergeCell ref="F2:O4"/>
    <mergeCell ref="F32:O3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Cost</vt:lpstr>
      <vt:lpstr>Management Cost_Digital Device</vt:lpstr>
      <vt:lpstr>Management Cost_Standard Care</vt:lpstr>
      <vt:lpstr>Decision tree_all sample_0608</vt:lpstr>
      <vt:lpstr>Demo</vt:lpstr>
      <vt:lpstr>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Ester Chung Seo</dc:creator>
  <cp:keywords/>
  <dc:description/>
  <cp:lastModifiedBy>Skai Pan</cp:lastModifiedBy>
  <cp:revision/>
  <dcterms:created xsi:type="dcterms:W3CDTF">2024-03-25T21:19:53Z</dcterms:created>
  <dcterms:modified xsi:type="dcterms:W3CDTF">2024-06-13T17:41:06Z</dcterms:modified>
  <cp:category/>
  <cp:contentStatus/>
</cp:coreProperties>
</file>