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German\Intelligent-Traffic-Light\Algorithm\"/>
    </mc:Choice>
  </mc:AlternateContent>
  <bookViews>
    <workbookView xWindow="0" yWindow="0" windowWidth="20490" windowHeight="7800" firstSheet="1" activeTab="3"/>
  </bookViews>
  <sheets>
    <sheet name="SystemDesign" sheetId="3" r:id="rId1"/>
    <sheet name="States_Design" sheetId="1" r:id="rId2"/>
    <sheet name="C" sheetId="5" r:id="rId3"/>
    <sheet name="CompleteCode" sheetId="7" r:id="rId4"/>
    <sheet name="C_D" sheetId="6" r:id="rId5"/>
    <sheet name="STATE_BREAKS" sheetId="8" r:id="rId6"/>
    <sheet name="STATES" sheetId="2" r:id="rId7"/>
    <sheet name="Audio" sheetId="9" r:id="rId8"/>
  </sheets>
  <calcPr calcId="162913"/>
</workbook>
</file>

<file path=xl/calcChain.xml><?xml version="1.0" encoding="utf-8"?>
<calcChain xmlns="http://schemas.openxmlformats.org/spreadsheetml/2006/main">
  <c r="A2" i="7" l="1"/>
  <c r="AT4" i="2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" i="2"/>
  <c r="M6" i="5" l="1"/>
  <c r="G8" i="8"/>
  <c r="M8" i="5"/>
  <c r="M9" i="5"/>
  <c r="M7" i="5"/>
  <c r="C2" i="8" l="1"/>
  <c r="D5" i="1"/>
  <c r="D2" i="8"/>
  <c r="B3" i="8"/>
  <c r="C3" i="8"/>
  <c r="D3" i="8"/>
  <c r="C4" i="8"/>
  <c r="B4" i="8"/>
  <c r="D4" i="8"/>
  <c r="D3" i="5"/>
  <c r="D4" i="5"/>
  <c r="D2" i="5"/>
  <c r="B2" i="5"/>
  <c r="B4" i="5"/>
  <c r="B3" i="5"/>
  <c r="O3" i="9"/>
  <c r="O4" i="9"/>
  <c r="P4" i="9"/>
  <c r="O5" i="9"/>
  <c r="P5" i="9"/>
  <c r="O6" i="9"/>
  <c r="P6" i="9"/>
  <c r="O7" i="9"/>
  <c r="P7" i="9"/>
  <c r="P8" i="9"/>
  <c r="B3" i="9"/>
  <c r="B4" i="9"/>
  <c r="B5" i="9"/>
  <c r="B6" i="9"/>
  <c r="B7" i="9"/>
  <c r="B8" i="9"/>
  <c r="B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D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B25" i="9"/>
  <c r="B26" i="9"/>
  <c r="C26" i="9"/>
  <c r="B27" i="9"/>
  <c r="C27" i="9"/>
  <c r="B28" i="9"/>
  <c r="C28" i="9"/>
  <c r="B29" i="9"/>
  <c r="C29" i="9"/>
  <c r="B30" i="9"/>
  <c r="B31" i="9"/>
  <c r="B32" i="9"/>
  <c r="B33" i="9"/>
  <c r="B2" i="9"/>
  <c r="L2" i="9"/>
  <c r="L3" i="9"/>
  <c r="L4" i="9"/>
  <c r="D3" i="9"/>
  <c r="D4" i="9"/>
  <c r="D5" i="9"/>
  <c r="D6" i="9"/>
  <c r="D7" i="9"/>
  <c r="D8" i="9"/>
  <c r="D10" i="9"/>
  <c r="D11" i="9"/>
  <c r="D12" i="9"/>
  <c r="D13" i="9"/>
  <c r="D14" i="9"/>
  <c r="D15" i="9"/>
  <c r="D16" i="9"/>
  <c r="D18" i="9"/>
  <c r="D19" i="9"/>
  <c r="D20" i="9"/>
  <c r="D21" i="9"/>
  <c r="D22" i="9"/>
  <c r="D23" i="9"/>
  <c r="D24" i="9"/>
  <c r="D26" i="9"/>
  <c r="D27" i="9"/>
  <c r="D28" i="9"/>
  <c r="D29" i="9"/>
  <c r="D30" i="9"/>
  <c r="D31" i="9"/>
  <c r="D32" i="9"/>
  <c r="D2" i="9"/>
  <c r="E2" i="9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E3" i="9"/>
  <c r="E4" i="9"/>
  <c r="E5" i="9"/>
  <c r="E6" i="9"/>
  <c r="E7" i="9"/>
  <c r="E8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C2" i="9"/>
  <c r="C3" i="9"/>
  <c r="C4" i="9"/>
  <c r="C5" i="9"/>
  <c r="C6" i="9"/>
  <c r="C7" i="9"/>
  <c r="C8" i="9"/>
  <c r="C9" i="9"/>
  <c r="D9" i="9"/>
  <c r="C30" i="9"/>
  <c r="C31" i="9"/>
  <c r="C32" i="9"/>
  <c r="C33" i="9"/>
  <c r="D33" i="9"/>
  <c r="C24" i="9"/>
  <c r="C25" i="9"/>
  <c r="D25" i="9"/>
  <c r="C1" i="6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F2" i="9"/>
  <c r="F3" i="8"/>
  <c r="F4" i="8"/>
  <c r="F2" i="8"/>
  <c r="G2" i="8"/>
  <c r="AR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G3" i="8"/>
  <c r="G4" i="8"/>
  <c r="G5" i="8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A12" i="2"/>
  <c r="A11" i="2"/>
  <c r="A10" i="2"/>
  <c r="K9" i="2"/>
  <c r="A9" i="2"/>
  <c r="A8" i="2"/>
  <c r="A7" i="2"/>
  <c r="K6" i="2"/>
  <c r="A6" i="2"/>
  <c r="A5" i="2"/>
  <c r="A4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AK21" i="2"/>
  <c r="AN20" i="2"/>
  <c r="AL17" i="2"/>
  <c r="AL30" i="2"/>
  <c r="AO12" i="2"/>
  <c r="AO16" i="2"/>
  <c r="AO32" i="2"/>
  <c r="AK31" i="2"/>
  <c r="AN27" i="2"/>
  <c r="AN10" i="2"/>
  <c r="AK15" i="2"/>
  <c r="AL20" i="2"/>
  <c r="AL24" i="2"/>
  <c r="AO6" i="2"/>
  <c r="AO26" i="2"/>
  <c r="AN21" i="2"/>
  <c r="AO7" i="2"/>
  <c r="AL31" i="2"/>
  <c r="AN13" i="2"/>
  <c r="AL27" i="2"/>
  <c r="AO13" i="2"/>
  <c r="AO29" i="2"/>
  <c r="AL18" i="2"/>
  <c r="AO20" i="2"/>
  <c r="AN15" i="2"/>
  <c r="AL23" i="2"/>
  <c r="AO4" i="2"/>
  <c r="AL15" i="2"/>
  <c r="AO30" i="2"/>
  <c r="AO17" i="2"/>
  <c r="AK16" i="2"/>
  <c r="AL28" i="2"/>
  <c r="AO27" i="2"/>
  <c r="AO14" i="2"/>
  <c r="AL32" i="2"/>
  <c r="AL25" i="2"/>
  <c r="AO31" i="2"/>
  <c r="AO23" i="2"/>
  <c r="AN8" i="2"/>
  <c r="AO11" i="2"/>
  <c r="AL22" i="2"/>
  <c r="AO28" i="2"/>
  <c r="AO21" i="2"/>
  <c r="AL29" i="2"/>
  <c r="AO10" i="2"/>
  <c r="AK30" i="2"/>
  <c r="AO8" i="2"/>
  <c r="AL19" i="2"/>
  <c r="AO3" i="2"/>
  <c r="AO25" i="2"/>
  <c r="AO18" i="2"/>
  <c r="AL21" i="2"/>
  <c r="AO24" i="2"/>
  <c r="AN5" i="2"/>
  <c r="AN3" i="2"/>
  <c r="AK27" i="2"/>
  <c r="AN9" i="2"/>
  <c r="AK14" i="2"/>
  <c r="AN26" i="2"/>
  <c r="AN22" i="2"/>
  <c r="AO9" i="2"/>
  <c r="AO5" i="2"/>
  <c r="AL16" i="2"/>
  <c r="AL26" i="2"/>
  <c r="AO22" i="2"/>
  <c r="AO15" i="2"/>
  <c r="AL13" i="2"/>
  <c r="AL14" i="2"/>
  <c r="AO19" i="2"/>
  <c r="AK24" i="2"/>
  <c r="AN6" i="2"/>
  <c r="AN23" i="2"/>
  <c r="AN19" i="2"/>
  <c r="AN11" i="2"/>
  <c r="AK18" i="2"/>
  <c r="AN17" i="2"/>
  <c r="AN16" i="2"/>
  <c r="AK28" i="2"/>
  <c r="AN24" i="2"/>
  <c r="AN14" i="2"/>
  <c r="AK25" i="2"/>
  <c r="AN7" i="2"/>
  <c r="AK22" i="2"/>
  <c r="AN4" i="2"/>
  <c r="AK32" i="2"/>
  <c r="AN18" i="2"/>
  <c r="AK19" i="2"/>
  <c r="AK29" i="2"/>
  <c r="AK26" i="2"/>
  <c r="AK13" i="2"/>
  <c r="AQ13" i="2"/>
  <c r="AN30" i="2"/>
  <c r="AK23" i="2"/>
  <c r="AN31" i="2"/>
  <c r="AK20" i="2"/>
  <c r="AN32" i="2"/>
  <c r="AN28" i="2"/>
  <c r="AN12" i="2"/>
  <c r="AK17" i="2"/>
  <c r="AN29" i="2"/>
  <c r="AN25" i="2"/>
  <c r="AL12" i="2"/>
  <c r="AL3" i="2"/>
  <c r="AK11" i="2"/>
  <c r="AK6" i="2"/>
  <c r="AL9" i="2"/>
  <c r="AL6" i="2"/>
  <c r="AL10" i="2"/>
  <c r="AK4" i="2"/>
  <c r="AL7" i="2"/>
  <c r="AK12" i="2"/>
  <c r="AK3" i="2"/>
  <c r="AK8" i="2"/>
  <c r="AL11" i="2"/>
  <c r="AK7" i="2"/>
  <c r="AK5" i="2"/>
  <c r="AK10" i="2"/>
  <c r="AQ10" i="2"/>
  <c r="AK9" i="2"/>
  <c r="AL4" i="2"/>
  <c r="AL8" i="2"/>
  <c r="AL5" i="2"/>
  <c r="AQ20" i="2"/>
  <c r="AQ22" i="2"/>
  <c r="AQ9" i="2"/>
  <c r="AQ4" i="2"/>
  <c r="AQ6" i="2"/>
  <c r="AQ5" i="2"/>
  <c r="AQ8" i="2"/>
  <c r="AQ3" i="2"/>
  <c r="AR3" i="2"/>
  <c r="AQ7" i="2"/>
  <c r="AQ12" i="2"/>
  <c r="AQ26" i="2"/>
  <c r="AQ23" i="2"/>
  <c r="AQ17" i="2"/>
  <c r="AQ27" i="2"/>
  <c r="AQ25" i="2"/>
  <c r="AQ16" i="2"/>
  <c r="AQ21" i="2"/>
  <c r="AQ11" i="2"/>
  <c r="AQ15" i="2"/>
  <c r="AQ29" i="2"/>
  <c r="AQ19" i="2"/>
  <c r="AQ24" i="2"/>
  <c r="AQ28" i="2"/>
  <c r="AQ14" i="2"/>
  <c r="AQ18" i="2"/>
  <c r="AQ32" i="2"/>
  <c r="AQ30" i="2"/>
  <c r="AQ31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1" i="7"/>
</calcChain>
</file>

<file path=xl/sharedStrings.xml><?xml version="1.0" encoding="utf-8"?>
<sst xmlns="http://schemas.openxmlformats.org/spreadsheetml/2006/main" count="113" uniqueCount="59">
  <si>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</si>
  <si>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</si>
  <si>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</si>
  <si>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</si>
  <si>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</si>
  <si>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</si>
  <si>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</si>
  <si>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</si>
  <si>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</si>
  <si>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</si>
  <si>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</si>
  <si>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</si>
  <si>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</si>
  <si>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</si>
  <si>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</si>
  <si>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</si>
  <si>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</si>
  <si>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</si>
  <si>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</si>
  <si>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</si>
  <si>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</si>
  <si>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</si>
  <si>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</si>
  <si>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</si>
  <si>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</si>
  <si>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</si>
  <si>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</si>
  <si>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</si>
  <si>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</si>
  <si>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</si>
  <si>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</si>
  <si>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</si>
  <si>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</si>
  <si>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</si>
  <si>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</si>
  <si>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</si>
  <si>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</si>
  <si>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</si>
  <si>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</si>
  <si>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</si>
  <si>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</si>
  <si>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</si>
  <si>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</si>
  <si>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</si>
  <si>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</si>
  <si>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</si>
  <si>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</si>
  <si>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</si>
  <si>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eeprom char EE_STATE_BREAKS[3] = {</t>
  </si>
  <si>
    <t>A7</t>
  </si>
  <si>
    <t>A6</t>
  </si>
  <si>
    <t>B1</t>
  </si>
  <si>
    <t>B0</t>
  </si>
  <si>
    <t>ON</t>
  </si>
  <si>
    <t>ON &amp; BLINK</t>
  </si>
  <si>
    <t>PORTA</t>
  </si>
  <si>
    <t>PORTB</t>
  </si>
  <si>
    <t>eeprom char EE_STATES[30][5]= {</t>
  </si>
  <si>
    <t>Audio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</si>
</sst>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34"/>
  <sheetViews>
    <sheetView workbookViewId="0">
      <selection activeCell="R11" sqref="R11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23</v>
      </c>
      <c r="Q4" s="5" t="s">
        <v>21</v>
      </c>
      <c r="R4" s="5" t="s">
        <v>24</v>
      </c>
    </row>
    <row r="5" spans="1:18" x14ac:dyDescent="0.25">
      <c r="A5">
        <v>0</v>
      </c>
      <c r="B5">
        <v>0</v>
      </c>
      <c r="C5" s="3">
        <v>0</v>
      </c>
      <c r="D5" s="3">
        <f>78+4</f>
        <v>82</v>
      </c>
      <c r="E5" s="3">
        <f>C5+D5</f>
        <v>82</v>
      </c>
      <c r="F5" s="7">
        <v>1</v>
      </c>
      <c r="G5" s="8">
        <v>0</v>
      </c>
      <c r="H5" s="4">
        <v>0</v>
      </c>
      <c r="I5" s="7">
        <v>0</v>
      </c>
      <c r="J5" s="8">
        <v>0</v>
      </c>
      <c r="K5" s="4">
        <v>2</v>
      </c>
      <c r="L5" s="7">
        <v>1</v>
      </c>
      <c r="M5" s="8">
        <v>0</v>
      </c>
      <c r="N5" s="4">
        <v>0</v>
      </c>
      <c r="O5" s="7">
        <v>1</v>
      </c>
      <c r="P5" s="8">
        <v>0</v>
      </c>
      <c r="Q5" s="4">
        <v>0</v>
      </c>
      <c r="R5" s="4">
        <v>1</v>
      </c>
    </row>
    <row r="6" spans="1:18" x14ac:dyDescent="0.25">
      <c r="A6">
        <v>0</v>
      </c>
      <c r="B6">
        <v>1</v>
      </c>
      <c r="C6" s="3">
        <f t="shared" ref="C6:C7" si="0">E5</f>
        <v>82</v>
      </c>
      <c r="D6" s="3">
        <v>3</v>
      </c>
      <c r="E6" s="3">
        <f t="shared" ref="E6:E7" si="1">C6+D6</f>
        <v>85</v>
      </c>
      <c r="F6" s="7">
        <v>1</v>
      </c>
      <c r="G6" s="8">
        <v>0</v>
      </c>
      <c r="H6" s="4">
        <v>0</v>
      </c>
      <c r="I6" s="7">
        <v>0</v>
      </c>
      <c r="J6" s="8">
        <v>1</v>
      </c>
      <c r="K6" s="4">
        <v>0</v>
      </c>
      <c r="L6" s="7">
        <v>1</v>
      </c>
      <c r="M6" s="8">
        <v>0</v>
      </c>
      <c r="N6" s="4">
        <v>0</v>
      </c>
      <c r="O6" s="7">
        <v>1</v>
      </c>
      <c r="P6" s="8">
        <v>0</v>
      </c>
      <c r="Q6" s="4">
        <v>0</v>
      </c>
      <c r="R6" s="4">
        <v>1</v>
      </c>
    </row>
    <row r="7" spans="1:18" x14ac:dyDescent="0.25">
      <c r="A7">
        <v>0</v>
      </c>
      <c r="B7">
        <v>2</v>
      </c>
      <c r="C7" s="3">
        <f t="shared" si="0"/>
        <v>85</v>
      </c>
      <c r="D7" s="3">
        <v>6</v>
      </c>
      <c r="E7" s="3">
        <f t="shared" si="1"/>
        <v>91</v>
      </c>
      <c r="F7" s="7">
        <v>0</v>
      </c>
      <c r="G7" s="8">
        <v>0</v>
      </c>
      <c r="H7" s="4">
        <v>1</v>
      </c>
      <c r="I7" s="7">
        <v>1</v>
      </c>
      <c r="J7" s="8">
        <v>0</v>
      </c>
      <c r="K7" s="4">
        <v>0</v>
      </c>
      <c r="L7" s="7">
        <v>1</v>
      </c>
      <c r="M7" s="8">
        <v>0</v>
      </c>
      <c r="N7" s="4">
        <v>0</v>
      </c>
      <c r="O7" s="7">
        <v>1</v>
      </c>
      <c r="P7" s="8">
        <v>0</v>
      </c>
      <c r="Q7" s="4">
        <v>0</v>
      </c>
      <c r="R7" s="4">
        <v>1</v>
      </c>
    </row>
    <row r="8" spans="1:18" x14ac:dyDescent="0.25">
      <c r="A8">
        <v>0</v>
      </c>
      <c r="B8">
        <v>3</v>
      </c>
      <c r="C8" s="3">
        <f>E7</f>
        <v>91</v>
      </c>
      <c r="D8" s="3">
        <v>2</v>
      </c>
      <c r="E8" s="3">
        <f t="shared" ref="E8" si="2">C8+D8</f>
        <v>93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0</v>
      </c>
      <c r="B9">
        <v>4</v>
      </c>
      <c r="C9" s="3">
        <f>E8</f>
        <v>93</v>
      </c>
      <c r="D9" s="3">
        <v>2</v>
      </c>
      <c r="E9" s="3">
        <f t="shared" ref="E9" si="3">C9+D9</f>
        <v>95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0</v>
      </c>
      <c r="B10">
        <v>5</v>
      </c>
      <c r="C10" s="3">
        <f t="shared" ref="C10:C12" si="4">E9</f>
        <v>95</v>
      </c>
      <c r="D10" s="3">
        <v>21</v>
      </c>
      <c r="E10" s="3">
        <f t="shared" ref="E10:E12" si="5">C10+D10</f>
        <v>116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0</v>
      </c>
      <c r="B11">
        <v>6</v>
      </c>
      <c r="C11" s="3">
        <f t="shared" si="4"/>
        <v>116</v>
      </c>
      <c r="D11" s="3">
        <v>2</v>
      </c>
      <c r="E11" s="3">
        <f t="shared" si="5"/>
        <v>118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0</v>
      </c>
      <c r="B12">
        <v>7</v>
      </c>
      <c r="C12" s="3">
        <f t="shared" si="4"/>
        <v>118</v>
      </c>
      <c r="D12" s="3">
        <v>2</v>
      </c>
      <c r="E12" s="3">
        <f t="shared" si="5"/>
        <v>120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v>8</v>
      </c>
      <c r="C13" s="3">
        <f t="shared" ref="C13:C14" si="6">E12</f>
        <v>120</v>
      </c>
      <c r="D13" s="3">
        <v>0</v>
      </c>
      <c r="E13" s="3">
        <f t="shared" ref="E13:E14" si="7">C13+D13</f>
        <v>120</v>
      </c>
      <c r="F13" s="7"/>
      <c r="G13" s="8"/>
      <c r="H13" s="4"/>
      <c r="I13" s="7"/>
      <c r="J13" s="8"/>
      <c r="K13" s="4"/>
      <c r="L13" s="7"/>
      <c r="M13" s="8"/>
      <c r="N13" s="4"/>
      <c r="O13" s="7"/>
      <c r="P13" s="8"/>
      <c r="Q13" s="4"/>
      <c r="R13" s="4"/>
    </row>
    <row r="14" spans="1:18" x14ac:dyDescent="0.25">
      <c r="A14">
        <v>1</v>
      </c>
      <c r="B14">
        <v>9</v>
      </c>
      <c r="C14" s="3">
        <f t="shared" si="6"/>
        <v>120</v>
      </c>
      <c r="D14" s="3">
        <v>0</v>
      </c>
      <c r="E14" s="3">
        <f t="shared" si="7"/>
        <v>120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 x14ac:dyDescent="0.25">
      <c r="A15">
        <v>1</v>
      </c>
      <c r="B15">
        <v>10</v>
      </c>
      <c r="C15" s="3">
        <f t="shared" ref="C15:C20" si="8">E14</f>
        <v>120</v>
      </c>
      <c r="D15" s="3">
        <v>0</v>
      </c>
      <c r="E15" s="3">
        <f t="shared" ref="E15:E20" si="9">C15+D15</f>
        <v>120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 x14ac:dyDescent="0.25">
      <c r="A16">
        <v>1</v>
      </c>
      <c r="B16">
        <v>11</v>
      </c>
      <c r="C16" s="3">
        <f t="shared" si="8"/>
        <v>120</v>
      </c>
      <c r="D16" s="3">
        <v>0</v>
      </c>
      <c r="E16" s="3">
        <f t="shared" si="9"/>
        <v>120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 x14ac:dyDescent="0.25">
      <c r="A17">
        <v>1</v>
      </c>
      <c r="B17">
        <v>12</v>
      </c>
      <c r="C17" s="3">
        <f t="shared" si="8"/>
        <v>120</v>
      </c>
      <c r="D17" s="3">
        <v>0</v>
      </c>
      <c r="E17" s="3">
        <f t="shared" si="9"/>
        <v>120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 x14ac:dyDescent="0.25">
      <c r="A18">
        <v>1</v>
      </c>
      <c r="B18">
        <v>13</v>
      </c>
      <c r="C18" s="3">
        <f t="shared" si="8"/>
        <v>120</v>
      </c>
      <c r="D18" s="3">
        <v>0</v>
      </c>
      <c r="E18" s="3">
        <f t="shared" si="9"/>
        <v>120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 x14ac:dyDescent="0.25">
      <c r="A19">
        <v>1</v>
      </c>
      <c r="B19">
        <v>14</v>
      </c>
      <c r="C19" s="3">
        <f t="shared" si="8"/>
        <v>120</v>
      </c>
      <c r="D19" s="3">
        <v>0</v>
      </c>
      <c r="E19" s="3">
        <f t="shared" si="9"/>
        <v>120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 x14ac:dyDescent="0.25">
      <c r="A20">
        <v>1</v>
      </c>
      <c r="B20">
        <v>15</v>
      </c>
      <c r="C20" s="3">
        <f t="shared" si="8"/>
        <v>120</v>
      </c>
      <c r="D20" s="3">
        <v>0</v>
      </c>
      <c r="E20" s="3">
        <f t="shared" si="9"/>
        <v>120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 x14ac:dyDescent="0.25">
      <c r="A21">
        <v>1</v>
      </c>
      <c r="B21">
        <v>16</v>
      </c>
      <c r="C21" s="3">
        <f t="shared" ref="C21:C34" si="10">E20</f>
        <v>120</v>
      </c>
      <c r="D21" s="3">
        <v>0</v>
      </c>
      <c r="E21" s="3">
        <f t="shared" ref="E21:E34" si="11">C21+D21</f>
        <v>120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 x14ac:dyDescent="0.25">
      <c r="A22">
        <v>1</v>
      </c>
      <c r="B22">
        <v>17</v>
      </c>
      <c r="C22" s="3">
        <f t="shared" si="10"/>
        <v>120</v>
      </c>
      <c r="D22" s="3">
        <v>0</v>
      </c>
      <c r="E22" s="3">
        <f t="shared" si="11"/>
        <v>120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 x14ac:dyDescent="0.25">
      <c r="A23">
        <v>1</v>
      </c>
      <c r="B23">
        <v>18</v>
      </c>
      <c r="C23" s="3">
        <f t="shared" si="10"/>
        <v>120</v>
      </c>
      <c r="D23" s="3">
        <v>0</v>
      </c>
      <c r="E23" s="3">
        <f t="shared" si="11"/>
        <v>120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 x14ac:dyDescent="0.25">
      <c r="A24">
        <v>1</v>
      </c>
      <c r="B24">
        <v>19</v>
      </c>
      <c r="C24" s="3">
        <f t="shared" si="10"/>
        <v>120</v>
      </c>
      <c r="D24" s="3">
        <v>0</v>
      </c>
      <c r="E24" s="3">
        <f t="shared" si="11"/>
        <v>120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 x14ac:dyDescent="0.25">
      <c r="A25">
        <v>1</v>
      </c>
      <c r="B25">
        <v>20</v>
      </c>
      <c r="C25" s="3">
        <f t="shared" si="10"/>
        <v>120</v>
      </c>
      <c r="D25" s="3">
        <v>0</v>
      </c>
      <c r="E25" s="3">
        <f t="shared" si="11"/>
        <v>120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 x14ac:dyDescent="0.25">
      <c r="A26">
        <v>2</v>
      </c>
      <c r="B26">
        <v>21</v>
      </c>
      <c r="C26" s="3">
        <f t="shared" si="10"/>
        <v>120</v>
      </c>
      <c r="D26" s="3">
        <v>0</v>
      </c>
      <c r="E26" s="3">
        <f t="shared" si="11"/>
        <v>120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 x14ac:dyDescent="0.25">
      <c r="A27">
        <v>2</v>
      </c>
      <c r="B27">
        <v>22</v>
      </c>
      <c r="C27" s="3">
        <f t="shared" si="10"/>
        <v>120</v>
      </c>
      <c r="D27" s="3">
        <v>0</v>
      </c>
      <c r="E27" s="3">
        <f t="shared" si="11"/>
        <v>120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 x14ac:dyDescent="0.25">
      <c r="A28">
        <v>2</v>
      </c>
      <c r="B28">
        <v>23</v>
      </c>
      <c r="C28" s="3">
        <f t="shared" si="10"/>
        <v>120</v>
      </c>
      <c r="D28" s="3">
        <v>0</v>
      </c>
      <c r="E28" s="3">
        <f t="shared" si="11"/>
        <v>120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 x14ac:dyDescent="0.25">
      <c r="A29">
        <v>2</v>
      </c>
      <c r="B29">
        <v>24</v>
      </c>
      <c r="C29" s="3">
        <f t="shared" si="10"/>
        <v>120</v>
      </c>
      <c r="D29" s="3">
        <v>0</v>
      </c>
      <c r="E29" s="3">
        <f t="shared" si="11"/>
        <v>120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 x14ac:dyDescent="0.25">
      <c r="A30">
        <v>2</v>
      </c>
      <c r="B30">
        <v>25</v>
      </c>
      <c r="C30" s="3">
        <f t="shared" si="10"/>
        <v>120</v>
      </c>
      <c r="D30" s="3">
        <v>0</v>
      </c>
      <c r="E30" s="3">
        <f t="shared" si="11"/>
        <v>120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 x14ac:dyDescent="0.25">
      <c r="A31">
        <v>2</v>
      </c>
      <c r="B31">
        <v>26</v>
      </c>
      <c r="C31" s="3">
        <f t="shared" si="10"/>
        <v>120</v>
      </c>
      <c r="D31" s="3">
        <v>0</v>
      </c>
      <c r="E31" s="3">
        <f t="shared" si="11"/>
        <v>120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 x14ac:dyDescent="0.25">
      <c r="A32">
        <v>2</v>
      </c>
      <c r="B32">
        <v>27</v>
      </c>
      <c r="C32" s="3">
        <f t="shared" si="10"/>
        <v>120</v>
      </c>
      <c r="D32" s="3">
        <v>0</v>
      </c>
      <c r="E32" s="3">
        <f t="shared" si="11"/>
        <v>120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 x14ac:dyDescent="0.25">
      <c r="A33">
        <v>2</v>
      </c>
      <c r="B33">
        <v>28</v>
      </c>
      <c r="C33" s="3">
        <f t="shared" si="10"/>
        <v>120</v>
      </c>
      <c r="D33" s="3">
        <v>0</v>
      </c>
      <c r="E33" s="3">
        <f t="shared" si="11"/>
        <v>120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 x14ac:dyDescent="0.25">
      <c r="A34">
        <v>2</v>
      </c>
      <c r="B34">
        <v>29</v>
      </c>
      <c r="C34" s="3">
        <f t="shared" si="10"/>
        <v>120</v>
      </c>
      <c r="D34" s="3">
        <v>0</v>
      </c>
      <c r="E34" s="3">
        <f t="shared" si="11"/>
        <v>120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F5:Q34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F5:Q34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R5:R34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>
      <selection activeCell="M7" sqref="M7"/>
    </sheetView>
  </sheetViews>
  <sheetFormatPr defaultRowHeight="15" x14ac:dyDescent="0.25"/>
  <cols>
    <col min="1" max="1" width="10.42578125" bestFit="1" customWidth="1"/>
    <col min="2" max="2" width="10.140625" style="14" bestFit="1" customWidth="1"/>
    <col min="3" max="3" width="9.28515625" style="14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6" t="s">
        <v>37</v>
      </c>
      <c r="B1" s="17" t="s">
        <v>40</v>
      </c>
      <c r="C1" s="17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6">
        <v>0</v>
      </c>
      <c r="B2" s="14">
        <f>TIME(HOUR(C4),MINUTE(C4),SECOND(C4)+1)</f>
        <v>0</v>
      </c>
      <c r="C2" s="15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6">
        <v>1</v>
      </c>
      <c r="B3" s="14">
        <f>TIME(HOUR(C2),MINUTE(C2),SECOND(C2)+1)</f>
        <v>0</v>
      </c>
      <c r="C3" s="15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6">
        <v>2</v>
      </c>
      <c r="B4" s="14">
        <f>TIME(HOUR(C3),MINUTE(C3),SECOND(C3)+1)</f>
        <v>0</v>
      </c>
      <c r="C4" s="15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2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s="2" t="str">
        <f>CONCATENATE(C_D!C1,'C'!N1,STATE_BREAKS!G5,STATES!AR33,Audio!F2)</f>
        <v>eeprom char EE_C_D =0x00;eeprom char EE_C[3][3] = {{1, 81, 127},{1, 81, 127},{1, 81, 127},};eeprom char EE_STATE_BREAKS[3] = {8,21,30,};eeprom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};eeprom char EE_AUDIO[4]= {0xE5,0x00,0x00,0x00,};</v>
      </c>
    </row>
    <row r="2" spans="1:1" x14ac:dyDescent="0.25">
      <c r="A2" t="str">
        <f>CONCATENATE("eeprom char EE_Settings[167]={",STATES!AT32,'C'!M6,Audio!E33,STATE_BREAKS!G8,C_D!B1,"};")</f>
        <v>eeprom char EE_Settings[167]={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00,1, 81, 127,1, 81, 127,1, 81, 127,0xE5,0x00,0x00,0x00,8,21,30,0};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C3" sqref="C3"/>
    </sheetView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8"/>
  <sheetViews>
    <sheetView workbookViewId="0">
      <selection activeCell="G9" sqref="G9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  <c r="F1" t="s">
        <v>48</v>
      </c>
    </row>
    <row r="2" spans="1:7" x14ac:dyDescent="0.25">
      <c r="A2">
        <v>0</v>
      </c>
      <c r="B2">
        <v>0</v>
      </c>
      <c r="C2">
        <f>COUNTIF(States_Design!A:A,A2)</f>
        <v>8</v>
      </c>
      <c r="D2">
        <f>B2+C2</f>
        <v>8</v>
      </c>
      <c r="F2" t="str">
        <f>CONCATENATE(D2,",")</f>
        <v>8,</v>
      </c>
      <c r="G2" t="str">
        <f>CONCATENATE(F1,F2)</f>
        <v>eeprom char EE_STATE_BREAKS[3] = {8,</v>
      </c>
    </row>
    <row r="3" spans="1:7" x14ac:dyDescent="0.25">
      <c r="A3">
        <v>1</v>
      </c>
      <c r="B3">
        <f>D2</f>
        <v>8</v>
      </c>
      <c r="C3">
        <f>COUNTIF(States_Design!A:A,A3)</f>
        <v>13</v>
      </c>
      <c r="D3">
        <f t="shared" ref="D3:D4" si="0">B3+C3</f>
        <v>21</v>
      </c>
      <c r="F3" t="str">
        <f>CONCATENATE(D3,",")</f>
        <v>21,</v>
      </c>
      <c r="G3" t="str">
        <f>CONCATENATE(G2,F3)</f>
        <v>eeprom char EE_STATE_BREAKS[3] = {8,21,</v>
      </c>
    </row>
    <row r="4" spans="1:7" x14ac:dyDescent="0.25">
      <c r="A4">
        <v>2</v>
      </c>
      <c r="B4">
        <f>D3</f>
        <v>21</v>
      </c>
      <c r="C4">
        <f>COUNTIF(States_Design!A:A,A4)</f>
        <v>9</v>
      </c>
      <c r="D4">
        <f t="shared" si="0"/>
        <v>30</v>
      </c>
      <c r="F4" t="str">
        <f>CONCATENATE(D4,",")</f>
        <v>30,</v>
      </c>
      <c r="G4" t="str">
        <f t="shared" ref="G4:G5" si="1">CONCATENATE(G3,F4)</f>
        <v>eeprom char EE_STATE_BREAKS[3] = {8,21,30,</v>
      </c>
    </row>
    <row r="5" spans="1:7" x14ac:dyDescent="0.25">
      <c r="F5" t="s">
        <v>43</v>
      </c>
      <c r="G5" t="str">
        <f t="shared" si="1"/>
        <v>eeprom char EE_STATE_BREAKS[3] = {8,21,30,};</v>
      </c>
    </row>
    <row r="8" spans="1:7" x14ac:dyDescent="0.25">
      <c r="G8" t="str">
        <f>CONCATENATE(F2,F3,F4)</f>
        <v>8,21,30,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33"/>
  <sheetViews>
    <sheetView topLeftCell="AH11" workbookViewId="0">
      <selection activeCell="AT33" sqref="AT33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47.5703125" style="11" bestFit="1" customWidth="1"/>
    <col min="44" max="16384" width="9.140625" style="11"/>
  </cols>
  <sheetData>
    <row r="1" spans="1:46" x14ac:dyDescent="0.25">
      <c r="A1" s="11" t="s">
        <v>26</v>
      </c>
      <c r="C1" s="11" t="s">
        <v>49</v>
      </c>
      <c r="D1" s="11" t="s">
        <v>50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51</v>
      </c>
      <c r="R1" s="11" t="s">
        <v>52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53</v>
      </c>
      <c r="AL1" s="12"/>
      <c r="AN1" s="12" t="s">
        <v>54</v>
      </c>
      <c r="AO1" s="12"/>
    </row>
    <row r="2" spans="1:46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55</v>
      </c>
      <c r="AL2" s="11" t="s">
        <v>56</v>
      </c>
      <c r="AN2" s="11" t="s">
        <v>55</v>
      </c>
      <c r="AO2" s="11" t="s">
        <v>56</v>
      </c>
      <c r="AQ2" s="10" t="s">
        <v>57</v>
      </c>
      <c r="AR2" s="11" t="str">
        <f>AQ2</f>
        <v>eeprom char EE_STATES[30][5]= {</v>
      </c>
    </row>
    <row r="3" spans="1:46" x14ac:dyDescent="0.25">
      <c r="A3" s="11">
        <f>States_Design!D5</f>
        <v>82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0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0</v>
      </c>
      <c r="AA3" s="11">
        <f>IF(IFERROR(HLOOKUP(J$2,States_Design!$4:5,ROW()-1,FALSE),0)=2,1,0)</f>
        <v>1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0x20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0x01</v>
      </c>
      <c r="AO3" s="11" t="str">
        <f t="shared" ref="AO3:AO32" si="19">CONCATENATE("0x",BIN2HEX(CONCATENATE(AB3,AC3,AD3,AE3,AF3,AG3,AH3,AI3),2))</f>
        <v>0x00</v>
      </c>
      <c r="AQ3" s="13" t="str">
        <f t="shared" ref="AQ3:AQ32" si="20">CONCATENATE("{",A3,",",AK3,",",AL3,",",AN3,",",AO3,"},")</f>
        <v>{82,0x20,0x90,0x01,0x00},</v>
      </c>
      <c r="AR3" s="11" t="str">
        <f>CONCATENATE(AR2,AQ3)</f>
        <v>eeprom char EE_STATES[30][5]= {{82,0x20,0x90,0x01,0x00},</v>
      </c>
      <c r="AS3" s="11" t="str">
        <f>CONCATENATE(A3,",",AK3,",",AL3,",",AN3,",",AO3,",")</f>
        <v>82,0x20,0x90,0x01,0x00,</v>
      </c>
      <c r="AT3" s="11" t="str">
        <f>CONCATENATE(AT2,AS3)</f>
        <v>82,0x20,0x90,0x01,0x00,</v>
      </c>
    </row>
    <row r="4" spans="1:46" x14ac:dyDescent="0.25">
      <c r="A4" s="11">
        <f>States_Design!D6</f>
        <v>3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1</v>
      </c>
      <c r="F4" s="11">
        <f>IF(IFERROR(HLOOKUP(F$2,States_Design!$4:6,ROW()-1,FALSE),0)=1,1,0)</f>
        <v>0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1</v>
      </c>
      <c r="L4" s="11">
        <f>IF(IFERROR(HLOOKUP(L$2,States_Design!$4:6,ROW()-1,FALSE),0)=1,1,0)</f>
        <v>0</v>
      </c>
      <c r="M4" s="11">
        <f>IF(IFERROR(HLOOKUP(M$2,States_Design!$4:6,ROW()-1,FALSE),0)=1,1,0)</f>
        <v>0</v>
      </c>
      <c r="N4" s="11">
        <f>IF(IFERROR(HLOOKUP(N$2,States_Design!$4:6,ROW()-1,FALSE),0)=1,1,0)</f>
        <v>1</v>
      </c>
      <c r="O4" s="11">
        <f>IF(IFERROR(HLOOKUP(O$2,States_Design!$4:6,ROW()-1,FALSE),0)=1,1,0)</f>
        <v>0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0x22</v>
      </c>
      <c r="AL4" s="11" t="str">
        <f t="shared" si="17"/>
        <v>0x90</v>
      </c>
      <c r="AN4" s="11" t="str">
        <f t="shared" si="18"/>
        <v>0x00</v>
      </c>
      <c r="AO4" s="11" t="str">
        <f t="shared" si="19"/>
        <v>0x00</v>
      </c>
      <c r="AQ4" s="13" t="str">
        <f t="shared" si="20"/>
        <v>{3,0x22,0x90,0x00,0x00},</v>
      </c>
      <c r="AR4" s="11" t="str">
        <f>CONCATENATE(AR3,AQ4)</f>
        <v>eeprom char EE_STATES[30][5]= {{82,0x20,0x90,0x01,0x00},{3,0x22,0x90,0x00,0x00},</v>
      </c>
      <c r="AS4" s="11" t="str">
        <f t="shared" ref="AS4:AS33" si="21">CONCATENATE(A4,",",AK4,",",AL4,",",AN4,",",AO4,",")</f>
        <v>3,0x22,0x90,0x00,0x00,</v>
      </c>
      <c r="AT4" s="11" t="str">
        <f t="shared" ref="AT4:AT33" si="22">CONCATENATE(AT3,AS4)</f>
        <v>82,0x20,0x90,0x01,0x00,3,0x22,0x90,0x00,0x00,</v>
      </c>
    </row>
    <row r="5" spans="1:46" x14ac:dyDescent="0.25">
      <c r="A5" s="11">
        <f>States_Design!D7</f>
        <v>6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1</v>
      </c>
      <c r="I5" s="11">
        <f>IF(IFERROR(HLOOKUP(I$2,States_Design!$4:7,ROW()-1,FALSE),0)=1,1,0)</f>
        <v>0</v>
      </c>
      <c r="J5" s="11">
        <f>IF(IFERROR(HLOOKUP(J$2,States_Design!$4:7,ROW()-1,FALSE),0)=1,1,0)</f>
        <v>0</v>
      </c>
      <c r="K5" s="11">
        <f>IF(IFERROR(HLOOKUP(K$2,States_Design!$4:7,ROW()-1,FALSE),0)=1,1,0)</f>
        <v>1</v>
      </c>
      <c r="L5" s="11">
        <f>IF(IFERROR(HLOOKUP(L$2,States_Design!$4:7,ROW()-1,FALSE),0)=1,1,0)</f>
        <v>0</v>
      </c>
      <c r="M5" s="11">
        <f>IF(IFERROR(HLOOKUP(M$2,States_Design!$4:7,ROW()-1,FALSE),0)=1,1,0)</f>
        <v>0</v>
      </c>
      <c r="N5" s="11">
        <f>IF(IFERROR(HLOOKUP(N$2,States_Design!$4:7,ROW()-1,FALSE),0)=1,1,0)</f>
        <v>1</v>
      </c>
      <c r="O5" s="11">
        <f>IF(IFERROR(HLOOKUP(O$2,States_Design!$4:7,ROW()-1,FALSE),0)=1,1,0)</f>
        <v>0</v>
      </c>
      <c r="P5" s="11">
        <f>IF(IFERROR(HLOOKUP(P$2,States_Design!$4:7,ROW()-1,FALSE),0)=1,1,0)</f>
        <v>0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0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0x0C</v>
      </c>
      <c r="AL5" s="11" t="str">
        <f t="shared" si="17"/>
        <v>0x90</v>
      </c>
      <c r="AN5" s="11" t="str">
        <f t="shared" si="18"/>
        <v>0x00</v>
      </c>
      <c r="AO5" s="11" t="str">
        <f t="shared" si="19"/>
        <v>0x00</v>
      </c>
      <c r="AQ5" s="13" t="str">
        <f t="shared" si="20"/>
        <v>{6,0x0C,0x90,0x00,0x00},</v>
      </c>
      <c r="AR5" s="11" t="str">
        <f t="shared" ref="AR5:AR33" si="23">CONCATENATE(AR4,AQ5)</f>
        <v>eeprom char EE_STATES[30][5]= {{82,0x20,0x90,0x01,0x00},{3,0x22,0x90,0x00,0x00},{6,0x0C,0x90,0x00,0x00},</v>
      </c>
      <c r="AS5" s="11" t="str">
        <f t="shared" si="21"/>
        <v>6,0x0C,0x90,0x00,0x00,</v>
      </c>
      <c r="AT5" s="11" t="str">
        <f t="shared" si="22"/>
        <v>82,0x20,0x90,0x01,0x00,3,0x22,0x90,0x00,0x00,6,0x0C,0x90,0x00,0x00,</v>
      </c>
    </row>
    <row r="6" spans="1:46" x14ac:dyDescent="0.25">
      <c r="A6" s="11">
        <f>States_Design!D8</f>
        <v>2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3" t="str">
        <f t="shared" si="20"/>
        <v>{2,0x04,0x90,0x08,0x00},</v>
      </c>
      <c r="AR6" s="11" t="str">
        <f t="shared" si="23"/>
        <v>eeprom char EE_STATES[30][5]= {{82,0x20,0x90,0x01,0x00},{3,0x22,0x90,0x00,0x00},{6,0x0C,0x90,0x00,0x00},{2,0x04,0x90,0x08,0x00},</v>
      </c>
      <c r="AS6" s="11" t="str">
        <f t="shared" si="21"/>
        <v>2,0x04,0x90,0x08,0x00,</v>
      </c>
      <c r="AT6" s="11" t="str">
        <f t="shared" si="22"/>
        <v>82,0x20,0x90,0x01,0x00,3,0x22,0x90,0x00,0x00,6,0x0C,0x90,0x00,0x00,2,0x04,0x90,0x08,0x00,</v>
      </c>
    </row>
    <row r="7" spans="1:46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3" t="str">
        <f t="shared" si="20"/>
        <v>{2,0x14,0x90,0x00,0x00},</v>
      </c>
      <c r="AR7" s="11" t="str">
        <f t="shared" si="23"/>
        <v>eeprom char EE_STATES[30][5]= {{82,0x20,0x90,0x01,0x00},{3,0x22,0x90,0x00,0x00},{6,0x0C,0x90,0x00,0x00},{2,0x04,0x90,0x08,0x00},{2,0x14,0x90,0x00,0x00},</v>
      </c>
      <c r="AS7" s="11" t="str">
        <f t="shared" si="21"/>
        <v>2,0x14,0x90,0x00,0x00,</v>
      </c>
      <c r="AT7" s="11" t="str">
        <f t="shared" si="22"/>
        <v>82,0x20,0x90,0x01,0x00,3,0x22,0x90,0x00,0x00,6,0x0C,0x90,0x00,0x00,2,0x04,0x90,0x08,0x00,2,0x14,0x90,0x00,0x00,</v>
      </c>
    </row>
    <row r="8" spans="1:46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1</v>
      </c>
      <c r="P8" s="11">
        <f>IF(IFERROR(HLOOKUP(P$2,States_Design!$4:10,ROW()-1,FALSE),0)=1,1,0)</f>
        <v>0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0x28</v>
      </c>
      <c r="AN8" s="11" t="str">
        <f t="shared" si="18"/>
        <v>0x00</v>
      </c>
      <c r="AO8" s="11" t="str">
        <f t="shared" si="19"/>
        <v>0x00</v>
      </c>
      <c r="AQ8" s="13" t="str">
        <f t="shared" si="20"/>
        <v>{21,0x24,0x28,0x00,0x00},</v>
      </c>
      <c r="AR8" s="11" t="str">
        <f t="shared" si="23"/>
        <v>eeprom char EE_STATES[30][5]= {{82,0x20,0x90,0x01,0x00},{3,0x22,0x90,0x00,0x00},{6,0x0C,0x90,0x00,0x00},{2,0x04,0x90,0x08,0x00},{2,0x14,0x90,0x00,0x00},{21,0x24,0x28,0x00,0x00},</v>
      </c>
      <c r="AS8" s="11" t="str">
        <f t="shared" si="21"/>
        <v>21,0x24,0x28,0x00,0x00,</v>
      </c>
      <c r="AT8" s="11" t="str">
        <f t="shared" si="22"/>
        <v>82,0x20,0x90,0x01,0x00,3,0x22,0x90,0x00,0x00,6,0x0C,0x90,0x00,0x00,2,0x04,0x90,0x08,0x00,2,0x14,0x90,0x00,0x00,21,0x24,0x28,0x00,0x00,</v>
      </c>
    </row>
    <row r="9" spans="1:46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3" t="str">
        <f t="shared" si="20"/>
        <v>{2,0x24,0x10,0x00,0x20},</v>
      </c>
      <c r="AR9" s="11" t="str">
        <f t="shared" si="23"/>
        <v>eeprom char EE_STATES[30][5]= {{82,0x20,0x90,0x01,0x00},{3,0x22,0x90,0x00,0x00},{6,0x0C,0x90,0x00,0x00},{2,0x04,0x90,0x08,0x00},{2,0x14,0x90,0x00,0x00},{21,0x24,0x28,0x00,0x00},{2,0x24,0x10,0x00,0x20},</v>
      </c>
      <c r="AS9" s="11" t="str">
        <f t="shared" si="21"/>
        <v>2,0x24,0x10,0x00,0x20,</v>
      </c>
      <c r="AT9" s="11" t="str">
        <f t="shared" si="22"/>
        <v>82,0x20,0x90,0x01,0x00,3,0x22,0x90,0x00,0x00,6,0x0C,0x90,0x00,0x00,2,0x04,0x90,0x08,0x00,2,0x14,0x90,0x00,0x00,21,0x24,0x28,0x00,0x00,2,0x24,0x10,0x00,0x20,</v>
      </c>
    </row>
    <row r="10" spans="1:46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3" t="str">
        <f t="shared" si="20"/>
        <v>{2,0x24,0x50,0x00,0x00},</v>
      </c>
      <c r="AR10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</v>
      </c>
      <c r="AS10" s="11" t="str">
        <f t="shared" si="21"/>
        <v>2,0x24,0x50,0x00,0x00,</v>
      </c>
      <c r="AT10" s="11" t="str">
        <f t="shared" si="22"/>
        <v>82,0x20,0x90,0x01,0x00,3,0x22,0x90,0x00,0x00,6,0x0C,0x90,0x00,0x00,2,0x04,0x90,0x08,0x00,2,0x14,0x90,0x00,0x00,21,0x24,0x28,0x00,0x00,2,0x24,0x10,0x00,0x20,2,0x24,0x50,0x00,0x00,</v>
      </c>
    </row>
    <row r="11" spans="1:46" x14ac:dyDescent="0.25">
      <c r="A11" s="11">
        <f>States_Design!D13</f>
        <v>0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0</v>
      </c>
      <c r="X11" s="11">
        <f>IF(IFERROR(HLOOKUP(G$2,States_Design!$4:13,ROW()-1,FALSE),0)=2,1,0)</f>
        <v>0</v>
      </c>
      <c r="Y11" s="11">
        <f>IF(IFERROR(HLOOKUP(H$2,States_Design!$4:13,ROW()-1,FALSE),0)=2,1,0)</f>
        <v>0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0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0x00</v>
      </c>
      <c r="AO11" s="11" t="str">
        <f t="shared" si="19"/>
        <v>0x00</v>
      </c>
      <c r="AQ11" s="13" t="str">
        <f t="shared" si="20"/>
        <v>{0,0x00,0x00,0x00,0x00},</v>
      </c>
      <c r="AR11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</v>
      </c>
      <c r="AS11" s="11" t="str">
        <f t="shared" si="21"/>
        <v>0,0x00,0x00,0x00,0x00,</v>
      </c>
      <c r="AT11" s="11" t="str">
        <f t="shared" si="22"/>
        <v>82,0x20,0x90,0x01,0x00,3,0x22,0x90,0x00,0x00,6,0x0C,0x90,0x00,0x00,2,0x04,0x90,0x08,0x00,2,0x14,0x90,0x00,0x00,21,0x24,0x28,0x00,0x00,2,0x24,0x10,0x00,0x20,2,0x24,0x50,0x00,0x00,0,0x00,0x00,0x00,0x00,</v>
      </c>
    </row>
    <row r="12" spans="1:46" x14ac:dyDescent="0.25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3" t="str">
        <f t="shared" si="20"/>
        <v>{0,0x00,0x00,0x00,0x00},</v>
      </c>
      <c r="AR12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</v>
      </c>
      <c r="AS12" s="11" t="str">
        <f t="shared" si="21"/>
        <v>0,0x00,0x00,0x00,0x00,</v>
      </c>
      <c r="AT12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</v>
      </c>
    </row>
    <row r="13" spans="1:46" x14ac:dyDescent="0.25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3" t="str">
        <f t="shared" si="20"/>
        <v>{0,0x00,0x00,0x00,0x00},</v>
      </c>
      <c r="AR13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</v>
      </c>
      <c r="AS13" s="11" t="str">
        <f t="shared" si="21"/>
        <v>0,0x00,0x00,0x00,0x00,</v>
      </c>
      <c r="AT13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</v>
      </c>
    </row>
    <row r="14" spans="1:46" x14ac:dyDescent="0.25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3" t="str">
        <f t="shared" si="20"/>
        <v>{0,0x00,0x00,0x00,0x00},</v>
      </c>
      <c r="AR14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</v>
      </c>
      <c r="AS14" s="11" t="str">
        <f t="shared" si="21"/>
        <v>0,0x00,0x00,0x00,0x00,</v>
      </c>
      <c r="AT14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</v>
      </c>
    </row>
    <row r="15" spans="1:46" x14ac:dyDescent="0.25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3" t="str">
        <f t="shared" si="20"/>
        <v>{0,0x00,0x00,0x00,0x00},</v>
      </c>
      <c r="AR15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</v>
      </c>
      <c r="AS15" s="11" t="str">
        <f t="shared" si="21"/>
        <v>0,0x00,0x00,0x00,0x00,</v>
      </c>
      <c r="AT15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</v>
      </c>
    </row>
    <row r="16" spans="1:46" x14ac:dyDescent="0.25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3" t="str">
        <f t="shared" si="20"/>
        <v>{0,0x00,0x00,0x00,0x00},</v>
      </c>
      <c r="AR16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</v>
      </c>
      <c r="AS16" s="11" t="str">
        <f t="shared" si="21"/>
        <v>0,0x00,0x00,0x00,0x00,</v>
      </c>
      <c r="AT16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</v>
      </c>
    </row>
    <row r="17" spans="1:46" x14ac:dyDescent="0.25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3" t="str">
        <f t="shared" si="20"/>
        <v>{0,0x00,0x00,0x00,0x00},</v>
      </c>
      <c r="AR17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</v>
      </c>
      <c r="AS17" s="11" t="str">
        <f t="shared" si="21"/>
        <v>0,0x00,0x00,0x00,0x00,</v>
      </c>
      <c r="AT17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</v>
      </c>
    </row>
    <row r="18" spans="1:46" x14ac:dyDescent="0.25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3" t="str">
        <f t="shared" si="20"/>
        <v>{0,0x00,0x00,0x00,0x00},</v>
      </c>
      <c r="AR18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</v>
      </c>
      <c r="AS18" s="11" t="str">
        <f t="shared" si="21"/>
        <v>0,0x00,0x00,0x00,0x00,</v>
      </c>
      <c r="AT18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</v>
      </c>
    </row>
    <row r="19" spans="1:46" x14ac:dyDescent="0.25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3" t="str">
        <f t="shared" si="20"/>
        <v>{0,0x00,0x00,0x00,0x00},</v>
      </c>
      <c r="AR19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</v>
      </c>
      <c r="AS19" s="11" t="str">
        <f t="shared" si="21"/>
        <v>0,0x00,0x00,0x00,0x00,</v>
      </c>
      <c r="AT19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</v>
      </c>
    </row>
    <row r="20" spans="1:46" x14ac:dyDescent="0.25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3" t="str">
        <f t="shared" si="20"/>
        <v>{0,0x00,0x00,0x00,0x00},</v>
      </c>
      <c r="AR20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20" s="11" t="str">
        <f t="shared" si="21"/>
        <v>0,0x00,0x00,0x00,0x00,</v>
      </c>
      <c r="AT20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</v>
      </c>
    </row>
    <row r="21" spans="1:46" x14ac:dyDescent="0.25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3" t="str">
        <f t="shared" si="20"/>
        <v>{0,0x00,0x00,0x00,0x00},</v>
      </c>
      <c r="AR21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21" s="11" t="str">
        <f t="shared" si="21"/>
        <v>0,0x00,0x00,0x00,0x00,</v>
      </c>
      <c r="AT21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2" spans="1:46" x14ac:dyDescent="0.25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3" t="str">
        <f t="shared" si="20"/>
        <v>{0,0x00,0x00,0x00,0x00},</v>
      </c>
      <c r="AR22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22" s="11" t="str">
        <f t="shared" si="21"/>
        <v>0,0x00,0x00,0x00,0x00,</v>
      </c>
      <c r="AT22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3" spans="1:46" x14ac:dyDescent="0.25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3" t="str">
        <f t="shared" si="20"/>
        <v>{0,0x00,0x00,0x00,0x00},</v>
      </c>
      <c r="AR23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23" s="11" t="str">
        <f t="shared" si="21"/>
        <v>0,0x00,0x00,0x00,0x00,</v>
      </c>
      <c r="AT23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4" spans="1:46" x14ac:dyDescent="0.25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3" t="str">
        <f t="shared" si="20"/>
        <v>{0,0x00,0x00,0x00,0x00},</v>
      </c>
      <c r="AR24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24" s="11" t="str">
        <f t="shared" si="21"/>
        <v>0,0x00,0x00,0x00,0x00,</v>
      </c>
      <c r="AT24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5" spans="1:46" x14ac:dyDescent="0.25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3" t="str">
        <f t="shared" si="20"/>
        <v>{0,0x00,0x00,0x00,0x00},</v>
      </c>
      <c r="AR25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25" s="11" t="str">
        <f t="shared" si="21"/>
        <v>0,0x00,0x00,0x00,0x00,</v>
      </c>
      <c r="AT25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6" spans="1:46" x14ac:dyDescent="0.25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3" t="str">
        <f t="shared" si="20"/>
        <v>{0,0x00,0x00,0x00,0x00},</v>
      </c>
      <c r="AR26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26" s="11" t="str">
        <f t="shared" si="21"/>
        <v>0,0x00,0x00,0x00,0x00,</v>
      </c>
      <c r="AT26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7" spans="1:46" x14ac:dyDescent="0.25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3" t="str">
        <f t="shared" si="20"/>
        <v>{0,0x00,0x00,0x00,0x00},</v>
      </c>
      <c r="AR27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27" s="11" t="str">
        <f t="shared" si="21"/>
        <v>0,0x00,0x00,0x00,0x00,</v>
      </c>
      <c r="AT27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8" spans="1:46" x14ac:dyDescent="0.25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3" t="str">
        <f t="shared" si="20"/>
        <v>{0,0x00,0x00,0x00,0x00},</v>
      </c>
      <c r="AR28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28" s="11" t="str">
        <f t="shared" si="21"/>
        <v>0,0x00,0x00,0x00,0x00,</v>
      </c>
      <c r="AT28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29" spans="1:46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3" t="str">
        <f t="shared" si="20"/>
        <v>{0,0x00,0x00,0x00,0x00},</v>
      </c>
      <c r="AR29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29" s="11" t="str">
        <f t="shared" si="21"/>
        <v>0,0x00,0x00,0x00,0x00,</v>
      </c>
      <c r="AT29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0" spans="1:46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3" t="str">
        <f t="shared" si="20"/>
        <v>{0,0x00,0x00,0x00,0x00},</v>
      </c>
      <c r="AR30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30" s="11" t="str">
        <f t="shared" si="21"/>
        <v>0,0x00,0x00,0x00,0x00,</v>
      </c>
      <c r="AT30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1" spans="1:46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3" t="str">
        <f t="shared" si="20"/>
        <v>{0,0x00,0x00,0x00,0x00},</v>
      </c>
      <c r="AR31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31" s="11" t="str">
        <f t="shared" si="21"/>
        <v>0,0x00,0x00,0x00,0x00,</v>
      </c>
      <c r="AT31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2" spans="1:46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3" t="str">
        <f t="shared" si="20"/>
        <v>{0,0x00,0x00,0x00,0x00},</v>
      </c>
      <c r="AR32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</v>
      </c>
      <c r="AS32" s="11" t="str">
        <f t="shared" si="21"/>
        <v>0,0x00,0x00,0x00,0x00,</v>
      </c>
      <c r="AT32" s="11" t="str">
        <f t="shared" si="22"/>
        <v>82,0x20,0x90,0x01,0x00,3,0x22,0x90,0x00,0x00,6,0x0C,0x90,0x00,0x00,2,0x04,0x90,0x08,0x00,2,0x14,0x90,0x00,0x00,21,0x24,0x28,0x00,0x00,2,0x24,0x10,0x00,0x20,2,0x24,0x50,0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00,0,0x00,0x00,0x00,0x00,</v>
      </c>
    </row>
    <row r="33" spans="43:44" x14ac:dyDescent="0.25">
      <c r="AQ33" s="11" t="s">
        <v>43</v>
      </c>
      <c r="AR33" s="11" t="str">
        <f t="shared" si="23"/>
        <v>eeprom char EE_STATES[30][5]= {{82,0x20,0x90,0x01,0x00},{3,0x22,0x90,0x00,0x00},{6,0x0C,0x90,0x00,0x00},{2,0x04,0x90,0x08,0x00},{2,0x14,0x90,0x00,0x00},{21,0x24,0x28,0x00,0x00},{2,0x24,0x10,0x00,0x20},{2,0x24,0x50,0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{0,0x00,0x00,0x00,0x00},}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3"/>
  <sheetViews>
    <sheetView topLeftCell="A13" zoomScaleNormal="100" workbookViewId="0">
      <selection activeCell="E33" sqref="E33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6" x14ac:dyDescent="0.25">
      <c r="A1" t="s">
        <v>26</v>
      </c>
      <c r="B1" t="s">
        <v>58</v>
      </c>
    </row>
    <row r="2" spans="1:16" x14ac:dyDescent="0.25">
      <c r="A2">
        <f>States_Design!D5</f>
        <v>82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>IF(MOD((ROW()-1),8)=0,CONCATENATE("0x",BIN2HEX(C2,2),","),"")</f>
        <v/>
      </c>
      <c r="E2" t="str">
        <f>D2</f>
        <v/>
      </c>
      <c r="F2" t="str">
        <f>CONCATENATE("eeprom char EE_AUDIO[4]= {",E33,"};")</f>
        <v>eeprom char EE_AUDIO[4]= {0xE5,0x00,0x00,0x00,};</v>
      </c>
      <c r="L2">
        <f>B2</f>
        <v>1</v>
      </c>
    </row>
    <row r="3" spans="1:16" x14ac:dyDescent="0.25">
      <c r="A3">
        <f>States_Design!D6</f>
        <v>3</v>
      </c>
      <c r="B3">
        <f>IF(IFERROR(HLOOKUP("Audio",States_Design!$4:6,ROW(),FALSE),0)=1,1,0)</f>
        <v>1</v>
      </c>
      <c r="C3" t="str">
        <f t="shared" ref="C3:C31" si="0">IF(MOD((ROW()-2),8)=0,B3,CONCATENATE(C2,B3))</f>
        <v>11</v>
      </c>
      <c r="D3" t="str">
        <f t="shared" ref="D3:D33" si="1">IF(MOD((ROW()-1),8)=0,CONCATENATE("0x",BIN2HEX(C3,2),","),"")</f>
        <v/>
      </c>
      <c r="E3" t="str">
        <f>CONCATENATE(E2,D3)</f>
        <v/>
      </c>
      <c r="L3" t="str">
        <f>CONCATENATE(L2,B3)</f>
        <v>11</v>
      </c>
      <c r="O3">
        <f>2^32</f>
        <v>4294967296</v>
      </c>
    </row>
    <row r="4" spans="1:16" x14ac:dyDescent="0.25">
      <c r="A4">
        <f>States_Design!D7</f>
        <v>6</v>
      </c>
      <c r="B4">
        <f>IF(IFERROR(HLOOKUP("Audio",States_Design!$4:7,ROW(),FALSE),0)=1,1,0)</f>
        <v>1</v>
      </c>
      <c r="C4" t="str">
        <f t="shared" si="0"/>
        <v>111</v>
      </c>
      <c r="D4" t="str">
        <f t="shared" si="1"/>
        <v/>
      </c>
      <c r="E4" t="str">
        <f t="shared" ref="E4:E33" si="2">CONCATENATE(E3,D4)</f>
        <v/>
      </c>
      <c r="L4" t="str">
        <f t="shared" ref="L4:L33" si="3">CONCATENATE(L3,B4)</f>
        <v>111</v>
      </c>
      <c r="N4">
        <v>82</v>
      </c>
      <c r="O4">
        <f>HEX2DEC(N4)</f>
        <v>130</v>
      </c>
      <c r="P4">
        <f>O4*256*256*256</f>
        <v>2181038080</v>
      </c>
    </row>
    <row r="5" spans="1:16" x14ac:dyDescent="0.25">
      <c r="A5">
        <f>States_Design!D8</f>
        <v>2</v>
      </c>
      <c r="B5">
        <f>IF(IFERROR(HLOOKUP("Audio",States_Design!$4:8,ROW(),FALSE),0)=1,1,0)</f>
        <v>0</v>
      </c>
      <c r="C5" t="str">
        <f t="shared" si="0"/>
        <v>1110</v>
      </c>
      <c r="D5" t="str">
        <f t="shared" si="1"/>
        <v/>
      </c>
      <c r="E5" t="str">
        <f t="shared" si="2"/>
        <v/>
      </c>
      <c r="L5" t="str">
        <f t="shared" si="3"/>
        <v>1110</v>
      </c>
      <c r="N5">
        <v>2</v>
      </c>
      <c r="O5">
        <f t="shared" ref="O5:O7" si="4">HEX2DEC(N5)</f>
        <v>2</v>
      </c>
      <c r="P5">
        <f>O5*256*256</f>
        <v>131072</v>
      </c>
    </row>
    <row r="6" spans="1:16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0"/>
        <v>11100</v>
      </c>
      <c r="D6" t="str">
        <f t="shared" si="1"/>
        <v/>
      </c>
      <c r="E6" t="str">
        <f t="shared" si="2"/>
        <v/>
      </c>
      <c r="L6" t="str">
        <f t="shared" si="3"/>
        <v>11100</v>
      </c>
      <c r="N6">
        <v>2</v>
      </c>
      <c r="O6">
        <f t="shared" si="4"/>
        <v>2</v>
      </c>
      <c r="P6">
        <f>O6*256</f>
        <v>512</v>
      </c>
    </row>
    <row r="7" spans="1:16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0"/>
        <v>111001</v>
      </c>
      <c r="D7" t="str">
        <f t="shared" si="1"/>
        <v/>
      </c>
      <c r="E7" t="str">
        <f t="shared" si="2"/>
        <v/>
      </c>
      <c r="L7" t="str">
        <f t="shared" si="3"/>
        <v>111001</v>
      </c>
      <c r="N7">
        <v>28</v>
      </c>
      <c r="O7">
        <f t="shared" si="4"/>
        <v>40</v>
      </c>
      <c r="P7">
        <f>O7</f>
        <v>40</v>
      </c>
    </row>
    <row r="8" spans="1:16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0"/>
        <v>1110010</v>
      </c>
      <c r="D8" t="str">
        <f t="shared" si="1"/>
        <v/>
      </c>
      <c r="E8" t="str">
        <f t="shared" si="2"/>
        <v/>
      </c>
      <c r="L8" t="str">
        <f t="shared" si="3"/>
        <v>1110010</v>
      </c>
      <c r="P8">
        <f>SUM(P4:P7)</f>
        <v>2181169704</v>
      </c>
    </row>
    <row r="9" spans="1:16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0"/>
        <v>11100101</v>
      </c>
      <c r="D9" t="str">
        <f t="shared" si="1"/>
        <v>0xE5,</v>
      </c>
      <c r="E9" t="str">
        <f t="shared" si="2"/>
        <v>0xE5,</v>
      </c>
      <c r="L9" t="str">
        <f t="shared" si="3"/>
        <v>11100101</v>
      </c>
    </row>
    <row r="10" spans="1:16" x14ac:dyDescent="0.25">
      <c r="A10">
        <f>States_Design!D13</f>
        <v>0</v>
      </c>
      <c r="B10">
        <f>IF(IFERROR(HLOOKUP("Audio",States_Design!$4:13,ROW(),FALSE),0)=1,1,0)</f>
        <v>0</v>
      </c>
      <c r="C10">
        <f t="shared" si="0"/>
        <v>0</v>
      </c>
      <c r="D10" t="str">
        <f t="shared" si="1"/>
        <v/>
      </c>
      <c r="E10" t="str">
        <f t="shared" si="2"/>
        <v>0xE5,</v>
      </c>
      <c r="L10" t="str">
        <f t="shared" si="3"/>
        <v>111001010</v>
      </c>
    </row>
    <row r="11" spans="1:16" x14ac:dyDescent="0.25">
      <c r="A11">
        <f>States_Design!D14</f>
        <v>0</v>
      </c>
      <c r="B11">
        <f>IF(IFERROR(HLOOKUP("Audio",States_Design!$4:14,ROW(),FALSE),0)=1,1,0)</f>
        <v>0</v>
      </c>
      <c r="C11" t="str">
        <f t="shared" si="0"/>
        <v>00</v>
      </c>
      <c r="D11" t="str">
        <f t="shared" si="1"/>
        <v/>
      </c>
      <c r="E11" t="str">
        <f t="shared" si="2"/>
        <v>0xE5,</v>
      </c>
      <c r="L11" t="str">
        <f t="shared" si="3"/>
        <v>1110010100</v>
      </c>
    </row>
    <row r="12" spans="1:16" x14ac:dyDescent="0.25">
      <c r="A12">
        <f>States_Design!D15</f>
        <v>0</v>
      </c>
      <c r="B12">
        <f>IF(IFERROR(HLOOKUP("Audio",States_Design!$4:15,ROW(),FALSE),0)=1,1,0)</f>
        <v>0</v>
      </c>
      <c r="C12" t="str">
        <f t="shared" si="0"/>
        <v>000</v>
      </c>
      <c r="D12" t="str">
        <f t="shared" si="1"/>
        <v/>
      </c>
      <c r="E12" t="str">
        <f t="shared" si="2"/>
        <v>0xE5,</v>
      </c>
      <c r="L12" t="str">
        <f t="shared" si="3"/>
        <v>11100101000</v>
      </c>
    </row>
    <row r="13" spans="1:16" x14ac:dyDescent="0.25">
      <c r="A13">
        <f>States_Design!D16</f>
        <v>0</v>
      </c>
      <c r="B13">
        <f>IF(IFERROR(HLOOKUP("Audio",States_Design!$4:16,ROW(),FALSE),0)=1,1,0)</f>
        <v>0</v>
      </c>
      <c r="C13" t="str">
        <f t="shared" si="0"/>
        <v>0000</v>
      </c>
      <c r="D13" t="str">
        <f t="shared" si="1"/>
        <v/>
      </c>
      <c r="E13" t="str">
        <f t="shared" si="2"/>
        <v>0xE5,</v>
      </c>
      <c r="L13" t="str">
        <f t="shared" si="3"/>
        <v>111001010000</v>
      </c>
    </row>
    <row r="14" spans="1:16" x14ac:dyDescent="0.25">
      <c r="A14">
        <f>States_Design!D17</f>
        <v>0</v>
      </c>
      <c r="B14">
        <f>IF(IFERROR(HLOOKUP("Audio",States_Design!$4:17,ROW(),FALSE),0)=1,1,0)</f>
        <v>0</v>
      </c>
      <c r="C14" t="str">
        <f t="shared" si="0"/>
        <v>00000</v>
      </c>
      <c r="D14" t="str">
        <f t="shared" si="1"/>
        <v/>
      </c>
      <c r="E14" t="str">
        <f t="shared" si="2"/>
        <v>0xE5,</v>
      </c>
      <c r="L14" t="str">
        <f t="shared" si="3"/>
        <v>1110010100000</v>
      </c>
    </row>
    <row r="15" spans="1:16" x14ac:dyDescent="0.25">
      <c r="A15">
        <f>States_Design!D18</f>
        <v>0</v>
      </c>
      <c r="B15">
        <f>IF(IFERROR(HLOOKUP("Audio",States_Design!$4:18,ROW(),FALSE),0)=1,1,0)</f>
        <v>0</v>
      </c>
      <c r="C15" t="str">
        <f t="shared" si="0"/>
        <v>000000</v>
      </c>
      <c r="D15" t="str">
        <f t="shared" si="1"/>
        <v/>
      </c>
      <c r="E15" t="str">
        <f t="shared" si="2"/>
        <v>0xE5,</v>
      </c>
      <c r="L15" t="str">
        <f t="shared" si="3"/>
        <v>11100101000000</v>
      </c>
    </row>
    <row r="16" spans="1:16" x14ac:dyDescent="0.25">
      <c r="A16">
        <f>States_Design!D19</f>
        <v>0</v>
      </c>
      <c r="B16">
        <f>IF(IFERROR(HLOOKUP("Audio",States_Design!$4:19,ROW(),FALSE),0)=1,1,0)</f>
        <v>0</v>
      </c>
      <c r="C16" t="str">
        <f t="shared" si="0"/>
        <v>0000000</v>
      </c>
      <c r="D16" t="str">
        <f t="shared" si="1"/>
        <v/>
      </c>
      <c r="E16" t="str">
        <f t="shared" si="2"/>
        <v>0xE5,</v>
      </c>
      <c r="L16" t="str">
        <f t="shared" si="3"/>
        <v>111001010000000</v>
      </c>
    </row>
    <row r="17" spans="1:12" x14ac:dyDescent="0.25">
      <c r="A17">
        <f>States_Design!D20</f>
        <v>0</v>
      </c>
      <c r="B17">
        <f>IF(IFERROR(HLOOKUP("Audio",States_Design!$4:20,ROW(),FALSE),0)=1,1,0)</f>
        <v>0</v>
      </c>
      <c r="C17" t="str">
        <f t="shared" si="0"/>
        <v>00000000</v>
      </c>
      <c r="D17" t="str">
        <f t="shared" si="1"/>
        <v>0x00,</v>
      </c>
      <c r="E17" t="str">
        <f t="shared" si="2"/>
        <v>0xE5,0x00,</v>
      </c>
      <c r="L17" t="str">
        <f t="shared" si="3"/>
        <v>1110010100000000</v>
      </c>
    </row>
    <row r="18" spans="1:12" x14ac:dyDescent="0.25">
      <c r="A18">
        <f>States_Design!D21</f>
        <v>0</v>
      </c>
      <c r="B18">
        <f>IF(IFERROR(HLOOKUP("Audio",States_Design!$4:21,ROW(),FALSE),0)=1,1,0)</f>
        <v>0</v>
      </c>
      <c r="C18">
        <f t="shared" si="0"/>
        <v>0</v>
      </c>
      <c r="D18" t="str">
        <f t="shared" si="1"/>
        <v/>
      </c>
      <c r="E18" t="str">
        <f t="shared" si="2"/>
        <v>0xE5,0x00,</v>
      </c>
      <c r="L18" t="str">
        <f t="shared" si="3"/>
        <v>11100101000000000</v>
      </c>
    </row>
    <row r="19" spans="1:12" x14ac:dyDescent="0.25">
      <c r="A19">
        <f>States_Design!D22</f>
        <v>0</v>
      </c>
      <c r="B19">
        <f>IF(IFERROR(HLOOKUP("Audio",States_Design!$4:22,ROW(),FALSE),0)=1,1,0)</f>
        <v>0</v>
      </c>
      <c r="C19" t="str">
        <f t="shared" si="0"/>
        <v>00</v>
      </c>
      <c r="D19" t="str">
        <f t="shared" si="1"/>
        <v/>
      </c>
      <c r="E19" t="str">
        <f t="shared" si="2"/>
        <v>0xE5,0x00,</v>
      </c>
      <c r="L19" t="str">
        <f t="shared" si="3"/>
        <v>111001010000000000</v>
      </c>
    </row>
    <row r="20" spans="1:12" x14ac:dyDescent="0.25">
      <c r="A20">
        <f>States_Design!D23</f>
        <v>0</v>
      </c>
      <c r="B20">
        <f>IF(IFERROR(HLOOKUP("Audio",States_Design!$4:23,ROW(),FALSE),0)=1,1,0)</f>
        <v>0</v>
      </c>
      <c r="C20" t="str">
        <f t="shared" si="0"/>
        <v>000</v>
      </c>
      <c r="D20" t="str">
        <f t="shared" si="1"/>
        <v/>
      </c>
      <c r="E20" t="str">
        <f t="shared" si="2"/>
        <v>0xE5,0x00,</v>
      </c>
      <c r="L20" t="str">
        <f t="shared" si="3"/>
        <v>1110010100000000000</v>
      </c>
    </row>
    <row r="21" spans="1:12" x14ac:dyDescent="0.25">
      <c r="A21">
        <f>States_Design!D24</f>
        <v>0</v>
      </c>
      <c r="B21">
        <f>IF(IFERROR(HLOOKUP("Audio",States_Design!$4:24,ROW(),FALSE),0)=1,1,0)</f>
        <v>0</v>
      </c>
      <c r="C21" t="str">
        <f t="shared" si="0"/>
        <v>0000</v>
      </c>
      <c r="D21" t="str">
        <f t="shared" si="1"/>
        <v/>
      </c>
      <c r="E21" t="str">
        <f t="shared" si="2"/>
        <v>0xE5,0x00,</v>
      </c>
      <c r="L21" t="str">
        <f t="shared" si="3"/>
        <v>11100101000000000000</v>
      </c>
    </row>
    <row r="22" spans="1:12" x14ac:dyDescent="0.25">
      <c r="A22">
        <f>States_Design!D25</f>
        <v>0</v>
      </c>
      <c r="B22">
        <f>IF(IFERROR(HLOOKUP("Audio",States_Design!$4:25,ROW(),FALSE),0)=1,1,0)</f>
        <v>0</v>
      </c>
      <c r="C22" t="str">
        <f t="shared" si="0"/>
        <v>00000</v>
      </c>
      <c r="D22" t="str">
        <f t="shared" si="1"/>
        <v/>
      </c>
      <c r="E22" t="str">
        <f t="shared" si="2"/>
        <v>0xE5,0x00,</v>
      </c>
      <c r="L22" t="str">
        <f t="shared" si="3"/>
        <v>111001010000000000000</v>
      </c>
    </row>
    <row r="23" spans="1:12" x14ac:dyDescent="0.25">
      <c r="A23">
        <f>States_Design!D26</f>
        <v>0</v>
      </c>
      <c r="B23">
        <f>IF(IFERROR(HLOOKUP("Audio",States_Design!$4:26,ROW(),FALSE),0)=1,1,0)</f>
        <v>0</v>
      </c>
      <c r="C23" t="str">
        <f t="shared" si="0"/>
        <v>000000</v>
      </c>
      <c r="D23" t="str">
        <f t="shared" si="1"/>
        <v/>
      </c>
      <c r="E23" t="str">
        <f t="shared" si="2"/>
        <v>0xE5,0x00,</v>
      </c>
      <c r="L23" t="str">
        <f t="shared" si="3"/>
        <v>1110010100000000000000</v>
      </c>
    </row>
    <row r="24" spans="1:12" x14ac:dyDescent="0.25">
      <c r="A24">
        <f>States_Design!D27</f>
        <v>0</v>
      </c>
      <c r="B24">
        <f>IF(IFERROR(HLOOKUP("Audio",States_Design!$4:27,ROW(),FALSE),0)=1,1,0)</f>
        <v>0</v>
      </c>
      <c r="C24" t="str">
        <f t="shared" si="0"/>
        <v>0000000</v>
      </c>
      <c r="D24" t="str">
        <f t="shared" si="1"/>
        <v/>
      </c>
      <c r="E24" t="str">
        <f t="shared" si="2"/>
        <v>0xE5,0x00,</v>
      </c>
      <c r="L24" t="str">
        <f t="shared" si="3"/>
        <v>11100101000000000000000</v>
      </c>
    </row>
    <row r="25" spans="1:12" x14ac:dyDescent="0.25">
      <c r="A25">
        <f>States_Design!D28</f>
        <v>0</v>
      </c>
      <c r="B25">
        <f>IF(IFERROR(HLOOKUP("Audio",States_Design!$4:28,ROW(),FALSE),0)=1,1,0)</f>
        <v>0</v>
      </c>
      <c r="C25" t="str">
        <f t="shared" si="0"/>
        <v>00000000</v>
      </c>
      <c r="D25" t="str">
        <f t="shared" si="1"/>
        <v>0x00,</v>
      </c>
      <c r="E25" t="str">
        <f t="shared" si="2"/>
        <v>0xE5,0x00,0x00,</v>
      </c>
      <c r="L25" t="str">
        <f t="shared" si="3"/>
        <v>111001010000000000000000</v>
      </c>
    </row>
    <row r="26" spans="1:12" x14ac:dyDescent="0.25">
      <c r="A26">
        <f>States_Design!D29</f>
        <v>0</v>
      </c>
      <c r="B26">
        <f>IF(IFERROR(HLOOKUP("Audio",States_Design!$4:29,ROW(),FALSE),0)=1,1,0)</f>
        <v>0</v>
      </c>
      <c r="C26">
        <f t="shared" si="0"/>
        <v>0</v>
      </c>
      <c r="D26" t="str">
        <f t="shared" si="1"/>
        <v/>
      </c>
      <c r="E26" t="str">
        <f t="shared" si="2"/>
        <v>0xE5,0x00,0x00,</v>
      </c>
      <c r="L26" t="str">
        <f t="shared" si="3"/>
        <v>1110010100000000000000000</v>
      </c>
    </row>
    <row r="27" spans="1:12" x14ac:dyDescent="0.25">
      <c r="A27">
        <f>States_Design!D30</f>
        <v>0</v>
      </c>
      <c r="B27">
        <f>IF(IFERROR(HLOOKUP("Audio",States_Design!$4:30,ROW(),FALSE),0)=1,1,0)</f>
        <v>0</v>
      </c>
      <c r="C27" t="str">
        <f t="shared" si="0"/>
        <v>00</v>
      </c>
      <c r="D27" t="str">
        <f t="shared" si="1"/>
        <v/>
      </c>
      <c r="E27" t="str">
        <f t="shared" si="2"/>
        <v>0xE5,0x00,0x00,</v>
      </c>
      <c r="L27" t="str">
        <f t="shared" si="3"/>
        <v>11100101000000000000000000</v>
      </c>
    </row>
    <row r="28" spans="1:12" x14ac:dyDescent="0.25">
      <c r="A28">
        <f>States_Design!D31</f>
        <v>0</v>
      </c>
      <c r="B28">
        <f>IF(IFERROR(HLOOKUP("Audio",States_Design!$4:31,ROW(),FALSE),0)=1,1,0)</f>
        <v>0</v>
      </c>
      <c r="C28" t="str">
        <f t="shared" si="0"/>
        <v>000</v>
      </c>
      <c r="D28" t="str">
        <f t="shared" si="1"/>
        <v/>
      </c>
      <c r="E28" t="str">
        <f t="shared" si="2"/>
        <v>0xE5,0x00,0x00,</v>
      </c>
      <c r="L28" t="str">
        <f t="shared" si="3"/>
        <v>111001010000000000000000000</v>
      </c>
    </row>
    <row r="29" spans="1:12" x14ac:dyDescent="0.25">
      <c r="A29">
        <f>States_Design!D32</f>
        <v>0</v>
      </c>
      <c r="B29">
        <f>IF(IFERROR(HLOOKUP("Audio",States_Design!$4:32,ROW(),FALSE),0)=1,1,0)</f>
        <v>0</v>
      </c>
      <c r="C29" t="str">
        <f t="shared" si="0"/>
        <v>0000</v>
      </c>
      <c r="D29" t="str">
        <f t="shared" si="1"/>
        <v/>
      </c>
      <c r="E29" t="str">
        <f t="shared" si="2"/>
        <v>0xE5,0x00,0x00,</v>
      </c>
      <c r="L29" t="str">
        <f t="shared" si="3"/>
        <v>1110010100000000000000000000</v>
      </c>
    </row>
    <row r="30" spans="1:12" x14ac:dyDescent="0.25">
      <c r="A30">
        <f>States_Design!D33</f>
        <v>0</v>
      </c>
      <c r="B30">
        <f>IF(IFERROR(HLOOKUP("Audio",States_Design!$4:33,ROW(),FALSE),0)=1,1,0)</f>
        <v>0</v>
      </c>
      <c r="C30" t="str">
        <f t="shared" si="0"/>
        <v>00000</v>
      </c>
      <c r="D30" t="str">
        <f t="shared" si="1"/>
        <v/>
      </c>
      <c r="E30" t="str">
        <f t="shared" si="2"/>
        <v>0xE5,0x00,0x00,</v>
      </c>
      <c r="L30" t="str">
        <f t="shared" si="3"/>
        <v>11100101000000000000000000000</v>
      </c>
    </row>
    <row r="31" spans="1:12" x14ac:dyDescent="0.25">
      <c r="A31">
        <f>States_Design!D34</f>
        <v>0</v>
      </c>
      <c r="B31">
        <f>IF(IFERROR(HLOOKUP("Audio",States_Design!$4:34,ROW(),FALSE),0)=1,1,0)</f>
        <v>0</v>
      </c>
      <c r="C31" t="str">
        <f t="shared" si="0"/>
        <v>000000</v>
      </c>
      <c r="D31" t="str">
        <f t="shared" si="1"/>
        <v/>
      </c>
      <c r="E31" t="str">
        <f t="shared" si="2"/>
        <v>0xE5,0x00,0x00,</v>
      </c>
      <c r="L31" t="str">
        <f t="shared" si="3"/>
        <v>111001010000000000000000000000</v>
      </c>
    </row>
    <row r="32" spans="1:12" x14ac:dyDescent="0.25">
      <c r="A32">
        <f>States_Design!D35</f>
        <v>0</v>
      </c>
      <c r="B32">
        <f>IF(IFERROR(HLOOKUP("Audio",States_Design!$4:35,ROW(),FALSE),0)=1,1,0)</f>
        <v>0</v>
      </c>
      <c r="C32" t="str">
        <f t="shared" ref="C32:C33" si="5">IF(MOD((ROW()-2),8)=0,B32,CONCATENATE(C31,B32))</f>
        <v>0000000</v>
      </c>
      <c r="D32" t="str">
        <f t="shared" si="1"/>
        <v/>
      </c>
      <c r="E32" t="str">
        <f t="shared" si="2"/>
        <v>0xE5,0x00,0x00,</v>
      </c>
      <c r="L32" t="str">
        <f t="shared" si="3"/>
        <v>1110010100000000000000000000000</v>
      </c>
    </row>
    <row r="33" spans="1:12" x14ac:dyDescent="0.25">
      <c r="A33">
        <f>States_Design!D36</f>
        <v>0</v>
      </c>
      <c r="B33">
        <f>IF(IFERROR(HLOOKUP("Audio",States_Design!$4:36,ROW(),FALSE),0)=1,1,0)</f>
        <v>0</v>
      </c>
      <c r="C33" t="str">
        <f t="shared" si="5"/>
        <v>00000000</v>
      </c>
      <c r="D33" t="str">
        <f t="shared" si="1"/>
        <v>0x00,</v>
      </c>
      <c r="E33" t="str">
        <f t="shared" si="2"/>
        <v>0xE5,0x00,0x00,0x00,</v>
      </c>
      <c r="L33" t="str">
        <f t="shared" si="3"/>
        <v>11100101000000000000000000000000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SystemDesign</vt:lpstr>
      <vt:lpstr>States_Design</vt:lpstr>
      <vt:lpstr>C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2017-03-09T03:34:08Z</dcterms:modified>
  <cp:category/>
  <cp:contentStatus/>
</cp:coreProperties>
</file>