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<sst xmlns="http://schemas.openxmlformats.org/spreadsheetml/2006/main" count="32" uniqueCount="24">
  <si>
    <t xml:space="preserve">klasa</t>
  </si>
  <si>
    <t xml:space="preserve">add()sredni [sec]</t>
  </si>
  <si>
    <t xml:space="preserve">add()oschylenie [sec]</t>
  </si>
  <si>
    <t xml:space="preserve">remove() srednia [sec]</t>
  </si>
  <si>
    <t xml:space="preserve">remove() oschylenie [sec]</t>
  </si>
  <si>
    <t xml:space="preserve">contains() srednia [sec]</t>
  </si>
  <si>
    <t xml:space="preserve">contains() odchylenie [sec]</t>
  </si>
  <si>
    <t xml:space="preserve">narzut pamięciowy (jvisualVM) [bajty]</t>
  </si>
  <si>
    <t xml:space="preserve">odchylenie standardowe jvisualvm</t>
  </si>
  <si>
    <t xml:space="preserve">narzut pamięciowy (java,lang,Runtime.totalMemory()) [bajty]</t>
  </si>
  <si>
    <t xml:space="preserve">oschylenie standardowe Memory()</t>
  </si>
  <si>
    <t xml:space="preserve">Ilosc elementow</t>
  </si>
  <si>
    <t xml:space="preserve">narzut pamięciowy (java.lang.Runtime.totalMemory()) [bajty]</t>
  </si>
  <si>
    <t xml:space="preserve">narzut pamięciowy 1el. (jvisualVM) [bajty]</t>
  </si>
  <si>
    <t xml:space="preserve">narzut pamięciowy 1el. (java.lang.Runtime.totalMemory()) [bajty]</t>
  </si>
  <si>
    <t xml:space="preserve">Tab Pomoc jvisualvm</t>
  </si>
  <si>
    <t xml:space="preserve">wbudowana</t>
  </si>
  <si>
    <t xml:space="preserve">ArrayList</t>
  </si>
  <si>
    <t xml:space="preserve">HashSet</t>
  </si>
  <si>
    <t xml:space="preserve">LinkedList</t>
  </si>
  <si>
    <t xml:space="preserve">Stack</t>
  </si>
  <si>
    <t xml:space="preserve">Vector</t>
  </si>
  <si>
    <t xml:space="preserve">PriorityQueue</t>
  </si>
  <si>
    <t xml:space="preserve">TreeSet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</si>
</sst>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00CC"/>
        <bgColor rgb="FFFF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11.5204081632653"/>
    <col collapsed="false" hidden="false" max="2" min="2" style="0" width="14.1989795918367"/>
    <col collapsed="false" hidden="false" max="3" min="3" style="0" width="11.5204081632653"/>
    <col collapsed="false" hidden="false" max="4" min="4" style="0" width="13.5459183673469"/>
    <col collapsed="false" hidden="false" max="5" min="5" style="0" width="14.4438775510204"/>
    <col collapsed="false" hidden="false" max="6" min="6" style="0" width="19.5714285714286"/>
    <col collapsed="false" hidden="false" max="7" min="7" style="0" width="25.1377551020408"/>
    <col collapsed="false" hidden="false" max="9" min="8" style="0" width="11.5204081632653"/>
    <col collapsed="false" hidden="false" max="10" min="10" style="0" width="13.3571428571429"/>
    <col collapsed="false" hidden="false" max="1025" min="11" style="0" width="11.5204081632653"/>
  </cols>
  <sheetData>
    <row r="2" customFormat="false" ht="82.4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O2" s="3"/>
      <c r="P2" s="4" t="s">
        <v>11</v>
      </c>
      <c r="Q2" s="4" t="s">
        <v>7</v>
      </c>
      <c r="R2" s="4" t="s">
        <v>12</v>
      </c>
      <c r="S2" s="4" t="s">
        <v>13</v>
      </c>
      <c r="T2" s="4" t="s">
        <v>14</v>
      </c>
      <c r="X2" s="0" t="s">
        <v>15</v>
      </c>
      <c r="Y2" s="0" t="s">
        <v>16</v>
      </c>
    </row>
    <row r="3" customFormat="false" ht="12.95" hidden="false" customHeight="true" outlineLevel="0" collapsed="false">
      <c r="A3" s="1" t="s">
        <v>17</v>
      </c>
      <c r="B3" s="5" t="n">
        <f aca="false">7.711896*10^(-4)</f>
        <v>0.0007711896</v>
      </c>
      <c r="C3" s="5" t="n">
        <f aca="false">4.92942163059765*10^-4</f>
        <v>0.000492942163059765</v>
      </c>
      <c r="D3" s="5" t="n">
        <v>0.0037208573</v>
      </c>
      <c r="E3" s="5" t="n">
        <v>0.00142130867391232</v>
      </c>
      <c r="F3" s="5" t="n">
        <f aca="false">5.650039*10^-4</f>
        <v>0.0005650039</v>
      </c>
      <c r="G3" s="5" t="n">
        <f aca="false">4.17240423668525*10^-4</f>
        <v>0.000417240423668525</v>
      </c>
      <c r="H3" s="6" t="n">
        <f aca="false">SUM(S3:S10)/8</f>
        <v>30.5745575</v>
      </c>
      <c r="I3" s="6" t="n">
        <f aca="false">SQRT( SUM(X3:X10)/8)</f>
        <v>2.32036524827854</v>
      </c>
      <c r="J3" s="5" t="n">
        <f aca="false">SUM(T3:T10)/8</f>
        <v>13.94148</v>
      </c>
      <c r="K3" s="5" t="n">
        <f aca="false">SQRT( SUM(Y3:Y10)/8)</f>
        <v>13.9414800003443</v>
      </c>
      <c r="O3" s="1" t="s">
        <v>17</v>
      </c>
      <c r="P3" s="1" t="n">
        <v>100000</v>
      </c>
      <c r="Q3" s="1" t="n">
        <f aca="false">4946460-2089034</f>
        <v>2857426</v>
      </c>
      <c r="R3" s="1" t="n">
        <v>2788272</v>
      </c>
      <c r="S3" s="1" t="n">
        <f aca="false">Q3/P3</f>
        <v>28.57426</v>
      </c>
      <c r="T3" s="1" t="n">
        <f aca="false">R3/P3</f>
        <v>27.88272</v>
      </c>
      <c r="X3" s="0" t="n">
        <f aca="false">(S3-H$3)^2</f>
        <v>4.00119008850626</v>
      </c>
      <c r="Y3" s="0" t="n">
        <f aca="false">(T3-J$3)^2</f>
        <v>194.3581727376</v>
      </c>
      <c r="AH3" s="7"/>
    </row>
    <row r="4" customFormat="false" ht="12.95" hidden="false" customHeight="false" outlineLevel="0" collapsed="false">
      <c r="A4" s="1" t="s">
        <v>18</v>
      </c>
      <c r="B4" s="5" t="n">
        <v>0.0019578287</v>
      </c>
      <c r="C4" s="5" t="n">
        <f aca="false">9.34794239515633*10^-4</f>
        <v>0.000934794239515633</v>
      </c>
      <c r="D4" s="5" t="n">
        <v>0.0011769457</v>
      </c>
      <c r="E4" s="5" t="n">
        <f aca="false">8.93309891134588*10^-4</f>
        <v>0.000893309891134588</v>
      </c>
      <c r="F4" s="5" t="n">
        <v>0.0011307541</v>
      </c>
      <c r="G4" s="5" t="n">
        <f aca="false">9.06023279466974*10^-4</f>
        <v>0.000906023279466974</v>
      </c>
      <c r="H4" s="6" t="n">
        <f aca="false">SUM(S11:S18)/8</f>
        <v>82.16029</v>
      </c>
      <c r="I4" s="6" t="n">
        <f aca="false">SQRT( SUM(X11:X18)/8)</f>
        <v>2.99376507646726</v>
      </c>
      <c r="J4" s="5" t="n">
        <f aca="false">SUM(T11:T18)/8</f>
        <v>33.86952</v>
      </c>
      <c r="K4" s="5" t="n">
        <f aca="false">SQRT( SUM(Y11:Y18)/8)</f>
        <v>33.8695200039682</v>
      </c>
      <c r="O4" s="1"/>
      <c r="P4" s="1" t="n">
        <v>100000</v>
      </c>
      <c r="Q4" s="1" t="n">
        <f aca="false">4936888-2086958</f>
        <v>2849930</v>
      </c>
      <c r="R4" s="1" t="n">
        <v>2788304</v>
      </c>
      <c r="S4" s="1" t="n">
        <f aca="false">Q4/P4</f>
        <v>28.4993</v>
      </c>
      <c r="T4" s="1" t="n">
        <f aca="false">R4/P4</f>
        <v>27.88304</v>
      </c>
      <c r="X4" s="0" t="n">
        <f aca="false">(S4-$H$3)^2</f>
        <v>4.30669369130625</v>
      </c>
      <c r="Y4" s="0" t="n">
        <f aca="false">(T4-J$3)^2</f>
        <v>194.3670952336</v>
      </c>
      <c r="AH4" s="7"/>
      <c r="AI4" s="7"/>
    </row>
    <row r="5" customFormat="false" ht="12.95" hidden="false" customHeight="false" outlineLevel="0" collapsed="false">
      <c r="A5" s="1" t="s">
        <v>19</v>
      </c>
      <c r="B5" s="5" t="n">
        <f aca="false">9.58696 * 10^-4</f>
        <v>0.000958696</v>
      </c>
      <c r="C5" s="5" t="n">
        <f aca="false">9.81691798666567*10^-4</f>
        <v>0.000981691798666567</v>
      </c>
      <c r="D5" s="5" t="n">
        <v>0.0457781307</v>
      </c>
      <c r="E5" s="5" t="n">
        <v>0.00657137267816044</v>
      </c>
      <c r="F5" s="5" t="n">
        <f aca="false">4.719178*10^-4</f>
        <v>0.0004719178</v>
      </c>
      <c r="G5" s="5" t="n">
        <f aca="false">6.42574317538103*10^-4</f>
        <v>0.000642574317538103</v>
      </c>
      <c r="H5" s="6" t="n">
        <f aca="false">SUM(S19:S26)/8</f>
        <v>61.0625975</v>
      </c>
      <c r="I5" s="6" t="n">
        <f aca="false">SQRT( SUM(X19:X26)/8)</f>
        <v>1.29032790430136</v>
      </c>
      <c r="J5" s="6" t="n">
        <f aca="false">SUM(T19:T26)/8</f>
        <v>19.50395</v>
      </c>
      <c r="K5" s="6" t="n">
        <f aca="false">SQRT( SUM(Y19:Y26)/8)</f>
        <v>19.5039500002615</v>
      </c>
      <c r="O5" s="1"/>
      <c r="P5" s="1" t="n">
        <v>100000</v>
      </c>
      <c r="Q5" s="1" t="n">
        <f aca="false">4937114-2082203</f>
        <v>2854911</v>
      </c>
      <c r="R5" s="1" t="n">
        <v>2788304</v>
      </c>
      <c r="S5" s="1" t="n">
        <f aca="false">Q5/P5</f>
        <v>28.54911</v>
      </c>
      <c r="T5" s="1" t="n">
        <f aca="false">R5/P5</f>
        <v>27.88304</v>
      </c>
      <c r="X5" s="0" t="n">
        <f aca="false">(S5-$H$3)^2</f>
        <v>4.10243757525626</v>
      </c>
      <c r="Y5" s="0" t="n">
        <f aca="false">(T5-J$3)^2</f>
        <v>194.3670952336</v>
      </c>
      <c r="AH5" s="7"/>
      <c r="AI5" s="7"/>
    </row>
    <row r="6" customFormat="false" ht="12.95" hidden="false" customHeight="false" outlineLevel="0" collapsed="false">
      <c r="A6" s="1" t="s">
        <v>20</v>
      </c>
      <c r="B6" s="5" t="n">
        <f aca="false">6.981708*10^-4</f>
        <v>0.0006981708</v>
      </c>
      <c r="C6" s="5" t="n">
        <f aca="false">4.92381939135221*10^-4</f>
        <v>0.000492381939135221</v>
      </c>
      <c r="D6" s="5" t="n">
        <v>0.0033129652</v>
      </c>
      <c r="E6" s="5" t="n">
        <f aca="false">9.09709002994172*10^-4</f>
        <v>0.000909709002994172</v>
      </c>
      <c r="F6" s="5" t="n">
        <f aca="false">8.77863*10^-4</f>
        <v>0.000877863</v>
      </c>
      <c r="G6" s="5" t="n">
        <f aca="false">6.88290069902654*10^-4</f>
        <v>0.000688290069902654</v>
      </c>
      <c r="H6" s="6" t="n">
        <f aca="false">SUM(S27:S34)/8</f>
        <v>30.65587125</v>
      </c>
      <c r="I6" s="6" t="n">
        <f aca="false">SQRT( SUM(X27:X34)/8)</f>
        <v>2.57638046626676</v>
      </c>
      <c r="J6" s="6" t="n">
        <f aca="false">SUM(T27:T34)/8</f>
        <v>13.84804</v>
      </c>
      <c r="K6" s="6" t="n">
        <f aca="false">SQRT( SUM(Y27:Y34)/8)</f>
        <v>13.8480400003466</v>
      </c>
      <c r="O6" s="1"/>
      <c r="P6" s="1" t="n">
        <v>100000</v>
      </c>
      <c r="Q6" s="1" t="n">
        <f aca="false">4935216-2082617</f>
        <v>2852599</v>
      </c>
      <c r="R6" s="1" t="n">
        <v>2788304</v>
      </c>
      <c r="S6" s="1" t="n">
        <f aca="false">Q6/P6</f>
        <v>28.52599</v>
      </c>
      <c r="T6" s="1" t="n">
        <f aca="false">R6/P6</f>
        <v>27.88304</v>
      </c>
      <c r="X6" s="0" t="n">
        <f aca="false">(S6-$H$3)^2</f>
        <v>4.19662880205625</v>
      </c>
      <c r="Y6" s="0" t="n">
        <f aca="false">(T6-J$3)^2</f>
        <v>194.3670952336</v>
      </c>
      <c r="AH6" s="7"/>
      <c r="AI6" s="7"/>
    </row>
    <row r="7" customFormat="false" ht="12.95" hidden="false" customHeight="false" outlineLevel="0" collapsed="false">
      <c r="A7" s="1" t="s">
        <v>21</v>
      </c>
      <c r="B7" s="5" t="n">
        <f aca="false">6.139616*10^-4</f>
        <v>0.0006139616</v>
      </c>
      <c r="C7" s="5" t="n">
        <f aca="false">2.50072531783561*10^-4</f>
        <v>0.000250072531783561</v>
      </c>
      <c r="D7" s="5" t="n">
        <v>0.0031663423</v>
      </c>
      <c r="E7" s="5" t="n">
        <f aca="false">5.82143182352151*10^-4</f>
        <v>0.000582143182352151</v>
      </c>
      <c r="F7" s="5" t="n">
        <f aca="false">4.868599*10^-4</f>
        <v>0.0004868599</v>
      </c>
      <c r="G7" s="5" t="n">
        <f aca="false">1.78101648383978*10^-4</f>
        <v>0.000178101648383978</v>
      </c>
      <c r="H7" s="6" t="n">
        <f aca="false">SUM(S35:S42)/8</f>
        <v>31.32011</v>
      </c>
      <c r="I7" s="6" t="n">
        <f aca="false">SQRT( SUM(X35:X42)/8)</f>
        <v>2.07474924990347</v>
      </c>
      <c r="J7" s="6" t="n">
        <f aca="false">SUM(T35:T42)/8</f>
        <v>13.84806</v>
      </c>
      <c r="K7" s="5" t="n">
        <f aca="false">SQRT( SUM(Y35:Y42)/8)</f>
        <v>13.8480600000867</v>
      </c>
      <c r="O7" s="1"/>
      <c r="P7" s="1" t="n">
        <v>10000</v>
      </c>
      <c r="Q7" s="1" t="n">
        <f aca="false">2395159-2082882</f>
        <v>312277</v>
      </c>
      <c r="R7" s="1" t="n">
        <v>0</v>
      </c>
      <c r="S7" s="1" t="n">
        <f aca="false">Q7/P7</f>
        <v>31.2277</v>
      </c>
      <c r="T7" s="1" t="n">
        <f aca="false">R7/P7</f>
        <v>0</v>
      </c>
      <c r="X7" s="0" t="n">
        <f aca="false">(S7-$H$3)^2</f>
        <v>0.426595125306247</v>
      </c>
      <c r="Y7" s="0" t="n">
        <f aca="false">(T7-J$3)^2</f>
        <v>194.3648645904</v>
      </c>
      <c r="AH7" s="7"/>
      <c r="AI7" s="7"/>
    </row>
    <row r="8" customFormat="false" ht="24.5" hidden="false" customHeight="false" outlineLevel="0" collapsed="false">
      <c r="A8" s="1" t="s">
        <v>22</v>
      </c>
      <c r="B8" s="5" t="n">
        <f aca="false">7.361958*10^-4</f>
        <v>0.0007361958</v>
      </c>
      <c r="C8" s="5" t="n">
        <f aca="false">8.1746160616714*10^-4</f>
        <v>0.00081746160616714</v>
      </c>
      <c r="D8" s="5" t="n">
        <v>0.0561191943</v>
      </c>
      <c r="E8" s="5" t="n">
        <v>0.0168717095905247</v>
      </c>
      <c r="F8" s="5" t="n">
        <v>0.0487355768</v>
      </c>
      <c r="G8" s="5" t="n">
        <v>0.0111067721884631</v>
      </c>
      <c r="H8" s="6" t="n">
        <f aca="false">SUM(S43:S50)/8</f>
        <v>31.94218875</v>
      </c>
      <c r="I8" s="6" t="n">
        <f aca="false">SQRT( SUM(X43:X50)/8)</f>
        <v>1.07324575996644</v>
      </c>
      <c r="J8" s="6" t="n">
        <f aca="false">SUM(T43:T50)/8</f>
        <v>14.67622</v>
      </c>
      <c r="K8" s="5" t="n">
        <f aca="false">SQRT( SUM(Y43:Y50)/8)</f>
        <v>14.6762200002998</v>
      </c>
      <c r="O8" s="1"/>
      <c r="P8" s="1" t="n">
        <v>10000</v>
      </c>
      <c r="Q8" s="1" t="n">
        <f aca="false">2392982-2052895</f>
        <v>340087</v>
      </c>
      <c r="R8" s="1" t="n">
        <v>0</v>
      </c>
      <c r="S8" s="1" t="n">
        <f aca="false">Q8/P8</f>
        <v>34.0087</v>
      </c>
      <c r="T8" s="1" t="n">
        <f aca="false">R8/P8</f>
        <v>0</v>
      </c>
      <c r="X8" s="0" t="n">
        <f aca="false">(S8-$H$3)^2</f>
        <v>11.7933347103062</v>
      </c>
      <c r="Y8" s="0" t="n">
        <f aca="false">(T8-J$3)^2</f>
        <v>194.3648645904</v>
      </c>
      <c r="AH8" s="7"/>
      <c r="AI8" s="7"/>
    </row>
    <row r="9" customFormat="false" ht="12.95" hidden="false" customHeight="false" outlineLevel="0" collapsed="false">
      <c r="A9" s="1" t="s">
        <v>23</v>
      </c>
      <c r="B9" s="5" t="n">
        <v>0.0030863001</v>
      </c>
      <c r="C9" s="5" t="n">
        <v>0.0040223655780098</v>
      </c>
      <c r="D9" s="5" t="n">
        <v>0.0033388471</v>
      </c>
      <c r="E9" s="5" t="n">
        <v>0.00456964930196427</v>
      </c>
      <c r="F9" s="5" t="n">
        <v>0.0016839046</v>
      </c>
      <c r="G9" s="5" t="n">
        <v>0.00159412988383426</v>
      </c>
      <c r="H9" s="6" t="n">
        <f aca="false">SUM(S51:S58)/8</f>
        <v>77.521875</v>
      </c>
      <c r="I9" s="6" t="n">
        <f aca="false">SQRT( SUM(X51:X58)/8)</f>
        <v>1.11154881593208</v>
      </c>
      <c r="J9" s="6" t="n">
        <f aca="false">SUM(T51:T58)/8</f>
        <v>26.00511</v>
      </c>
      <c r="K9" s="5" t="n">
        <f aca="false">SQRT( SUM(Y51:Y58)/8)</f>
        <v>26.0051100019189</v>
      </c>
      <c r="O9" s="1"/>
      <c r="P9" s="1" t="n">
        <v>10000</v>
      </c>
      <c r="Q9" s="1" t="n">
        <f aca="false">2395306-2051936</f>
        <v>343370</v>
      </c>
      <c r="R9" s="1" t="n">
        <v>0</v>
      </c>
      <c r="S9" s="1" t="n">
        <f aca="false">Q9/P9</f>
        <v>34.337</v>
      </c>
      <c r="T9" s="1" t="n">
        <f aca="false">R9/P9</f>
        <v>0</v>
      </c>
      <c r="X9" s="0" t="n">
        <f aca="false">(S9-$H$3)^2</f>
        <v>14.1559735658063</v>
      </c>
      <c r="Y9" s="0" t="n">
        <f aca="false">(T9-J$3)^2</f>
        <v>194.3648645904</v>
      </c>
      <c r="AH9" s="7"/>
      <c r="AI9" s="7"/>
    </row>
    <row r="10" customFormat="false" ht="12.95" hidden="false" customHeight="false" outlineLevel="0" collapsed="false">
      <c r="G10" s="8"/>
      <c r="O10" s="1"/>
      <c r="P10" s="1" t="n">
        <v>10000</v>
      </c>
      <c r="Q10" s="1" t="n">
        <f aca="false">2392254-2083510</f>
        <v>308744</v>
      </c>
      <c r="R10" s="1" t="n">
        <v>0</v>
      </c>
      <c r="S10" s="1" t="n">
        <f aca="false">Q10/P10</f>
        <v>30.8744</v>
      </c>
      <c r="T10" s="1" t="n">
        <f aca="false">R10/P10</f>
        <v>0</v>
      </c>
      <c r="X10" s="0" t="n">
        <f aca="false">(S10-$H$3)^2</f>
        <v>0.0899055248062503</v>
      </c>
      <c r="Y10" s="0" t="n">
        <f aca="false">(T10-J$3)^2</f>
        <v>194.3648645904</v>
      </c>
      <c r="AH10" s="7"/>
      <c r="AI10" s="7"/>
    </row>
    <row r="11" customFormat="false" ht="12.95" hidden="false" customHeight="true" outlineLevel="0" collapsed="false">
      <c r="O11" s="9" t="s">
        <v>18</v>
      </c>
      <c r="P11" s="10" t="n">
        <v>100000</v>
      </c>
      <c r="Q11" s="10" t="n">
        <f aca="false">10587728-2091120</f>
        <v>8496608</v>
      </c>
      <c r="R11" s="10" t="n">
        <v>6773952</v>
      </c>
      <c r="S11" s="10" t="n">
        <f aca="false">Q11/P11</f>
        <v>84.96608</v>
      </c>
      <c r="T11" s="10" t="n">
        <f aca="false">R11/P11</f>
        <v>67.73952</v>
      </c>
      <c r="X11" s="0" t="n">
        <f aca="false">(S11-$H$4)^2</f>
        <v>7.87245752410001</v>
      </c>
      <c r="Y11" s="0" t="n">
        <f aca="false">(T11-J$4)^2</f>
        <v>1147.1769</v>
      </c>
    </row>
    <row r="12" customFormat="false" ht="12.95" hidden="false" customHeight="false" outlineLevel="0" collapsed="false">
      <c r="O12" s="9"/>
      <c r="P12" s="10" t="n">
        <v>100000</v>
      </c>
      <c r="Q12" s="10" t="n">
        <f aca="false">10579197-2052612</f>
        <v>8526585</v>
      </c>
      <c r="R12" s="10" t="n">
        <v>6773984</v>
      </c>
      <c r="S12" s="10" t="n">
        <f aca="false">Q12/P12</f>
        <v>85.26585</v>
      </c>
      <c r="T12" s="10" t="n">
        <f aca="false">R12/P12</f>
        <v>67.73984</v>
      </c>
      <c r="X12" s="0" t="n">
        <f aca="false">(S12-$H$4)^2</f>
        <v>9.64450291359998</v>
      </c>
      <c r="Y12" s="0" t="n">
        <f aca="false">(T12-J$4)^2</f>
        <v>1147.1985769024</v>
      </c>
    </row>
    <row r="13" customFormat="false" ht="12.95" hidden="false" customHeight="false" outlineLevel="0" collapsed="false">
      <c r="O13" s="9"/>
      <c r="P13" s="10" t="n">
        <v>100000</v>
      </c>
      <c r="Q13" s="10" t="n">
        <f aca="false">10580453-2082125</f>
        <v>8498328</v>
      </c>
      <c r="R13" s="10" t="n">
        <v>6773888</v>
      </c>
      <c r="S13" s="10" t="n">
        <f aca="false">Q13/P13</f>
        <v>84.98328</v>
      </c>
      <c r="T13" s="10" t="n">
        <f aca="false">R13/P13</f>
        <v>67.73888</v>
      </c>
      <c r="X13" s="0" t="n">
        <f aca="false">(S13-$H$4)^2</f>
        <v>7.96927254009994</v>
      </c>
      <c r="Y13" s="0" t="n">
        <f aca="false">(T13-J$4)^2</f>
        <v>1147.1335468096</v>
      </c>
    </row>
    <row r="14" customFormat="false" ht="12.95" hidden="false" customHeight="false" outlineLevel="0" collapsed="false">
      <c r="O14" s="9"/>
      <c r="P14" s="10" t="n">
        <v>100000</v>
      </c>
      <c r="Q14" s="10" t="n">
        <f aca="false">10578988-2082087</f>
        <v>8496901</v>
      </c>
      <c r="R14" s="10" t="n">
        <v>6773792</v>
      </c>
      <c r="S14" s="10" t="n">
        <f aca="false">Q14/P14</f>
        <v>84.96901</v>
      </c>
      <c r="T14" s="10" t="n">
        <f aca="false">R14/P14</f>
        <v>67.73792</v>
      </c>
      <c r="X14" s="0" t="n">
        <f aca="false">(S14-$H$4)^2</f>
        <v>7.88890803839997</v>
      </c>
      <c r="Y14" s="0" t="n">
        <f aca="false">(T14-J$4)^2</f>
        <v>1147.06851856</v>
      </c>
    </row>
    <row r="15" customFormat="false" ht="12.95" hidden="false" customHeight="false" outlineLevel="0" collapsed="false">
      <c r="O15" s="9"/>
      <c r="P15" s="10" t="n">
        <v>10000</v>
      </c>
      <c r="Q15" s="10" t="n">
        <f aca="false">2857341-2083946</f>
        <v>773395</v>
      </c>
      <c r="R15" s="10" t="n">
        <v>0</v>
      </c>
      <c r="S15" s="10" t="n">
        <f aca="false">Q15/P15</f>
        <v>77.3395</v>
      </c>
      <c r="T15" s="10" t="n">
        <f aca="false">R15/P15</f>
        <v>0</v>
      </c>
      <c r="X15" s="0" t="n">
        <f aca="false">(S15-$H$4)^2</f>
        <v>23.2400162241</v>
      </c>
      <c r="Y15" s="0" t="n">
        <f aca="false">(T15-J$4)^2</f>
        <v>1147.1443850304</v>
      </c>
    </row>
    <row r="16" customFormat="false" ht="12.95" hidden="false" customHeight="false" outlineLevel="0" collapsed="false">
      <c r="O16" s="9"/>
      <c r="P16" s="10" t="n">
        <v>10000</v>
      </c>
      <c r="Q16" s="10" t="n">
        <f aca="false">2853254-2052834</f>
        <v>800420</v>
      </c>
      <c r="R16" s="10" t="n">
        <v>0</v>
      </c>
      <c r="S16" s="10" t="n">
        <f aca="false">Q16/P16</f>
        <v>80.042</v>
      </c>
      <c r="T16" s="10" t="n">
        <f aca="false">R16/P16</f>
        <v>0</v>
      </c>
      <c r="X16" s="0" t="n">
        <f aca="false">(S16-$H$4)^2</f>
        <v>4.48715252410001</v>
      </c>
      <c r="Y16" s="0" t="n">
        <f aca="false">(T16-J$4)^2</f>
        <v>1147.1443850304</v>
      </c>
    </row>
    <row r="17" customFormat="false" ht="12.95" hidden="false" customHeight="false" outlineLevel="0" collapsed="false">
      <c r="O17" s="9"/>
      <c r="P17" s="10" t="n">
        <v>10000</v>
      </c>
      <c r="Q17" s="10" t="n">
        <f aca="false">2852628-2053902</f>
        <v>798726</v>
      </c>
      <c r="R17" s="10" t="n">
        <v>0</v>
      </c>
      <c r="S17" s="10" t="n">
        <f aca="false">Q17/P17</f>
        <v>79.8726</v>
      </c>
      <c r="T17" s="10" t="n">
        <f aca="false">R17/P17</f>
        <v>0</v>
      </c>
      <c r="X17" s="0" t="n">
        <f aca="false">(S17-$H$4)^2</f>
        <v>5.23352553609999</v>
      </c>
      <c r="Y17" s="0" t="n">
        <f aca="false">(T17-J$4)^2</f>
        <v>1147.1443850304</v>
      </c>
    </row>
    <row r="18" customFormat="false" ht="12.95" hidden="false" customHeight="false" outlineLevel="0" collapsed="false">
      <c r="O18" s="9"/>
      <c r="P18" s="10" t="n">
        <v>10000</v>
      </c>
      <c r="Q18" s="10" t="n">
        <f aca="false">2852198-2053758</f>
        <v>798440</v>
      </c>
      <c r="R18" s="10" t="n">
        <v>0</v>
      </c>
      <c r="S18" s="10" t="n">
        <f aca="false">Q18/P18</f>
        <v>79.844</v>
      </c>
      <c r="T18" s="10" t="n">
        <f aca="false">R18/P18</f>
        <v>0</v>
      </c>
      <c r="X18" s="0" t="n">
        <f aca="false">(S18-$H$4)^2</f>
        <v>5.36519936410004</v>
      </c>
      <c r="Y18" s="0" t="n">
        <f aca="false">(T18-J$4)^2</f>
        <v>1147.1443850304</v>
      </c>
    </row>
    <row r="19" customFormat="false" ht="12.95" hidden="false" customHeight="true" outlineLevel="0" collapsed="false">
      <c r="O19" s="1" t="s">
        <v>19</v>
      </c>
      <c r="P19" s="1" t="n">
        <v>100000</v>
      </c>
      <c r="Q19" s="1" t="n">
        <f aca="false">8084513-2083771</f>
        <v>6000742</v>
      </c>
      <c r="R19" s="1" t="n">
        <v>3900808</v>
      </c>
      <c r="S19" s="1" t="n">
        <f aca="false">Q19/P19</f>
        <v>60.00742</v>
      </c>
      <c r="T19" s="1" t="n">
        <f aca="false">R19/P19</f>
        <v>39.00808</v>
      </c>
      <c r="X19" s="0" t="n">
        <f aca="false">(S19-$H$5)^2</f>
        <v>1.11339955650625</v>
      </c>
      <c r="Y19" s="0" t="n">
        <f aca="false">(T19-J$5)^2</f>
        <v>380.4110870569</v>
      </c>
    </row>
    <row r="20" customFormat="false" ht="12.95" hidden="false" customHeight="false" outlineLevel="0" collapsed="false">
      <c r="O20" s="1"/>
      <c r="P20" s="1" t="n">
        <v>100000</v>
      </c>
      <c r="Q20" s="1" t="n">
        <f aca="false">8081151-2083165</f>
        <v>5997986</v>
      </c>
      <c r="R20" s="1" t="n">
        <v>3900792</v>
      </c>
      <c r="S20" s="1" t="n">
        <f aca="false">Q20/P20</f>
        <v>59.97986</v>
      </c>
      <c r="T20" s="1" t="n">
        <f aca="false">R20/P20</f>
        <v>39.00792</v>
      </c>
      <c r="X20" s="0" t="n">
        <f aca="false">(S20-$H$5)^2</f>
        <v>1.17232049390625</v>
      </c>
      <c r="Y20" s="0" t="n">
        <f aca="false">(T20-J$5)^2</f>
        <v>380.4048457609</v>
      </c>
    </row>
    <row r="21" customFormat="false" ht="12.95" hidden="false" customHeight="false" outlineLevel="0" collapsed="false">
      <c r="O21" s="1"/>
      <c r="P21" s="1" t="n">
        <v>100000</v>
      </c>
      <c r="Q21" s="1" t="n">
        <f aca="false">8081027-2053772</f>
        <v>6027255</v>
      </c>
      <c r="R21" s="1" t="n">
        <v>3900792</v>
      </c>
      <c r="S21" s="1" t="n">
        <f aca="false">Q21/P21</f>
        <v>60.27255</v>
      </c>
      <c r="T21" s="1" t="n">
        <f aca="false">R21/P21</f>
        <v>39.00792</v>
      </c>
      <c r="X21" s="0" t="n">
        <f aca="false">(S21-$H$5)^2</f>
        <v>0.62417505225625</v>
      </c>
      <c r="Y21" s="0" t="n">
        <f aca="false">(T21-J$5)^2</f>
        <v>380.4048457609</v>
      </c>
    </row>
    <row r="22" customFormat="false" ht="12.95" hidden="false" customHeight="false" outlineLevel="0" collapsed="false">
      <c r="O22" s="1"/>
      <c r="P22" s="1" t="n">
        <v>100000</v>
      </c>
      <c r="Q22" s="1" t="n">
        <f aca="false">8084969-2083854</f>
        <v>6001115</v>
      </c>
      <c r="R22" s="1" t="n">
        <v>3900768</v>
      </c>
      <c r="S22" s="1" t="n">
        <f aca="false">Q22/P22</f>
        <v>60.01115</v>
      </c>
      <c r="T22" s="1" t="n">
        <f aca="false">R22/P22</f>
        <v>39.00768</v>
      </c>
      <c r="X22" s="0" t="n">
        <f aca="false">(S22-$H$5)^2</f>
        <v>1.10554184525625</v>
      </c>
      <c r="Y22" s="0" t="n">
        <f aca="false">(T22-J$5)^2</f>
        <v>380.3954839129</v>
      </c>
    </row>
    <row r="23" customFormat="false" ht="12.95" hidden="false" customHeight="false" outlineLevel="0" collapsed="false">
      <c r="O23" s="1"/>
      <c r="P23" s="1" t="n">
        <v>10000</v>
      </c>
      <c r="Q23" s="1" t="n">
        <f aca="false">2681206-2052810</f>
        <v>628396</v>
      </c>
      <c r="R23" s="1" t="n">
        <v>0</v>
      </c>
      <c r="S23" s="1" t="n">
        <f aca="false">Q23/P23</f>
        <v>62.8396</v>
      </c>
      <c r="T23" s="1" t="n">
        <f aca="false">R23/P23</f>
        <v>0</v>
      </c>
      <c r="X23" s="0" t="n">
        <f aca="false">(S23-$H$5)^2</f>
        <v>3.15773788500623</v>
      </c>
      <c r="Y23" s="0" t="n">
        <f aca="false">(T23-J$5)^2</f>
        <v>380.4040656025</v>
      </c>
    </row>
    <row r="24" customFormat="false" ht="12.95" hidden="false" customHeight="false" outlineLevel="0" collapsed="false">
      <c r="O24" s="1"/>
      <c r="P24" s="1" t="n">
        <v>10000</v>
      </c>
      <c r="Q24" s="1" t="n">
        <f aca="false">2680678-2053800</f>
        <v>626878</v>
      </c>
      <c r="R24" s="1" t="n">
        <v>0</v>
      </c>
      <c r="S24" s="1" t="n">
        <f aca="false">Q24/P24</f>
        <v>62.6878</v>
      </c>
      <c r="T24" s="1" t="n">
        <f aca="false">R24/P24</f>
        <v>0</v>
      </c>
      <c r="X24" s="0" t="n">
        <f aca="false">(S24-$H$5)^2</f>
        <v>2.64128316600625</v>
      </c>
      <c r="Y24" s="0" t="n">
        <f aca="false">(T24-J$5)^2</f>
        <v>380.4040656025</v>
      </c>
    </row>
    <row r="25" customFormat="false" ht="12.95" hidden="false" customHeight="false" outlineLevel="0" collapsed="false">
      <c r="O25" s="1"/>
      <c r="P25" s="1" t="n">
        <v>10000</v>
      </c>
      <c r="Q25" s="1" t="n">
        <f aca="false">2682905-2082313</f>
        <v>600592</v>
      </c>
      <c r="R25" s="1" t="n">
        <v>0</v>
      </c>
      <c r="S25" s="1" t="n">
        <f aca="false">Q25/P25</f>
        <v>60.0592</v>
      </c>
      <c r="T25" s="1" t="n">
        <f aca="false">R25/P25</f>
        <v>0</v>
      </c>
      <c r="X25" s="0" t="n">
        <f aca="false">(S25-$H$5)^2</f>
        <v>1.00680654300626</v>
      </c>
      <c r="Y25" s="0" t="n">
        <f aca="false">(T25-J$5)^2</f>
        <v>380.4040656025</v>
      </c>
    </row>
    <row r="26" customFormat="false" ht="12.95" hidden="false" customHeight="false" outlineLevel="0" collapsed="false">
      <c r="O26" s="1"/>
      <c r="P26" s="1" t="n">
        <v>10000</v>
      </c>
      <c r="Q26" s="1" t="n">
        <f aca="false">2678958-2052526</f>
        <v>626432</v>
      </c>
      <c r="R26" s="1" t="n">
        <v>0</v>
      </c>
      <c r="S26" s="1" t="n">
        <f aca="false">Q26/P26</f>
        <v>62.6432</v>
      </c>
      <c r="T26" s="1" t="n">
        <f aca="false">R26/P26</f>
        <v>0</v>
      </c>
      <c r="X26" s="0" t="n">
        <f aca="false">(S26-$H$5)^2</f>
        <v>2.49830426300624</v>
      </c>
      <c r="Y26" s="0" t="n">
        <f aca="false">(T26-J$5)^2</f>
        <v>380.4040656025</v>
      </c>
    </row>
    <row r="27" customFormat="false" ht="12.95" hidden="false" customHeight="true" outlineLevel="0" collapsed="false">
      <c r="O27" s="9" t="s">
        <v>20</v>
      </c>
      <c r="P27" s="10" t="n">
        <v>100000</v>
      </c>
      <c r="Q27" s="10" t="n">
        <f aca="false">5409714-2102902</f>
        <v>3306812</v>
      </c>
      <c r="R27" s="10" t="n">
        <v>2769584</v>
      </c>
      <c r="S27" s="10" t="n">
        <f aca="false">Q27/P27</f>
        <v>33.06812</v>
      </c>
      <c r="T27" s="10" t="n">
        <f aca="false">R27/P27</f>
        <v>27.69584</v>
      </c>
      <c r="X27" s="0" t="n">
        <f aca="false">(S27-$H$6)^2</f>
        <v>5.81894403187656</v>
      </c>
      <c r="Y27" s="0" t="n">
        <f aca="false">(T27-J$6)^2</f>
        <v>191.76156484</v>
      </c>
    </row>
    <row r="28" customFormat="false" ht="12.95" hidden="false" customHeight="false" outlineLevel="0" collapsed="false">
      <c r="O28" s="9"/>
      <c r="P28" s="10" t="n">
        <v>100000</v>
      </c>
      <c r="Q28" s="10" t="n">
        <f aca="false">5390883-2053790</f>
        <v>3337093</v>
      </c>
      <c r="R28" s="10" t="n">
        <v>2769616</v>
      </c>
      <c r="S28" s="10" t="n">
        <f aca="false">Q28/P28</f>
        <v>33.37093</v>
      </c>
      <c r="T28" s="10" t="n">
        <f aca="false">R28/P28</f>
        <v>27.69616</v>
      </c>
      <c r="X28" s="0" t="n">
        <f aca="false">(S28-$H$6)^2</f>
        <v>7.37154401595157</v>
      </c>
      <c r="Y28" s="0" t="n">
        <f aca="false">(T28-J$6)^2</f>
        <v>191.7704275344</v>
      </c>
    </row>
    <row r="29" customFormat="false" ht="12.95" hidden="false" customHeight="false" outlineLevel="0" collapsed="false">
      <c r="O29" s="9"/>
      <c r="P29" s="10" t="n">
        <v>100000</v>
      </c>
      <c r="Q29" s="10" t="n">
        <f aca="false">5390601-2082978</f>
        <v>3307623</v>
      </c>
      <c r="R29" s="10" t="n">
        <v>2769616</v>
      </c>
      <c r="S29" s="10" t="n">
        <f aca="false">Q29/P29</f>
        <v>33.07623</v>
      </c>
      <c r="T29" s="10" t="n">
        <f aca="false">R29/P29</f>
        <v>27.69616</v>
      </c>
      <c r="X29" s="0" t="n">
        <f aca="false">(S29-$H$6)^2</f>
        <v>5.85813647870157</v>
      </c>
      <c r="Y29" s="0" t="n">
        <f aca="false">(T29-J$6)^2</f>
        <v>191.7704275344</v>
      </c>
    </row>
    <row r="30" customFormat="false" ht="12.95" hidden="false" customHeight="false" outlineLevel="0" collapsed="false">
      <c r="O30" s="9"/>
      <c r="P30" s="10" t="n">
        <v>100000</v>
      </c>
      <c r="Q30" s="10" t="n">
        <f aca="false">5392541-2053872</f>
        <v>3338669</v>
      </c>
      <c r="R30" s="10" t="n">
        <v>2769616</v>
      </c>
      <c r="S30" s="10" t="n">
        <f aca="false">Q30/P30</f>
        <v>33.38669</v>
      </c>
      <c r="T30" s="10" t="n">
        <f aca="false">R30/P30</f>
        <v>27.69616</v>
      </c>
      <c r="X30" s="0" t="n">
        <f aca="false">(S30-$H$6)^2</f>
        <v>7.45737104535157</v>
      </c>
      <c r="Y30" s="0" t="n">
        <f aca="false">(T30-J$6)^2</f>
        <v>191.7704275344</v>
      </c>
    </row>
    <row r="31" customFormat="false" ht="12.95" hidden="false" customHeight="false" outlineLevel="0" collapsed="false">
      <c r="O31" s="9"/>
      <c r="P31" s="10" t="n">
        <v>10000</v>
      </c>
      <c r="Q31" s="10" t="n">
        <f aca="false"> 2366482-2082552</f>
        <v>283930</v>
      </c>
      <c r="R31" s="10" t="n">
        <v>0</v>
      </c>
      <c r="S31" s="10" t="n">
        <f aca="false">Q31/P31</f>
        <v>28.393</v>
      </c>
      <c r="T31" s="10" t="n">
        <f aca="false">R31/P31</f>
        <v>0</v>
      </c>
      <c r="X31" s="0" t="n">
        <f aca="false">(S31-$H$6)^2</f>
        <v>5.12058629407656</v>
      </c>
      <c r="Y31" s="0" t="n">
        <f aca="false">(T31-J$6)^2</f>
        <v>191.7682118416</v>
      </c>
    </row>
    <row r="32" customFormat="false" ht="12.95" hidden="false" customHeight="false" outlineLevel="0" collapsed="false">
      <c r="O32" s="9"/>
      <c r="P32" s="10" t="n">
        <v>10000</v>
      </c>
      <c r="Q32" s="10" t="n">
        <f aca="false">2363999-2082183</f>
        <v>281816</v>
      </c>
      <c r="R32" s="10" t="n">
        <v>0</v>
      </c>
      <c r="S32" s="10" t="n">
        <f aca="false">Q32/P32</f>
        <v>28.1816</v>
      </c>
      <c r="T32" s="10" t="n">
        <f aca="false">R32/P32</f>
        <v>0</v>
      </c>
      <c r="X32" s="0" t="n">
        <f aca="false">(S32-$H$6)^2</f>
        <v>6.12201821857657</v>
      </c>
      <c r="Y32" s="0" t="n">
        <f aca="false">(T32-J$6)^2</f>
        <v>191.7682118416</v>
      </c>
    </row>
    <row r="33" customFormat="false" ht="12.95" hidden="false" customHeight="false" outlineLevel="0" collapsed="false">
      <c r="O33" s="9"/>
      <c r="P33" s="10" t="n">
        <v>10000</v>
      </c>
      <c r="Q33" s="10" t="n">
        <f aca="false">2362452-2083549</f>
        <v>278903</v>
      </c>
      <c r="R33" s="10" t="n">
        <v>0</v>
      </c>
      <c r="S33" s="10" t="n">
        <f aca="false">Q33/P33</f>
        <v>27.8903</v>
      </c>
      <c r="T33" s="10" t="n">
        <f aca="false">R33/P33</f>
        <v>0</v>
      </c>
      <c r="X33" s="0" t="n">
        <f aca="false">(S33-$H$6)^2</f>
        <v>7.64838433882657</v>
      </c>
      <c r="Y33" s="0" t="n">
        <f aca="false">(T33-J$6)^2</f>
        <v>191.7682118416</v>
      </c>
    </row>
    <row r="34" customFormat="false" ht="12.95" hidden="false" customHeight="false" outlineLevel="0" collapsed="false">
      <c r="O34" s="9"/>
      <c r="P34" s="10" t="n">
        <v>10000</v>
      </c>
      <c r="Q34" s="10" t="n">
        <f aca="false">2362024-2083223</f>
        <v>278801</v>
      </c>
      <c r="R34" s="10" t="n">
        <v>0</v>
      </c>
      <c r="S34" s="10" t="n">
        <f aca="false">Q34/P34</f>
        <v>27.8801</v>
      </c>
      <c r="T34" s="10" t="n">
        <f aca="false">R34/P34</f>
        <v>0</v>
      </c>
      <c r="X34" s="0" t="n">
        <f aca="false">(S34-$H$6)^2</f>
        <v>7.70490603232657</v>
      </c>
      <c r="Y34" s="0" t="n">
        <f aca="false">(T34-J$6)^2</f>
        <v>191.7682118416</v>
      </c>
    </row>
    <row r="35" customFormat="false" ht="12.95" hidden="false" customHeight="true" outlineLevel="0" collapsed="false">
      <c r="O35" s="1" t="s">
        <v>21</v>
      </c>
      <c r="P35" s="1" t="n">
        <v>100000</v>
      </c>
      <c r="Q35" s="1" t="n">
        <f aca="false">5397808-2082475</f>
        <v>3315333</v>
      </c>
      <c r="R35" s="1" t="n">
        <v>2769616</v>
      </c>
      <c r="S35" s="1" t="n">
        <f aca="false">Q35/P35</f>
        <v>33.15333</v>
      </c>
      <c r="T35" s="1" t="n">
        <f aca="false">R35/P35</f>
        <v>27.69616</v>
      </c>
      <c r="X35" s="0" t="n">
        <f aca="false">(S35-$H$7)^2</f>
        <v>3.36069556839999</v>
      </c>
      <c r="Y35" s="0" t="n">
        <f aca="false">(T35-J$7)^2</f>
        <v>191.76987361</v>
      </c>
    </row>
    <row r="36" customFormat="false" ht="12.95" hidden="false" customHeight="false" outlineLevel="0" collapsed="false">
      <c r="O36" s="1"/>
      <c r="P36" s="1" t="n">
        <v>100000</v>
      </c>
      <c r="Q36" s="1" t="n">
        <f aca="false">5395252-2075632</f>
        <v>3319620</v>
      </c>
      <c r="R36" s="1" t="n">
        <v>2769616</v>
      </c>
      <c r="S36" s="1" t="n">
        <f aca="false">Q36/P36</f>
        <v>33.1962</v>
      </c>
      <c r="T36" s="1" t="n">
        <f aca="false">R36/P36</f>
        <v>27.69616</v>
      </c>
      <c r="X36" s="0" t="n">
        <f aca="false">(S36-$H$7)^2</f>
        <v>3.51971368809999</v>
      </c>
      <c r="Y36" s="0" t="n">
        <f aca="false">(T36-J$7)^2</f>
        <v>191.76987361</v>
      </c>
    </row>
    <row r="37" customFormat="false" ht="12.95" hidden="false" customHeight="false" outlineLevel="0" collapsed="false">
      <c r="O37" s="1"/>
      <c r="P37" s="1" t="n">
        <v>100000</v>
      </c>
      <c r="Q37" s="1" t="n">
        <f aca="false"> 5391757-2083841</f>
        <v>3307916</v>
      </c>
      <c r="R37" s="1" t="n">
        <v>2769616</v>
      </c>
      <c r="S37" s="1" t="n">
        <f aca="false">Q37/P37</f>
        <v>33.07916</v>
      </c>
      <c r="T37" s="1" t="n">
        <f aca="false">R37/P37</f>
        <v>27.69616</v>
      </c>
      <c r="X37" s="0" t="n">
        <f aca="false">(S37-$H$7)^2</f>
        <v>3.09425690250001</v>
      </c>
      <c r="Y37" s="0" t="n">
        <f aca="false">(T37-J$7)^2</f>
        <v>191.76987361</v>
      </c>
    </row>
    <row r="38" customFormat="false" ht="12.95" hidden="false" customHeight="false" outlineLevel="0" collapsed="false">
      <c r="O38" s="1"/>
      <c r="P38" s="1" t="n">
        <v>100000</v>
      </c>
      <c r="Q38" s="1" t="n">
        <f aca="false">5390935-2076946</f>
        <v>3313989</v>
      </c>
      <c r="R38" s="1" t="n">
        <v>2769600</v>
      </c>
      <c r="S38" s="1" t="n">
        <f aca="false">Q38/P38</f>
        <v>33.13989</v>
      </c>
      <c r="T38" s="1" t="n">
        <f aca="false">R38/P38</f>
        <v>27.696</v>
      </c>
      <c r="X38" s="0" t="n">
        <f aca="false">(S38-$H$7)^2</f>
        <v>3.31159924840001</v>
      </c>
      <c r="Y38" s="0" t="n">
        <f aca="false">(T38-J$7)^2</f>
        <v>191.7654422436</v>
      </c>
    </row>
    <row r="39" customFormat="false" ht="12.95" hidden="false" customHeight="false" outlineLevel="0" collapsed="false">
      <c r="O39" s="1"/>
      <c r="P39" s="1" t="n">
        <v>10000</v>
      </c>
      <c r="Q39" s="1" t="n">
        <f aca="false">2363936-2083690</f>
        <v>280246</v>
      </c>
      <c r="R39" s="1" t="n">
        <v>0</v>
      </c>
      <c r="S39" s="1" t="n">
        <f aca="false">Q39/P39</f>
        <v>28.0246</v>
      </c>
      <c r="T39" s="1" t="n">
        <f aca="false">R39/P39</f>
        <v>0</v>
      </c>
      <c r="X39" s="0" t="n">
        <f aca="false">(S39-$H$7)^2</f>
        <v>10.8603861601</v>
      </c>
      <c r="Y39" s="0" t="n">
        <f aca="false">(T39-J$7)^2</f>
        <v>191.7687657636</v>
      </c>
    </row>
    <row r="40" customFormat="false" ht="12.95" hidden="false" customHeight="false" outlineLevel="0" collapsed="false">
      <c r="O40" s="1"/>
      <c r="P40" s="1" t="n">
        <v>10000</v>
      </c>
      <c r="Q40" s="1" t="n">
        <f aca="false">2362918-2053290</f>
        <v>309628</v>
      </c>
      <c r="R40" s="1" t="n">
        <v>0</v>
      </c>
      <c r="S40" s="1" t="n">
        <f aca="false">Q40/P40</f>
        <v>30.9628</v>
      </c>
      <c r="T40" s="1" t="n">
        <f aca="false">R40/P40</f>
        <v>0</v>
      </c>
      <c r="X40" s="0" t="n">
        <f aca="false">(S40-$H$7)^2</f>
        <v>0.127670436099999</v>
      </c>
      <c r="Y40" s="0" t="n">
        <f aca="false">(T40-J$7)^2</f>
        <v>191.7687657636</v>
      </c>
    </row>
    <row r="41" customFormat="false" ht="12.95" hidden="false" customHeight="false" outlineLevel="0" collapsed="false">
      <c r="O41" s="1"/>
      <c r="P41" s="1" t="n">
        <v>10000</v>
      </c>
      <c r="Q41" s="1" t="n">
        <f aca="false"> 2368677-2086984</f>
        <v>281693</v>
      </c>
      <c r="R41" s="1" t="n">
        <v>0</v>
      </c>
      <c r="S41" s="1" t="n">
        <f aca="false">Q41/P41</f>
        <v>28.1693</v>
      </c>
      <c r="T41" s="1" t="n">
        <f aca="false">R41/P41</f>
        <v>0</v>
      </c>
      <c r="X41" s="0" t="n">
        <f aca="false">(S41-$H$7)^2</f>
        <v>9.9276036561</v>
      </c>
      <c r="Y41" s="0" t="n">
        <f aca="false">(T41-J$7)^2</f>
        <v>191.7687657636</v>
      </c>
    </row>
    <row r="42" customFormat="false" ht="12.95" hidden="false" customHeight="false" outlineLevel="0" collapsed="false">
      <c r="O42" s="1"/>
      <c r="P42" s="1" t="n">
        <v>10000</v>
      </c>
      <c r="Q42" s="1" t="n">
        <f aca="false">2361138-2052782</f>
        <v>308356</v>
      </c>
      <c r="R42" s="1" t="n">
        <v>0</v>
      </c>
      <c r="S42" s="1" t="n">
        <f aca="false">Q42/P42</f>
        <v>30.8356</v>
      </c>
      <c r="T42" s="1" t="n">
        <f aca="false">R42/P42</f>
        <v>0</v>
      </c>
      <c r="X42" s="0" t="n">
        <f aca="false">(S42-$H$7)^2</f>
        <v>0.2347499401</v>
      </c>
      <c r="Y42" s="0" t="n">
        <f aca="false">(T42-J$7)^2</f>
        <v>191.7687657636</v>
      </c>
    </row>
    <row r="43" customFormat="false" ht="12.95" hidden="false" customHeight="true" outlineLevel="0" collapsed="false">
      <c r="O43" s="9" t="s">
        <v>22</v>
      </c>
      <c r="P43" s="10" t="n">
        <v>100000</v>
      </c>
      <c r="Q43" s="10" t="n">
        <f aca="false">5279013-2082661</f>
        <v>3196352</v>
      </c>
      <c r="R43" s="10" t="n">
        <v>2935240</v>
      </c>
      <c r="S43" s="10" t="n">
        <f aca="false">Q43/P43</f>
        <v>31.96352</v>
      </c>
      <c r="T43" s="10" t="n">
        <f aca="false">R43/P43</f>
        <v>29.3524</v>
      </c>
      <c r="X43" s="0" t="n">
        <f aca="false">(S43-$H$8)^2</f>
        <v>0.000455022226562473</v>
      </c>
      <c r="Y43" s="0" t="n">
        <f aca="false">(T43-J$8)^2</f>
        <v>215.3902593924</v>
      </c>
    </row>
    <row r="44" customFormat="false" ht="12.95" hidden="false" customHeight="false" outlineLevel="0" collapsed="false">
      <c r="O44" s="9"/>
      <c r="P44" s="10" t="n">
        <v>100000</v>
      </c>
      <c r="Q44" s="10" t="n">
        <f aca="false"> 5287449-2083441</f>
        <v>3204008</v>
      </c>
      <c r="R44" s="10" t="n">
        <v>2935256</v>
      </c>
      <c r="S44" s="10" t="n">
        <f aca="false">Q44/P44</f>
        <v>32.04008</v>
      </c>
      <c r="T44" s="10" t="n">
        <f aca="false">R44/P44</f>
        <v>29.35256</v>
      </c>
      <c r="X44" s="0" t="n">
        <f aca="false">(S44-$H$8)^2</f>
        <v>0.00958269682656319</v>
      </c>
      <c r="Y44" s="0" t="n">
        <f aca="false">(T44-J$8)^2</f>
        <v>215.3949557956</v>
      </c>
    </row>
    <row r="45" customFormat="false" ht="12.95" hidden="false" customHeight="false" outlineLevel="0" collapsed="false">
      <c r="O45" s="9"/>
      <c r="P45" s="10" t="n">
        <v>100000</v>
      </c>
      <c r="Q45" s="10" t="n">
        <f aca="false">5279409-2082987</f>
        <v>3196422</v>
      </c>
      <c r="R45" s="10" t="n">
        <v>2935224</v>
      </c>
      <c r="S45" s="10" t="n">
        <f aca="false">Q45/P45</f>
        <v>31.96422</v>
      </c>
      <c r="T45" s="10" t="n">
        <f aca="false">R45/P45</f>
        <v>29.35224</v>
      </c>
      <c r="X45" s="0" t="n">
        <f aca="false">(S45-$H$8)^2</f>
        <v>0.000485375976562556</v>
      </c>
      <c r="Y45" s="0" t="n">
        <f aca="false">(T45-J$8)^2</f>
        <v>215.3855630404</v>
      </c>
    </row>
    <row r="46" customFormat="false" ht="12.95" hidden="false" customHeight="false" outlineLevel="0" collapsed="false">
      <c r="O46" s="9"/>
      <c r="P46" s="10" t="n">
        <v>100000</v>
      </c>
      <c r="Q46" s="10" t="n">
        <f aca="false">5284728-2085929</f>
        <v>3198799</v>
      </c>
      <c r="R46" s="10" t="n">
        <v>2935256</v>
      </c>
      <c r="S46" s="10" t="n">
        <f aca="false">Q46/P46</f>
        <v>31.98799</v>
      </c>
      <c r="T46" s="10" t="n">
        <f aca="false">R46/P46</f>
        <v>29.35256</v>
      </c>
      <c r="X46" s="0" t="n">
        <f aca="false">(S46-$H$8)^2</f>
        <v>0.00209775450156252</v>
      </c>
      <c r="Y46" s="0" t="n">
        <f aca="false">(T46-J$8)^2</f>
        <v>215.3949557956</v>
      </c>
    </row>
    <row r="47" customFormat="false" ht="12.95" hidden="false" customHeight="false" outlineLevel="0" collapsed="false">
      <c r="O47" s="9"/>
      <c r="P47" s="10" t="n">
        <v>10000</v>
      </c>
      <c r="Q47" s="10" t="n">
        <f aca="false"> 2385734-2084043</f>
        <v>301691</v>
      </c>
      <c r="R47" s="10" t="n">
        <v>0</v>
      </c>
      <c r="S47" s="10" t="n">
        <f aca="false">Q47/P47</f>
        <v>30.1691</v>
      </c>
      <c r="T47" s="10" t="n">
        <f aca="false">R47/P47</f>
        <v>0</v>
      </c>
      <c r="X47" s="0" t="n">
        <f aca="false">(S47-$H$8)^2</f>
        <v>3.14384371537656</v>
      </c>
      <c r="Y47" s="0" t="n">
        <f aca="false">(T47-J$8)^2</f>
        <v>215.3914334884</v>
      </c>
    </row>
    <row r="48" customFormat="false" ht="12.95" hidden="false" customHeight="false" outlineLevel="0" collapsed="false">
      <c r="O48" s="9"/>
      <c r="P48" s="10" t="n">
        <v>10000</v>
      </c>
      <c r="Q48" s="10" t="n">
        <f aca="false">2389258-2052530</f>
        <v>336728</v>
      </c>
      <c r="R48" s="10" t="n">
        <v>0</v>
      </c>
      <c r="S48" s="10" t="n">
        <f aca="false">Q48/P48</f>
        <v>33.6728</v>
      </c>
      <c r="T48" s="10" t="n">
        <f aca="false">R48/P48</f>
        <v>0</v>
      </c>
      <c r="X48" s="0" t="n">
        <f aca="false">(S48-$H$8)^2</f>
        <v>2.99501529862657</v>
      </c>
      <c r="Y48" s="0" t="n">
        <f aca="false">(T48-J$8)^2</f>
        <v>215.3914334884</v>
      </c>
    </row>
    <row r="49" customFormat="false" ht="12.95" hidden="false" customHeight="false" outlineLevel="0" collapsed="false">
      <c r="O49" s="9"/>
      <c r="P49" s="10" t="n">
        <v>10000</v>
      </c>
      <c r="Q49" s="10" t="n">
        <f aca="false"> 2390573-2084229</f>
        <v>306344</v>
      </c>
      <c r="R49" s="10" t="n">
        <v>0</v>
      </c>
      <c r="S49" s="10" t="n">
        <f aca="false">Q49/P49</f>
        <v>30.6344</v>
      </c>
      <c r="T49" s="10" t="n">
        <f aca="false">R49/P49</f>
        <v>0</v>
      </c>
      <c r="X49" s="0" t="n">
        <f aca="false">(S49-$H$8)^2</f>
        <v>1.71031141462656</v>
      </c>
      <c r="Y49" s="0" t="n">
        <f aca="false">(T49-J$8)^2</f>
        <v>215.3914334884</v>
      </c>
    </row>
    <row r="50" customFormat="false" ht="12.95" hidden="false" customHeight="false" outlineLevel="0" collapsed="false">
      <c r="O50" s="9"/>
      <c r="P50" s="10" t="n">
        <v>10000</v>
      </c>
      <c r="Q50" s="10" t="n">
        <f aca="false">2384746-2053692</f>
        <v>331054</v>
      </c>
      <c r="R50" s="10" t="n">
        <v>0</v>
      </c>
      <c r="S50" s="10" t="n">
        <f aca="false">Q50/P50</f>
        <v>33.1054</v>
      </c>
      <c r="T50" s="10" t="n">
        <f aca="false">R50/P50</f>
        <v>0</v>
      </c>
      <c r="X50" s="0" t="n">
        <f aca="false">(S50-$H$8)^2</f>
        <v>1.35306041212657</v>
      </c>
      <c r="Y50" s="0" t="n">
        <f aca="false">(T50-J$8)^2</f>
        <v>215.3914334884</v>
      </c>
    </row>
    <row r="51" customFormat="false" ht="12.95" hidden="false" customHeight="true" outlineLevel="0" collapsed="false">
      <c r="O51" s="1" t="s">
        <v>23</v>
      </c>
      <c r="P51" s="1" t="n">
        <v>100000</v>
      </c>
      <c r="Q51" s="1" t="n">
        <f aca="false">9781175-2082936</f>
        <v>7698239</v>
      </c>
      <c r="R51" s="1" t="n">
        <v>5200976</v>
      </c>
      <c r="S51" s="1" t="n">
        <f aca="false">Q51/P51</f>
        <v>76.98239</v>
      </c>
      <c r="T51" s="1" t="n">
        <f aca="false">R51/P51</f>
        <v>52.00976</v>
      </c>
      <c r="X51" s="0" t="n">
        <f aca="false">(S51-$H$9)^2</f>
        <v>0.291044065224999</v>
      </c>
      <c r="Y51" s="0" t="n">
        <f aca="false">(T51-J$9)^2</f>
        <v>676.2418216225</v>
      </c>
    </row>
    <row r="52" customFormat="false" ht="12.95" hidden="false" customHeight="false" outlineLevel="0" collapsed="false">
      <c r="O52" s="1"/>
      <c r="P52" s="1" t="n">
        <v>100000</v>
      </c>
      <c r="Q52" s="1" t="n">
        <f aca="false">9782313-2053908</f>
        <v>7728405</v>
      </c>
      <c r="R52" s="1" t="n">
        <v>5201008</v>
      </c>
      <c r="S52" s="1" t="n">
        <f aca="false">Q52/P52</f>
        <v>77.28405</v>
      </c>
      <c r="T52" s="1" t="n">
        <f aca="false">R52/P52</f>
        <v>52.01008</v>
      </c>
      <c r="X52" s="0" t="n">
        <f aca="false">(S52-$H$9)^2</f>
        <v>0.0565607306250004</v>
      </c>
      <c r="Y52" s="0" t="n">
        <f aca="false">(T52-J$9)^2</f>
        <v>676.2584647009</v>
      </c>
    </row>
    <row r="53" customFormat="false" ht="12.95" hidden="false" customHeight="false" outlineLevel="0" collapsed="false">
      <c r="O53" s="1"/>
      <c r="P53" s="1" t="n">
        <v>100000</v>
      </c>
      <c r="Q53" s="1" t="n">
        <f aca="false">9788266-2086962</f>
        <v>7701304</v>
      </c>
      <c r="R53" s="1" t="n">
        <v>5201096</v>
      </c>
      <c r="S53" s="1" t="n">
        <f aca="false">Q53/P53</f>
        <v>77.01304</v>
      </c>
      <c r="T53" s="1" t="n">
        <f aca="false">R53/P53</f>
        <v>52.01096</v>
      </c>
      <c r="X53" s="0" t="n">
        <f aca="false">(S53-$H$9)^2</f>
        <v>0.25891305722499</v>
      </c>
      <c r="Y53" s="0" t="n">
        <f aca="false">(T53-J$9)^2</f>
        <v>676.3042342225</v>
      </c>
    </row>
    <row r="54" customFormat="false" ht="12.95" hidden="false" customHeight="false" outlineLevel="0" collapsed="false">
      <c r="O54" s="1"/>
      <c r="P54" s="1" t="n">
        <v>100000</v>
      </c>
      <c r="Q54" s="1" t="n">
        <f aca="false">9783814-2088162</f>
        <v>7695652</v>
      </c>
      <c r="R54" s="1" t="n">
        <v>5201008</v>
      </c>
      <c r="S54" s="1" t="n">
        <f aca="false">Q54/P54</f>
        <v>76.95652</v>
      </c>
      <c r="T54" s="1" t="n">
        <f aca="false">R54/P54</f>
        <v>52.01008</v>
      </c>
      <c r="X54" s="0" t="n">
        <f aca="false">(S54-$H$9)^2</f>
        <v>0.319626276024996</v>
      </c>
      <c r="Y54" s="0" t="n">
        <f aca="false">(T54-J$9)^2</f>
        <v>676.2584647009</v>
      </c>
    </row>
    <row r="55" customFormat="false" ht="12.95" hidden="false" customHeight="false" outlineLevel="0" collapsed="false">
      <c r="O55" s="1"/>
      <c r="P55" s="1" t="n">
        <v>10000</v>
      </c>
      <c r="Q55" s="1" t="n">
        <f aca="false">2854571-2083415</f>
        <v>771156</v>
      </c>
      <c r="R55" s="1" t="n">
        <v>0</v>
      </c>
      <c r="S55" s="1" t="n">
        <f aca="false">Q55/P55</f>
        <v>77.1156</v>
      </c>
      <c r="T55" s="1" t="n">
        <f aca="false">R55/P55</f>
        <v>0</v>
      </c>
      <c r="X55" s="0" t="n">
        <f aca="false">(S55-$H$9)^2</f>
        <v>0.165059375624995</v>
      </c>
      <c r="Y55" s="0" t="n">
        <f aca="false">(T55-J$9)^2</f>
        <v>676.2657461121</v>
      </c>
    </row>
    <row r="56" customFormat="false" ht="12.95" hidden="false" customHeight="false" outlineLevel="0" collapsed="false">
      <c r="O56" s="1"/>
      <c r="P56" s="1" t="n">
        <v>10000</v>
      </c>
      <c r="Q56" s="1" t="n">
        <f aca="false">2855917-2083905</f>
        <v>772012</v>
      </c>
      <c r="R56" s="1" t="n">
        <v>0</v>
      </c>
      <c r="S56" s="1" t="n">
        <f aca="false">Q56/P56</f>
        <v>77.2012</v>
      </c>
      <c r="T56" s="1" t="n">
        <f aca="false">R56/P56</f>
        <v>0</v>
      </c>
      <c r="X56" s="0" t="n">
        <f aca="false">(S56-$H$9)^2</f>
        <v>0.102832455624996</v>
      </c>
      <c r="Y56" s="0" t="n">
        <f aca="false">(T56-J$9)^2</f>
        <v>676.2657461121</v>
      </c>
    </row>
    <row r="57" customFormat="false" ht="12.95" hidden="false" customHeight="false" outlineLevel="0" collapsed="false">
      <c r="O57" s="1"/>
      <c r="P57" s="1" t="n">
        <v>10000</v>
      </c>
      <c r="Q57" s="1" t="n">
        <f aca="false">2858123-2053632</f>
        <v>804491</v>
      </c>
      <c r="R57" s="1" t="n">
        <v>0</v>
      </c>
      <c r="S57" s="1" t="n">
        <f aca="false">Q57/P57</f>
        <v>80.4491</v>
      </c>
      <c r="T57" s="1" t="n">
        <f aca="false">R57/P57</f>
        <v>0</v>
      </c>
      <c r="X57" s="0" t="n">
        <f aca="false">(S57-$H$9)^2</f>
        <v>8.56864620062504</v>
      </c>
      <c r="Y57" s="0" t="n">
        <f aca="false">(T57-J$9)^2</f>
        <v>676.2657461121</v>
      </c>
    </row>
    <row r="58" customFormat="false" ht="12.95" hidden="false" customHeight="false" outlineLevel="0" collapsed="false">
      <c r="O58" s="1"/>
      <c r="P58" s="1" t="n">
        <v>10000</v>
      </c>
      <c r="Q58" s="1" t="n">
        <f aca="false">2855733-2084002</f>
        <v>771731</v>
      </c>
      <c r="R58" s="1" t="n">
        <v>0</v>
      </c>
      <c r="S58" s="1" t="n">
        <f aca="false">Q58/P58</f>
        <v>77.1731</v>
      </c>
      <c r="T58" s="1" t="n">
        <f aca="false">R58/P58</f>
        <v>0</v>
      </c>
      <c r="X58" s="0" t="n">
        <f aca="false">(S58-$H$9)^2</f>
        <v>0.121644000624992</v>
      </c>
      <c r="Y58" s="0" t="n">
        <f aca="false">(T58-J$9)^2</f>
        <v>676.2657461121</v>
      </c>
    </row>
  </sheetData>
  <mergeCells count="21">
    <mergeCell ref="O3:O10"/>
    <mergeCell ref="AH3:AH10"/>
    <mergeCell ref="AI3:AI10"/>
    <mergeCell ref="O11:O18"/>
    <mergeCell ref="AH11:AH18"/>
    <mergeCell ref="AI11:AI18"/>
    <mergeCell ref="O19:O26"/>
    <mergeCell ref="AH19:AH26"/>
    <mergeCell ref="AI19:AI26"/>
    <mergeCell ref="O27:O34"/>
    <mergeCell ref="AH27:AH34"/>
    <mergeCell ref="AI27:AI34"/>
    <mergeCell ref="O35:O42"/>
    <mergeCell ref="AH35:AH42"/>
    <mergeCell ref="AI35:AI42"/>
    <mergeCell ref="O43:O50"/>
    <mergeCell ref="AH43:AH50"/>
    <mergeCell ref="AI43:AI50"/>
    <mergeCell ref="O51:O58"/>
    <mergeCell ref="AH51:AH58"/>
    <mergeCell ref="AI51:AI5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2016-11-08T18:55:15Z</dcterms:created>
  <dc:creator/>
  <dc:description/>
  <dc:language>pl-PL</dc:language>
  <cp:lastModifiedBy/>
  <dcterms:modified xsi:type="dcterms:W3CDTF">2016-11-09T00:58:30Z</dcterms:modified>
  <cp:revision>6</cp:revision>
  <dc:subject/>
  <dc:title/>
</cp:coreProperties>
</file>